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charts/chart7.xml" ContentType="application/vnd.openxmlformats-officedocument.drawingml.chart+xml"/>
  <Override PartName="/xl/drawings/drawing3.xml" ContentType="application/vnd.openxmlformats-officedocument.drawing+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pivotTables/pivotTable1.xml" ContentType="application/vnd.openxmlformats-officedocument.spreadsheetml.pivot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drawings/drawing4.xml" ContentType="application/vnd.openxmlformats-officedocument.drawing+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pivotTables/pivotTable2.xml" ContentType="application/vnd.openxmlformats-officedocument.spreadsheetml.pivotTable+xml"/>
  <Override PartName="/xl/drawings/drawing5.xml" ContentType="application/vnd.openxmlformats-officedocument.drawing+xml"/>
  <Override PartName="/xl/tables/table86.xml" ContentType="application/vnd.openxmlformats-officedocument.spreadsheetml.table+xml"/>
  <Override PartName="/xl/tables/table87.xml" ContentType="application/vnd.openxmlformats-officedocument.spreadsheetml.table+xml"/>
  <Override PartName="/xl/charts/chart18.xml" ContentType="application/vnd.openxmlformats-officedocument.drawingml.chart+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mon/Downloads/"/>
    </mc:Choice>
  </mc:AlternateContent>
  <xr:revisionPtr revIDLastSave="0" documentId="13_ncr:1_{C59A103E-A81B-8C4A-93F6-B838C62C3B62}" xr6:coauthVersionLast="47" xr6:coauthVersionMax="47" xr10:uidLastSave="{00000000-0000-0000-0000-000000000000}"/>
  <bookViews>
    <workbookView xWindow="28800" yWindow="500" windowWidth="38400" windowHeight="21100" activeTab="1" xr2:uid="{00000000-000D-0000-FFFF-FFFF00000000}"/>
  </bookViews>
  <sheets>
    <sheet name="legend" sheetId="1" r:id="rId1"/>
    <sheet name="Cooling technologies" sheetId="2" r:id="rId2"/>
    <sheet name="LCA results of ventilation syst" sheetId="3" r:id="rId3"/>
    <sheet name="Material scarcity" sheetId="4" r:id="rId4"/>
    <sheet name="Heat plans per neighbourhood" sheetId="5" r:id="rId5"/>
    <sheet name="Building stock" sheetId="6" r:id="rId6"/>
    <sheet name="AC market" sheetId="7" r:id="rId7"/>
    <sheet name="Climate change" sheetId="8" r:id="rId8"/>
    <sheet name="Electricity mix analysis" sheetId="9" r:id="rId9"/>
  </sheets>
  <definedNames>
    <definedName name="autumn_start_month" localSheetId="7">'Climate change'!$B$27</definedName>
    <definedName name="spring_start_month" localSheetId="7">'Climate change'!$B$25</definedName>
    <definedName name="summer_start_month" localSheetId="7">'Climate change'!$B$26</definedName>
    <definedName name="winter_start_month" localSheetId="7">'Climate change'!$B$24</definedName>
  </definedNames>
  <calcPr calcId="191029"/>
  <pivotCaches>
    <pivotCache cacheId="13" r:id="rId10"/>
    <pivotCache cacheId="17"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3" i="4" l="1"/>
  <c r="N102" i="4"/>
  <c r="N103" i="4"/>
  <c r="N105" i="4"/>
  <c r="N107" i="4"/>
  <c r="N109" i="4"/>
  <c r="N110" i="4"/>
  <c r="N111" i="4"/>
  <c r="N117" i="4"/>
  <c r="N118" i="4"/>
  <c r="N119" i="4"/>
  <c r="N120" i="4"/>
  <c r="N121" i="4"/>
  <c r="N122" i="4"/>
  <c r="N101" i="4"/>
  <c r="AD43" i="2"/>
  <c r="I69" i="9"/>
  <c r="I40" i="9" s="1"/>
  <c r="L20" i="9" s="1"/>
  <c r="I68" i="9"/>
  <c r="I67" i="9"/>
  <c r="Q62" i="9"/>
  <c r="P62" i="9"/>
  <c r="P65" i="9" s="1"/>
  <c r="O62" i="9"/>
  <c r="N62" i="9"/>
  <c r="N65" i="9" s="1"/>
  <c r="M62" i="9"/>
  <c r="Q65" i="9" s="1"/>
  <c r="Q61" i="9"/>
  <c r="Q63" i="9" s="1"/>
  <c r="P61" i="9"/>
  <c r="P63" i="9" s="1"/>
  <c r="O61" i="9"/>
  <c r="N61" i="9"/>
  <c r="M61" i="9"/>
  <c r="L31" i="9"/>
  <c r="F31" i="9"/>
  <c r="F30" i="9" s="1"/>
  <c r="E31" i="9"/>
  <c r="E30" i="9" s="1"/>
  <c r="D31" i="9"/>
  <c r="C31" i="9"/>
  <c r="B31" i="9"/>
  <c r="B30" i="9" s="1"/>
  <c r="L30" i="9"/>
  <c r="D30" i="9"/>
  <c r="D32" i="9" s="1"/>
  <c r="I17" i="9" s="1"/>
  <c r="C30" i="9"/>
  <c r="L28" i="9"/>
  <c r="L27" i="9"/>
  <c r="F27" i="9"/>
  <c r="E27" i="9"/>
  <c r="E28" i="9" s="1"/>
  <c r="D27" i="9"/>
  <c r="D28" i="9" s="1"/>
  <c r="C27" i="9"/>
  <c r="C28" i="9" s="1"/>
  <c r="C32" i="9" s="1"/>
  <c r="B27" i="9"/>
  <c r="B28" i="9" s="1"/>
  <c r="B32" i="9" s="1"/>
  <c r="L25" i="9"/>
  <c r="L24" i="9"/>
  <c r="L23" i="9"/>
  <c r="L22" i="9"/>
  <c r="L19" i="9"/>
  <c r="L18" i="9"/>
  <c r="H18" i="9"/>
  <c r="L17" i="9"/>
  <c r="H17" i="9"/>
  <c r="N16" i="9"/>
  <c r="K16" i="9"/>
  <c r="Q16" i="9" s="1"/>
  <c r="J16" i="9"/>
  <c r="P16" i="9" s="1"/>
  <c r="I16" i="9"/>
  <c r="O16" i="9" s="1"/>
  <c r="H16" i="9"/>
  <c r="G16" i="9"/>
  <c r="M16" i="9" s="1"/>
  <c r="D20" i="8"/>
  <c r="D19" i="8"/>
  <c r="U14" i="8" s="1"/>
  <c r="AF14" i="8" s="1"/>
  <c r="F14" i="8" s="1"/>
  <c r="X14" i="8"/>
  <c r="AI14" i="8" s="1"/>
  <c r="H14" i="8" s="1"/>
  <c r="W14" i="8"/>
  <c r="AH14" i="8" s="1"/>
  <c r="N14" i="8"/>
  <c r="M14" i="8"/>
  <c r="L14" i="8"/>
  <c r="K14" i="8"/>
  <c r="J14" i="8"/>
  <c r="U13" i="8"/>
  <c r="AF13" i="8" s="1"/>
  <c r="F13" i="8" s="1"/>
  <c r="N13" i="8"/>
  <c r="M13" i="8"/>
  <c r="L13" i="8"/>
  <c r="K13" i="8"/>
  <c r="J13" i="8"/>
  <c r="W12" i="8"/>
  <c r="AH12" i="8" s="1"/>
  <c r="U12" i="8"/>
  <c r="AF12" i="8" s="1"/>
  <c r="F12" i="8" s="1"/>
  <c r="T12" i="8"/>
  <c r="N12" i="8"/>
  <c r="M12" i="8"/>
  <c r="L12" i="8"/>
  <c r="K12" i="8"/>
  <c r="J12" i="8"/>
  <c r="AC8" i="8"/>
  <c r="AI8" i="8" s="1"/>
  <c r="H8" i="8" s="1"/>
  <c r="Z8" i="8"/>
  <c r="AF8" i="8" s="1"/>
  <c r="F8" i="8" s="1"/>
  <c r="N8" i="8"/>
  <c r="M8" i="8"/>
  <c r="L8" i="8"/>
  <c r="K8" i="8"/>
  <c r="J8" i="8"/>
  <c r="AE7" i="8"/>
  <c r="E7" i="8" s="1"/>
  <c r="AA7" i="8"/>
  <c r="AG7" i="8" s="1"/>
  <c r="Y7" i="8"/>
  <c r="N7" i="8"/>
  <c r="M7" i="8"/>
  <c r="L7" i="8"/>
  <c r="K7" i="8"/>
  <c r="J7" i="8"/>
  <c r="AB6" i="8"/>
  <c r="AH6" i="8" s="1"/>
  <c r="AA6" i="8"/>
  <c r="AG6" i="8" s="1"/>
  <c r="N6" i="8"/>
  <c r="M6" i="8"/>
  <c r="L6" i="8"/>
  <c r="K6" i="8"/>
  <c r="J6" i="8"/>
  <c r="AB5" i="8"/>
  <c r="AH5" i="8" s="1"/>
  <c r="Y5" i="8"/>
  <c r="AE5" i="8" s="1"/>
  <c r="E5" i="8" s="1"/>
  <c r="N5" i="8"/>
  <c r="M5" i="8"/>
  <c r="L5" i="8"/>
  <c r="K5" i="8"/>
  <c r="J5" i="8"/>
  <c r="AB4" i="8"/>
  <c r="AB9" i="8" s="1"/>
  <c r="P4" i="8"/>
  <c r="Z4" i="8" s="1"/>
  <c r="N4" i="8"/>
  <c r="M4" i="8"/>
  <c r="L4" i="8"/>
  <c r="K4" i="8"/>
  <c r="J4" i="8"/>
  <c r="K23" i="7"/>
  <c r="O23" i="7" s="1"/>
  <c r="K22" i="7"/>
  <c r="O22" i="7" s="1"/>
  <c r="K21" i="7"/>
  <c r="O21" i="7" s="1"/>
  <c r="K20" i="7"/>
  <c r="O20" i="7" s="1"/>
  <c r="K19" i="7"/>
  <c r="O19" i="7" s="1"/>
  <c r="K18" i="7"/>
  <c r="O18" i="7" s="1"/>
  <c r="K17" i="7"/>
  <c r="N17" i="7" s="1"/>
  <c r="K16" i="7"/>
  <c r="N16" i="7" s="1"/>
  <c r="K15" i="7"/>
  <c r="N15" i="7" s="1"/>
  <c r="K14" i="7"/>
  <c r="N14" i="7" s="1"/>
  <c r="K13" i="7"/>
  <c r="N13" i="7" s="1"/>
  <c r="K12" i="7"/>
  <c r="N12" i="7" s="1"/>
  <c r="K11" i="7"/>
  <c r="N11" i="7" s="1"/>
  <c r="K10" i="7"/>
  <c r="N10" i="7" s="1"/>
  <c r="K9" i="7"/>
  <c r="N9" i="7" s="1"/>
  <c r="K8" i="7"/>
  <c r="N8" i="7" s="1"/>
  <c r="K7" i="7"/>
  <c r="N7" i="7" s="1"/>
  <c r="K6" i="7"/>
  <c r="N6" i="7" s="1"/>
  <c r="K5" i="7"/>
  <c r="N5" i="7" s="1"/>
  <c r="N4" i="7"/>
  <c r="K4" i="7"/>
  <c r="D121" i="6"/>
  <c r="E121" i="6" s="1"/>
  <c r="C121" i="6"/>
  <c r="E120" i="6"/>
  <c r="D120" i="6"/>
  <c r="C120" i="6"/>
  <c r="D119" i="6"/>
  <c r="E119" i="6" s="1"/>
  <c r="C119" i="6"/>
  <c r="D118" i="6"/>
  <c r="C118" i="6"/>
  <c r="E117" i="6"/>
  <c r="E116" i="6"/>
  <c r="E115" i="6"/>
  <c r="E114" i="6"/>
  <c r="H107" i="6"/>
  <c r="S105" i="6"/>
  <c r="L105" i="6" s="1"/>
  <c r="E105" i="6"/>
  <c r="B105" i="6"/>
  <c r="S104" i="6"/>
  <c r="L104" i="6" s="1"/>
  <c r="B104" i="6" s="1"/>
  <c r="I104" i="6"/>
  <c r="S103" i="6"/>
  <c r="S102" i="6"/>
  <c r="L102" i="6"/>
  <c r="B102" i="6" s="1"/>
  <c r="E101" i="6"/>
  <c r="E102" i="6" s="1"/>
  <c r="E103" i="6" s="1"/>
  <c r="E104" i="6" s="1"/>
  <c r="D101" i="6"/>
  <c r="G93" i="6"/>
  <c r="D93" i="6"/>
  <c r="C93" i="6"/>
  <c r="B93" i="6"/>
  <c r="F93" i="6" s="1"/>
  <c r="D92" i="6"/>
  <c r="G92" i="6" s="1"/>
  <c r="C92" i="6"/>
  <c r="F92" i="6" s="1"/>
  <c r="B92" i="6"/>
  <c r="E92" i="6" s="1"/>
  <c r="D91" i="6"/>
  <c r="C91" i="6"/>
  <c r="B91" i="6"/>
  <c r="E91" i="6" s="1"/>
  <c r="D90" i="6"/>
  <c r="C90" i="6"/>
  <c r="F90" i="6" s="1"/>
  <c r="B90" i="6"/>
  <c r="E90" i="6" s="1"/>
  <c r="E89" i="6"/>
  <c r="D89" i="6"/>
  <c r="C89" i="6"/>
  <c r="G89" i="6" s="1"/>
  <c r="B89" i="6"/>
  <c r="E88" i="6"/>
  <c r="D88" i="6"/>
  <c r="G88" i="6" s="1"/>
  <c r="C88" i="6"/>
  <c r="F88" i="6" s="1"/>
  <c r="B88" i="6"/>
  <c r="D87" i="6"/>
  <c r="G87" i="6" s="1"/>
  <c r="C87" i="6"/>
  <c r="B87" i="6"/>
  <c r="E87" i="6" s="1"/>
  <c r="F86" i="6"/>
  <c r="D86" i="6"/>
  <c r="G86" i="6" s="1"/>
  <c r="C86" i="6"/>
  <c r="B86" i="6"/>
  <c r="E86" i="6" s="1"/>
  <c r="G85" i="6"/>
  <c r="D85" i="6"/>
  <c r="C85" i="6"/>
  <c r="F85" i="6" s="1"/>
  <c r="B85" i="6"/>
  <c r="E85" i="6" s="1"/>
  <c r="E84" i="6"/>
  <c r="D84" i="6"/>
  <c r="C84" i="6"/>
  <c r="F84" i="6" s="1"/>
  <c r="B84" i="6"/>
  <c r="D83" i="6"/>
  <c r="G83" i="6" s="1"/>
  <c r="C83" i="6"/>
  <c r="B83" i="6"/>
  <c r="E83" i="6" s="1"/>
  <c r="D82" i="6"/>
  <c r="C82" i="6"/>
  <c r="F82" i="6" s="1"/>
  <c r="B82" i="6"/>
  <c r="E82" i="6" s="1"/>
  <c r="D81" i="6"/>
  <c r="G81" i="6" s="1"/>
  <c r="C81" i="6"/>
  <c r="B81" i="6"/>
  <c r="F81" i="6" s="1"/>
  <c r="D80" i="6"/>
  <c r="C80" i="6"/>
  <c r="F80" i="6" s="1"/>
  <c r="B80" i="6"/>
  <c r="E80" i="6" s="1"/>
  <c r="D79" i="6"/>
  <c r="G79" i="6" s="1"/>
  <c r="C79" i="6"/>
  <c r="B79" i="6"/>
  <c r="F79" i="6" s="1"/>
  <c r="D78" i="6"/>
  <c r="G78" i="6" s="1"/>
  <c r="C78" i="6"/>
  <c r="F78" i="6" s="1"/>
  <c r="B78" i="6"/>
  <c r="E78" i="6" s="1"/>
  <c r="D77" i="6"/>
  <c r="G77" i="6" s="1"/>
  <c r="C77" i="6"/>
  <c r="B77" i="6"/>
  <c r="F77" i="6" s="1"/>
  <c r="D76" i="6"/>
  <c r="G76" i="6" s="1"/>
  <c r="C76" i="6"/>
  <c r="B76" i="6"/>
  <c r="E76" i="6" s="1"/>
  <c r="D75" i="6"/>
  <c r="C75" i="6"/>
  <c r="F75" i="6" s="1"/>
  <c r="B75" i="6"/>
  <c r="E75" i="6" s="1"/>
  <c r="D74" i="6"/>
  <c r="G74" i="6" s="1"/>
  <c r="C74" i="6"/>
  <c r="F74" i="6" s="1"/>
  <c r="B74" i="6"/>
  <c r="E74" i="6" s="1"/>
  <c r="F73" i="6"/>
  <c r="D73" i="6"/>
  <c r="G73" i="6" s="1"/>
  <c r="C73" i="6"/>
  <c r="B73" i="6"/>
  <c r="E73" i="6" s="1"/>
  <c r="D72" i="6"/>
  <c r="G72" i="6" s="1"/>
  <c r="C72" i="6"/>
  <c r="B72" i="6"/>
  <c r="E72" i="6" s="1"/>
  <c r="D71" i="6"/>
  <c r="C71" i="6"/>
  <c r="F71" i="6" s="1"/>
  <c r="B71" i="6"/>
  <c r="E71" i="6" s="1"/>
  <c r="G70" i="6"/>
  <c r="D70" i="6"/>
  <c r="C70" i="6"/>
  <c r="B70" i="6"/>
  <c r="E70" i="6" s="1"/>
  <c r="D69" i="6"/>
  <c r="G69" i="6" s="1"/>
  <c r="C69" i="6"/>
  <c r="F69" i="6" s="1"/>
  <c r="B69" i="6"/>
  <c r="E69" i="6" s="1"/>
  <c r="D68" i="6"/>
  <c r="G68" i="6" s="1"/>
  <c r="C68" i="6"/>
  <c r="B68" i="6"/>
  <c r="E68" i="6" s="1"/>
  <c r="D67" i="6"/>
  <c r="C67" i="6"/>
  <c r="B67" i="6"/>
  <c r="E67" i="6" s="1"/>
  <c r="D66" i="6"/>
  <c r="G66" i="6" s="1"/>
  <c r="C66" i="6"/>
  <c r="B66" i="6"/>
  <c r="E66" i="6" s="1"/>
  <c r="D65" i="6"/>
  <c r="C65" i="6"/>
  <c r="B65" i="6"/>
  <c r="D64" i="6"/>
  <c r="C64" i="6"/>
  <c r="F64" i="6" s="1"/>
  <c r="B64" i="6"/>
  <c r="E64" i="6" s="1"/>
  <c r="E63" i="6"/>
  <c r="D63" i="6"/>
  <c r="C63" i="6"/>
  <c r="F63" i="6" s="1"/>
  <c r="B63" i="6"/>
  <c r="AJ59" i="6"/>
  <c r="AG59" i="6"/>
  <c r="AK59" i="6" s="1"/>
  <c r="AF59" i="6"/>
  <c r="AD59" i="6"/>
  <c r="AC59" i="6"/>
  <c r="AB59" i="6"/>
  <c r="AA59" i="6"/>
  <c r="Y59" i="6"/>
  <c r="X59" i="6"/>
  <c r="W59" i="6"/>
  <c r="M22" i="6" s="1"/>
  <c r="B21" i="6" s="1"/>
  <c r="V59" i="6"/>
  <c r="T59" i="6"/>
  <c r="S59" i="6"/>
  <c r="N59" i="6"/>
  <c r="I59" i="6"/>
  <c r="Z59" i="6" s="1"/>
  <c r="D59" i="6"/>
  <c r="AJ58" i="6"/>
  <c r="AG58" i="6"/>
  <c r="AF58" i="6"/>
  <c r="AD58" i="6"/>
  <c r="AC58" i="6"/>
  <c r="AB58" i="6"/>
  <c r="AA58" i="6"/>
  <c r="Y58" i="6"/>
  <c r="X58" i="6"/>
  <c r="W58" i="6"/>
  <c r="V58" i="6"/>
  <c r="T58" i="6"/>
  <c r="S58" i="6"/>
  <c r="N58" i="6"/>
  <c r="I58" i="6"/>
  <c r="D58" i="6"/>
  <c r="U58" i="6" s="1"/>
  <c r="AG57" i="6"/>
  <c r="AK57" i="6" s="1"/>
  <c r="AF57" i="6"/>
  <c r="AD57" i="6"/>
  <c r="AC57" i="6"/>
  <c r="AB57" i="6"/>
  <c r="AA57" i="6"/>
  <c r="Y57" i="6"/>
  <c r="X57" i="6"/>
  <c r="W57" i="6"/>
  <c r="V57" i="6"/>
  <c r="T57" i="6"/>
  <c r="S57" i="6"/>
  <c r="N57" i="6"/>
  <c r="I57" i="6"/>
  <c r="D57" i="6"/>
  <c r="U57" i="6" s="1"/>
  <c r="AJ56" i="6"/>
  <c r="AG56" i="6"/>
  <c r="AF56" i="6"/>
  <c r="AD56" i="6"/>
  <c r="AC56" i="6"/>
  <c r="AB56" i="6"/>
  <c r="AK56" i="6" s="1"/>
  <c r="AA56" i="6"/>
  <c r="Z56" i="6"/>
  <c r="Y56" i="6"/>
  <c r="X56" i="6"/>
  <c r="W56" i="6"/>
  <c r="V56" i="6"/>
  <c r="T56" i="6"/>
  <c r="S56" i="6"/>
  <c r="N56" i="6"/>
  <c r="I56" i="6"/>
  <c r="D56" i="6"/>
  <c r="U56" i="6" s="1"/>
  <c r="AG55" i="6"/>
  <c r="AF55" i="6"/>
  <c r="AD55" i="6"/>
  <c r="AC55" i="6"/>
  <c r="AB55" i="6"/>
  <c r="AA55" i="6"/>
  <c r="Y55" i="6"/>
  <c r="X55" i="6"/>
  <c r="W55" i="6"/>
  <c r="V55" i="6"/>
  <c r="T55" i="6"/>
  <c r="S55" i="6"/>
  <c r="N55" i="6"/>
  <c r="I55" i="6"/>
  <c r="Z55" i="6" s="1"/>
  <c r="D55" i="6"/>
  <c r="AG54" i="6"/>
  <c r="AF54" i="6"/>
  <c r="AJ54" i="6" s="1"/>
  <c r="AD54" i="6"/>
  <c r="AC54" i="6"/>
  <c r="AB54" i="6"/>
  <c r="AK54" i="6" s="1"/>
  <c r="AA54" i="6"/>
  <c r="Y54" i="6"/>
  <c r="X54" i="6"/>
  <c r="W54" i="6"/>
  <c r="V54" i="6"/>
  <c r="T54" i="6"/>
  <c r="S54" i="6"/>
  <c r="N54" i="6"/>
  <c r="I54" i="6"/>
  <c r="D54" i="6"/>
  <c r="U54" i="6" s="1"/>
  <c r="AJ53" i="6"/>
  <c r="AG53" i="6"/>
  <c r="AF53" i="6"/>
  <c r="AD53" i="6"/>
  <c r="AC53" i="6"/>
  <c r="AB53" i="6"/>
  <c r="AK53" i="6" s="1"/>
  <c r="AA53" i="6"/>
  <c r="Y53" i="6"/>
  <c r="X53" i="6"/>
  <c r="W53" i="6"/>
  <c r="V53" i="6"/>
  <c r="T53" i="6"/>
  <c r="S53" i="6"/>
  <c r="N53" i="6"/>
  <c r="I53" i="6"/>
  <c r="D53" i="6"/>
  <c r="U53" i="6" s="1"/>
  <c r="AG52" i="6"/>
  <c r="AF52" i="6"/>
  <c r="AJ52" i="6" s="1"/>
  <c r="AD52" i="6"/>
  <c r="AC52" i="6"/>
  <c r="AB52" i="6"/>
  <c r="AA52" i="6"/>
  <c r="Y52" i="6"/>
  <c r="X52" i="6"/>
  <c r="W52" i="6"/>
  <c r="V52" i="6"/>
  <c r="T52" i="6"/>
  <c r="S52" i="6"/>
  <c r="N52" i="6"/>
  <c r="I52" i="6"/>
  <c r="D52" i="6"/>
  <c r="AK51" i="6"/>
  <c r="AG51" i="6"/>
  <c r="AF51" i="6"/>
  <c r="AJ51" i="6" s="1"/>
  <c r="AD51" i="6"/>
  <c r="AC51" i="6"/>
  <c r="AB51" i="6"/>
  <c r="AA51" i="6"/>
  <c r="Y51" i="6"/>
  <c r="X51" i="6"/>
  <c r="W51" i="6"/>
  <c r="V51" i="6"/>
  <c r="T51" i="6"/>
  <c r="S51" i="6"/>
  <c r="N51" i="6"/>
  <c r="I51" i="6"/>
  <c r="D51" i="6"/>
  <c r="AK50" i="6"/>
  <c r="AG50" i="6"/>
  <c r="AF50" i="6"/>
  <c r="AJ50" i="6" s="1"/>
  <c r="AD50" i="6"/>
  <c r="AC50" i="6"/>
  <c r="AB50" i="6"/>
  <c r="AA50" i="6"/>
  <c r="Y50" i="6"/>
  <c r="X50" i="6"/>
  <c r="W50" i="6"/>
  <c r="V50" i="6"/>
  <c r="T50" i="6"/>
  <c r="S50" i="6"/>
  <c r="N50" i="6"/>
  <c r="I50" i="6"/>
  <c r="D50" i="6"/>
  <c r="U50" i="6" s="1"/>
  <c r="AG49" i="6"/>
  <c r="AF49" i="6"/>
  <c r="AD49" i="6"/>
  <c r="AC49" i="6"/>
  <c r="AB49" i="6"/>
  <c r="AA49" i="6"/>
  <c r="Y49" i="6"/>
  <c r="X49" i="6"/>
  <c r="W49" i="6"/>
  <c r="V49" i="6"/>
  <c r="T49" i="6"/>
  <c r="S49" i="6"/>
  <c r="N49" i="6"/>
  <c r="I49" i="6"/>
  <c r="Z49" i="6" s="1"/>
  <c r="D49" i="6"/>
  <c r="AG48" i="6"/>
  <c r="AF48" i="6"/>
  <c r="AJ48" i="6" s="1"/>
  <c r="AD48" i="6"/>
  <c r="AC48" i="6"/>
  <c r="AB48" i="6"/>
  <c r="AK48" i="6" s="1"/>
  <c r="AA48" i="6"/>
  <c r="Y48" i="6"/>
  <c r="X48" i="6"/>
  <c r="W48" i="6"/>
  <c r="V48" i="6"/>
  <c r="T48" i="6"/>
  <c r="S48" i="6"/>
  <c r="N48" i="6"/>
  <c r="I48" i="6"/>
  <c r="D48" i="6"/>
  <c r="U48" i="6" s="1"/>
  <c r="AG47" i="6"/>
  <c r="AF47" i="6"/>
  <c r="AD47" i="6"/>
  <c r="AC47" i="6"/>
  <c r="AB47" i="6"/>
  <c r="AA47" i="6"/>
  <c r="Y47" i="6"/>
  <c r="X47" i="6"/>
  <c r="W47" i="6"/>
  <c r="V47" i="6"/>
  <c r="T47" i="6"/>
  <c r="S47" i="6"/>
  <c r="N47" i="6"/>
  <c r="I47" i="6"/>
  <c r="D47" i="6"/>
  <c r="U47" i="6" s="1"/>
  <c r="AG46" i="6"/>
  <c r="AF46" i="6"/>
  <c r="AJ46" i="6" s="1"/>
  <c r="AD46" i="6"/>
  <c r="AC46" i="6"/>
  <c r="AB46" i="6"/>
  <c r="AA46" i="6"/>
  <c r="Y46" i="6"/>
  <c r="X46" i="6"/>
  <c r="W46" i="6"/>
  <c r="V46" i="6"/>
  <c r="T46" i="6"/>
  <c r="S46" i="6"/>
  <c r="N46" i="6"/>
  <c r="I46" i="6"/>
  <c r="D46" i="6"/>
  <c r="U46" i="6" s="1"/>
  <c r="AG45" i="6"/>
  <c r="AF45" i="6"/>
  <c r="AD45" i="6"/>
  <c r="AC45" i="6"/>
  <c r="AB45" i="6"/>
  <c r="AK45" i="6" s="1"/>
  <c r="AA45" i="6"/>
  <c r="Y45" i="6"/>
  <c r="X45" i="6"/>
  <c r="W45" i="6"/>
  <c r="V45" i="6"/>
  <c r="T45" i="6"/>
  <c r="S45" i="6"/>
  <c r="N45" i="6"/>
  <c r="I45" i="6"/>
  <c r="D45" i="6"/>
  <c r="U45" i="6" s="1"/>
  <c r="AG44" i="6"/>
  <c r="AF44" i="6"/>
  <c r="AJ44" i="6" s="1"/>
  <c r="AD44" i="6"/>
  <c r="AC44" i="6"/>
  <c r="AB44" i="6"/>
  <c r="AA44" i="6"/>
  <c r="Y44" i="6"/>
  <c r="X44" i="6"/>
  <c r="W44" i="6"/>
  <c r="V44" i="6"/>
  <c r="T44" i="6"/>
  <c r="S44" i="6"/>
  <c r="N44" i="6"/>
  <c r="I44" i="6"/>
  <c r="Z44" i="6" s="1"/>
  <c r="D44" i="6"/>
  <c r="AK43" i="6"/>
  <c r="AG43" i="6"/>
  <c r="AF43" i="6"/>
  <c r="AJ43" i="6" s="1"/>
  <c r="AD43" i="6"/>
  <c r="AC43" i="6"/>
  <c r="AB43" i="6"/>
  <c r="AA43" i="6"/>
  <c r="Y43" i="6"/>
  <c r="X43" i="6"/>
  <c r="W43" i="6"/>
  <c r="V43" i="6"/>
  <c r="T43" i="6"/>
  <c r="S43" i="6"/>
  <c r="N43" i="6"/>
  <c r="I43" i="6"/>
  <c r="Z43" i="6" s="1"/>
  <c r="D43" i="6"/>
  <c r="AG42" i="6"/>
  <c r="AK42" i="6" s="1"/>
  <c r="AF42" i="6"/>
  <c r="AJ42" i="6" s="1"/>
  <c r="AD42" i="6"/>
  <c r="AC42" i="6"/>
  <c r="AB42" i="6"/>
  <c r="AA42" i="6"/>
  <c r="Y42" i="6"/>
  <c r="X42" i="6"/>
  <c r="W42" i="6"/>
  <c r="V42" i="6"/>
  <c r="T42" i="6"/>
  <c r="S42" i="6"/>
  <c r="N42" i="6"/>
  <c r="I42" i="6"/>
  <c r="D42" i="6"/>
  <c r="AG41" i="6"/>
  <c r="AF41" i="6"/>
  <c r="AD41" i="6"/>
  <c r="AC41" i="6"/>
  <c r="AB41" i="6"/>
  <c r="AA41" i="6"/>
  <c r="Y41" i="6"/>
  <c r="X41" i="6"/>
  <c r="W41" i="6"/>
  <c r="V41" i="6"/>
  <c r="T41" i="6"/>
  <c r="S41" i="6"/>
  <c r="N41" i="6"/>
  <c r="I41" i="6"/>
  <c r="D41" i="6"/>
  <c r="U41" i="6" s="1"/>
  <c r="AG40" i="6"/>
  <c r="AF40" i="6"/>
  <c r="AJ40" i="6" s="1"/>
  <c r="AD40" i="6"/>
  <c r="AC40" i="6"/>
  <c r="AB40" i="6"/>
  <c r="AK40" i="6" s="1"/>
  <c r="AA40" i="6"/>
  <c r="Y40" i="6"/>
  <c r="X40" i="6"/>
  <c r="W40" i="6"/>
  <c r="V40" i="6"/>
  <c r="T40" i="6"/>
  <c r="S40" i="6"/>
  <c r="N40" i="6"/>
  <c r="I40" i="6"/>
  <c r="D40" i="6"/>
  <c r="AJ39" i="6"/>
  <c r="AG39" i="6"/>
  <c r="AF39" i="6"/>
  <c r="AD39" i="6"/>
  <c r="AC39" i="6"/>
  <c r="AB39" i="6"/>
  <c r="L21" i="6" s="1"/>
  <c r="AA39" i="6"/>
  <c r="Y39" i="6"/>
  <c r="X39" i="6"/>
  <c r="W39" i="6"/>
  <c r="L22" i="6" s="1"/>
  <c r="B19" i="6" s="1"/>
  <c r="E19" i="6" s="1"/>
  <c r="C19" i="6" s="1"/>
  <c r="C4" i="6" s="1"/>
  <c r="V39" i="6"/>
  <c r="T39" i="6"/>
  <c r="S39" i="6"/>
  <c r="N39" i="6"/>
  <c r="I39" i="6"/>
  <c r="Z39" i="6" s="1"/>
  <c r="D39" i="6"/>
  <c r="AK38" i="6"/>
  <c r="AG38" i="6"/>
  <c r="AF38" i="6"/>
  <c r="AD38" i="6"/>
  <c r="AC38" i="6"/>
  <c r="AB38" i="6"/>
  <c r="AA38" i="6"/>
  <c r="Y38" i="6"/>
  <c r="X38" i="6"/>
  <c r="W38" i="6"/>
  <c r="V38" i="6"/>
  <c r="T38" i="6"/>
  <c r="S38" i="6"/>
  <c r="N38" i="6"/>
  <c r="AE38" i="6" s="1"/>
  <c r="I38" i="6"/>
  <c r="Z38" i="6" s="1"/>
  <c r="D38" i="6"/>
  <c r="AG37" i="6"/>
  <c r="AF37" i="6"/>
  <c r="AD37" i="6"/>
  <c r="AC37" i="6"/>
  <c r="AB37" i="6"/>
  <c r="AA37" i="6"/>
  <c r="AJ37" i="6" s="1"/>
  <c r="Y37" i="6"/>
  <c r="X37" i="6"/>
  <c r="W37" i="6"/>
  <c r="V37" i="6"/>
  <c r="T37" i="6"/>
  <c r="S37" i="6"/>
  <c r="N37" i="6"/>
  <c r="I37" i="6"/>
  <c r="D37" i="6"/>
  <c r="AG36" i="6"/>
  <c r="AK36" i="6" s="1"/>
  <c r="AF36" i="6"/>
  <c r="AD36" i="6"/>
  <c r="AC36" i="6"/>
  <c r="AB36" i="6"/>
  <c r="AA36" i="6"/>
  <c r="AJ36" i="6" s="1"/>
  <c r="Y36" i="6"/>
  <c r="X36" i="6"/>
  <c r="W36" i="6"/>
  <c r="V36" i="6"/>
  <c r="T36" i="6"/>
  <c r="S36" i="6"/>
  <c r="N36" i="6"/>
  <c r="I36" i="6"/>
  <c r="Z36" i="6" s="1"/>
  <c r="D36" i="6"/>
  <c r="AG35" i="6"/>
  <c r="AK35" i="6" s="1"/>
  <c r="AF35" i="6"/>
  <c r="AD35" i="6"/>
  <c r="AC35" i="6"/>
  <c r="AB35" i="6"/>
  <c r="AA35" i="6"/>
  <c r="Y35" i="6"/>
  <c r="X35" i="6"/>
  <c r="W35" i="6"/>
  <c r="V35" i="6"/>
  <c r="T35" i="6"/>
  <c r="S35" i="6"/>
  <c r="N35" i="6"/>
  <c r="AE35" i="6" s="1"/>
  <c r="I35" i="6"/>
  <c r="D35" i="6"/>
  <c r="AG34" i="6"/>
  <c r="AF34" i="6"/>
  <c r="AJ34" i="6" s="1"/>
  <c r="AD34" i="6"/>
  <c r="AC34" i="6"/>
  <c r="AB34" i="6"/>
  <c r="AA34" i="6"/>
  <c r="Y34" i="6"/>
  <c r="X34" i="6"/>
  <c r="W34" i="6"/>
  <c r="V34" i="6"/>
  <c r="T34" i="6"/>
  <c r="S34" i="6"/>
  <c r="N34" i="6"/>
  <c r="I34" i="6"/>
  <c r="D34" i="6"/>
  <c r="AG33" i="6"/>
  <c r="AF33" i="6"/>
  <c r="AJ33" i="6" s="1"/>
  <c r="AD33" i="6"/>
  <c r="AC33" i="6"/>
  <c r="AB33" i="6"/>
  <c r="AA33" i="6"/>
  <c r="Y33" i="6"/>
  <c r="X33" i="6"/>
  <c r="W33" i="6"/>
  <c r="V33" i="6"/>
  <c r="T33" i="6"/>
  <c r="S33" i="6"/>
  <c r="N33" i="6"/>
  <c r="I33" i="6"/>
  <c r="Z33" i="6" s="1"/>
  <c r="D33" i="6"/>
  <c r="AG32" i="6"/>
  <c r="AF32" i="6"/>
  <c r="AJ32" i="6" s="1"/>
  <c r="AD32" i="6"/>
  <c r="AC32" i="6"/>
  <c r="AB32" i="6"/>
  <c r="AK32" i="6" s="1"/>
  <c r="AA32" i="6"/>
  <c r="Y32" i="6"/>
  <c r="X32" i="6"/>
  <c r="W32" i="6"/>
  <c r="V32" i="6"/>
  <c r="T32" i="6"/>
  <c r="S32" i="6"/>
  <c r="N32" i="6"/>
  <c r="AE32" i="6" s="1"/>
  <c r="I32" i="6"/>
  <c r="D32" i="6"/>
  <c r="AG31" i="6"/>
  <c r="AK31" i="6" s="1"/>
  <c r="AF31" i="6"/>
  <c r="AD31" i="6"/>
  <c r="AC31" i="6"/>
  <c r="AB31" i="6"/>
  <c r="AA31" i="6"/>
  <c r="Y31" i="6"/>
  <c r="X31" i="6"/>
  <c r="W31" i="6"/>
  <c r="V31" i="6"/>
  <c r="T31" i="6"/>
  <c r="S31" i="6"/>
  <c r="N31" i="6"/>
  <c r="I31" i="6"/>
  <c r="D31" i="6"/>
  <c r="AG30" i="6"/>
  <c r="AF30" i="6"/>
  <c r="AD30" i="6"/>
  <c r="AC30" i="6"/>
  <c r="AB30" i="6"/>
  <c r="AA30" i="6"/>
  <c r="Y30" i="6"/>
  <c r="X30" i="6"/>
  <c r="W30" i="6"/>
  <c r="V30" i="6"/>
  <c r="T30" i="6"/>
  <c r="S30" i="6"/>
  <c r="N30" i="6"/>
  <c r="I30" i="6"/>
  <c r="D30" i="6"/>
  <c r="AG29" i="6"/>
  <c r="AF29" i="6"/>
  <c r="AE29" i="6"/>
  <c r="AI29" i="6" s="1"/>
  <c r="AD29" i="6"/>
  <c r="AC29" i="6"/>
  <c r="AB29" i="6"/>
  <c r="K21" i="6" s="1"/>
  <c r="AA29" i="6"/>
  <c r="Z29" i="6"/>
  <c r="Y29" i="6"/>
  <c r="X29" i="6"/>
  <c r="W29" i="6"/>
  <c r="K22" i="6" s="1"/>
  <c r="V29" i="6"/>
  <c r="T29" i="6"/>
  <c r="S29" i="6"/>
  <c r="N29" i="6"/>
  <c r="AE39" i="6" s="1"/>
  <c r="AI39" i="6" s="1"/>
  <c r="I29" i="6"/>
  <c r="D29" i="6"/>
  <c r="U37" i="6" s="1"/>
  <c r="M23" i="6"/>
  <c r="B22" i="6" s="1"/>
  <c r="E22" i="6" s="1"/>
  <c r="C22" i="6" s="1"/>
  <c r="C7" i="6" s="1"/>
  <c r="L23" i="6"/>
  <c r="D22" i="6"/>
  <c r="M21" i="6"/>
  <c r="G21" i="6"/>
  <c r="D21" i="6"/>
  <c r="D20" i="6"/>
  <c r="B20" i="6"/>
  <c r="M19" i="6"/>
  <c r="L19" i="6"/>
  <c r="K19" i="6"/>
  <c r="D19" i="6"/>
  <c r="M18" i="6"/>
  <c r="L18" i="6"/>
  <c r="K18" i="6"/>
  <c r="H18" i="6"/>
  <c r="E18" i="6"/>
  <c r="D18" i="6"/>
  <c r="M17" i="6"/>
  <c r="L17" i="6"/>
  <c r="K17" i="6"/>
  <c r="L108" i="5"/>
  <c r="K108" i="5"/>
  <c r="J108" i="5"/>
  <c r="I108" i="5"/>
  <c r="L107" i="5"/>
  <c r="K107" i="5"/>
  <c r="J107" i="5"/>
  <c r="I107" i="5"/>
  <c r="L106" i="5"/>
  <c r="K106" i="5"/>
  <c r="J106" i="5"/>
  <c r="I106" i="5"/>
  <c r="L105" i="5"/>
  <c r="K105" i="5"/>
  <c r="J105" i="5"/>
  <c r="I105" i="5"/>
  <c r="L104" i="5"/>
  <c r="K104" i="5"/>
  <c r="J104" i="5"/>
  <c r="I104" i="5"/>
  <c r="L103" i="5"/>
  <c r="K103" i="5"/>
  <c r="J103" i="5"/>
  <c r="I103" i="5"/>
  <c r="L102" i="5"/>
  <c r="K102" i="5"/>
  <c r="J102" i="5"/>
  <c r="I102" i="5"/>
  <c r="L101" i="5"/>
  <c r="K101" i="5"/>
  <c r="J101" i="5"/>
  <c r="I101" i="5"/>
  <c r="L100" i="5"/>
  <c r="K100" i="5"/>
  <c r="J100" i="5"/>
  <c r="I100" i="5"/>
  <c r="L99" i="5"/>
  <c r="K99" i="5"/>
  <c r="J99" i="5"/>
  <c r="I99" i="5"/>
  <c r="L98" i="5"/>
  <c r="K98" i="5"/>
  <c r="J98" i="5"/>
  <c r="I98" i="5"/>
  <c r="L97" i="5"/>
  <c r="K97" i="5"/>
  <c r="J97" i="5"/>
  <c r="L96" i="5"/>
  <c r="K96" i="5"/>
  <c r="J96" i="5"/>
  <c r="I96" i="5"/>
  <c r="L95" i="5"/>
  <c r="K95" i="5"/>
  <c r="J95" i="5"/>
  <c r="I95" i="5"/>
  <c r="L94" i="5"/>
  <c r="K94" i="5"/>
  <c r="J94" i="5"/>
  <c r="I94" i="5"/>
  <c r="L93" i="5"/>
  <c r="K93" i="5"/>
  <c r="J93" i="5"/>
  <c r="I93" i="5"/>
  <c r="L92" i="5"/>
  <c r="K92" i="5"/>
  <c r="J92" i="5"/>
  <c r="I92" i="5"/>
  <c r="L91" i="5"/>
  <c r="K91" i="5"/>
  <c r="J91" i="5"/>
  <c r="I91" i="5"/>
  <c r="L90" i="5"/>
  <c r="K90" i="5"/>
  <c r="J90" i="5"/>
  <c r="I90" i="5"/>
  <c r="L89" i="5"/>
  <c r="K89" i="5"/>
  <c r="J89" i="5"/>
  <c r="I89" i="5"/>
  <c r="L88" i="5"/>
  <c r="K88" i="5"/>
  <c r="J88" i="5"/>
  <c r="I88" i="5"/>
  <c r="L87" i="5"/>
  <c r="K87" i="5"/>
  <c r="J87" i="5"/>
  <c r="I87" i="5" a="1"/>
  <c r="I87" i="5" s="1"/>
  <c r="L86" i="5"/>
  <c r="K86" i="5"/>
  <c r="J86" i="5"/>
  <c r="I86" i="5"/>
  <c r="L85" i="5"/>
  <c r="K85" i="5"/>
  <c r="J85" i="5"/>
  <c r="I85" i="5"/>
  <c r="L84" i="5"/>
  <c r="K84" i="5"/>
  <c r="J84" i="5"/>
  <c r="I84" i="5"/>
  <c r="L83" i="5"/>
  <c r="K83" i="5"/>
  <c r="J83" i="5"/>
  <c r="I83" i="5"/>
  <c r="L82" i="5"/>
  <c r="K82" i="5"/>
  <c r="J82" i="5"/>
  <c r="I82" i="5"/>
  <c r="L81" i="5"/>
  <c r="K81" i="5"/>
  <c r="J81" i="5"/>
  <c r="I81" i="5"/>
  <c r="L80" i="5"/>
  <c r="K80" i="5"/>
  <c r="J80" i="5"/>
  <c r="I80" i="5"/>
  <c r="L79" i="5"/>
  <c r="K79" i="5"/>
  <c r="J79" i="5"/>
  <c r="I79" i="5"/>
  <c r="L78" i="5"/>
  <c r="K78" i="5"/>
  <c r="J78" i="5"/>
  <c r="I78" i="5"/>
  <c r="L77" i="5"/>
  <c r="K77" i="5"/>
  <c r="J77" i="5"/>
  <c r="I77" i="5"/>
  <c r="L76" i="5"/>
  <c r="K76" i="5"/>
  <c r="J76" i="5"/>
  <c r="I76" i="5"/>
  <c r="L75" i="5"/>
  <c r="K75" i="5"/>
  <c r="J75" i="5"/>
  <c r="I75" i="5"/>
  <c r="L74" i="5"/>
  <c r="K74" i="5"/>
  <c r="J74" i="5"/>
  <c r="I74" i="5"/>
  <c r="L73" i="5"/>
  <c r="K73" i="5"/>
  <c r="J73" i="5"/>
  <c r="I73" i="5"/>
  <c r="L72" i="5"/>
  <c r="K72" i="5"/>
  <c r="J72" i="5"/>
  <c r="I72" i="5"/>
  <c r="L71" i="5"/>
  <c r="K71" i="5"/>
  <c r="J71" i="5"/>
  <c r="I71" i="5"/>
  <c r="L70" i="5"/>
  <c r="K70" i="5"/>
  <c r="J70" i="5"/>
  <c r="I70" i="5"/>
  <c r="L69" i="5"/>
  <c r="K69" i="5"/>
  <c r="J69" i="5"/>
  <c r="I69" i="5"/>
  <c r="L68" i="5"/>
  <c r="K68" i="5"/>
  <c r="J68" i="5"/>
  <c r="I68" i="5"/>
  <c r="L67" i="5"/>
  <c r="K67" i="5"/>
  <c r="J67" i="5"/>
  <c r="I67" i="5"/>
  <c r="L66" i="5"/>
  <c r="K66" i="5"/>
  <c r="J66" i="5"/>
  <c r="I66" i="5"/>
  <c r="L65" i="5"/>
  <c r="K65" i="5"/>
  <c r="J65" i="5"/>
  <c r="I65" i="5"/>
  <c r="L64" i="5"/>
  <c r="K64" i="5"/>
  <c r="J64" i="5"/>
  <c r="I64" i="5"/>
  <c r="L63" i="5"/>
  <c r="K63" i="5"/>
  <c r="J63" i="5"/>
  <c r="I63" i="5"/>
  <c r="L62" i="5"/>
  <c r="K62" i="5"/>
  <c r="J62" i="5"/>
  <c r="I62" i="5"/>
  <c r="L61" i="5"/>
  <c r="K61" i="5"/>
  <c r="J61" i="5"/>
  <c r="I61" i="5"/>
  <c r="L60" i="5"/>
  <c r="K60" i="5"/>
  <c r="J60" i="5"/>
  <c r="I60" i="5"/>
  <c r="L59" i="5"/>
  <c r="K59" i="5"/>
  <c r="J59" i="5"/>
  <c r="I59" i="5"/>
  <c r="L58" i="5"/>
  <c r="K58" i="5"/>
  <c r="J58" i="5"/>
  <c r="I58" i="5"/>
  <c r="L57" i="5"/>
  <c r="K57" i="5"/>
  <c r="J57" i="5"/>
  <c r="I57" i="5"/>
  <c r="L56" i="5"/>
  <c r="K56" i="5"/>
  <c r="J56" i="5"/>
  <c r="I56" i="5"/>
  <c r="L55" i="5"/>
  <c r="K55" i="5"/>
  <c r="J55" i="5"/>
  <c r="I55" i="5"/>
  <c r="L54" i="5"/>
  <c r="K54" i="5"/>
  <c r="J54" i="5"/>
  <c r="I54" i="5"/>
  <c r="L53" i="5"/>
  <c r="K53" i="5"/>
  <c r="J53" i="5"/>
  <c r="I53" i="5"/>
  <c r="L52" i="5"/>
  <c r="K52" i="5"/>
  <c r="J52" i="5"/>
  <c r="I52" i="5"/>
  <c r="L51" i="5"/>
  <c r="K51" i="5"/>
  <c r="J51" i="5"/>
  <c r="I51" i="5"/>
  <c r="L50" i="5"/>
  <c r="K50" i="5"/>
  <c r="J50" i="5"/>
  <c r="I50" i="5"/>
  <c r="L49" i="5"/>
  <c r="K49" i="5"/>
  <c r="J49" i="5"/>
  <c r="I49" i="5"/>
  <c r="L48" i="5"/>
  <c r="K48" i="5"/>
  <c r="J48" i="5"/>
  <c r="I48" i="5"/>
  <c r="L47" i="5"/>
  <c r="K47" i="5"/>
  <c r="J47" i="5"/>
  <c r="I47" i="5"/>
  <c r="L46" i="5"/>
  <c r="K46" i="5"/>
  <c r="J46" i="5"/>
  <c r="I46" i="5"/>
  <c r="L45" i="5"/>
  <c r="K45" i="5"/>
  <c r="J45" i="5"/>
  <c r="I45" i="5"/>
  <c r="L44" i="5"/>
  <c r="K44" i="5"/>
  <c r="J44" i="5"/>
  <c r="I44" i="5"/>
  <c r="L43" i="5"/>
  <c r="K43" i="5"/>
  <c r="J43" i="5"/>
  <c r="I43" i="5"/>
  <c r="L42" i="5"/>
  <c r="K42" i="5"/>
  <c r="J42" i="5"/>
  <c r="I42" i="5"/>
  <c r="L41" i="5"/>
  <c r="K41" i="5"/>
  <c r="J41" i="5"/>
  <c r="I41" i="5" a="1"/>
  <c r="I41" i="5" s="1"/>
  <c r="L40" i="5"/>
  <c r="K40" i="5"/>
  <c r="J40" i="5"/>
  <c r="I40" i="5"/>
  <c r="L39" i="5"/>
  <c r="K39" i="5"/>
  <c r="J39" i="5"/>
  <c r="I39" i="5"/>
  <c r="L38" i="5"/>
  <c r="K38" i="5"/>
  <c r="J38" i="5"/>
  <c r="I38" i="5"/>
  <c r="L37" i="5"/>
  <c r="K37" i="5"/>
  <c r="J37" i="5"/>
  <c r="I37" i="5"/>
  <c r="L36" i="5"/>
  <c r="K36" i="5"/>
  <c r="J36" i="5"/>
  <c r="I36" i="5"/>
  <c r="L35" i="5"/>
  <c r="K35" i="5"/>
  <c r="J35" i="5"/>
  <c r="I35" i="5"/>
  <c r="L34" i="5"/>
  <c r="K34" i="5"/>
  <c r="J34" i="5"/>
  <c r="I34" i="5"/>
  <c r="L33" i="5"/>
  <c r="K33" i="5"/>
  <c r="J33" i="5"/>
  <c r="I33" i="5"/>
  <c r="L32" i="5"/>
  <c r="K32" i="5"/>
  <c r="J32" i="5"/>
  <c r="I32" i="5"/>
  <c r="L31" i="5"/>
  <c r="K31" i="5"/>
  <c r="J31" i="5"/>
  <c r="I31" i="5"/>
  <c r="L30" i="5"/>
  <c r="K30" i="5"/>
  <c r="J30" i="5"/>
  <c r="I30" i="5"/>
  <c r="L29" i="5"/>
  <c r="K29" i="5"/>
  <c r="J29" i="5"/>
  <c r="I29" i="5"/>
  <c r="L28" i="5"/>
  <c r="K28" i="5"/>
  <c r="J28" i="5"/>
  <c r="I28" i="5"/>
  <c r="L27" i="5"/>
  <c r="K27" i="5"/>
  <c r="J27" i="5"/>
  <c r="I27" i="5"/>
  <c r="L26" i="5"/>
  <c r="K26" i="5"/>
  <c r="J26" i="5"/>
  <c r="I26" i="5"/>
  <c r="L25" i="5"/>
  <c r="K25" i="5"/>
  <c r="J25" i="5"/>
  <c r="I25" i="5"/>
  <c r="L24" i="5"/>
  <c r="K24" i="5"/>
  <c r="J24" i="5"/>
  <c r="I24" i="5"/>
  <c r="L23" i="5"/>
  <c r="K23" i="5"/>
  <c r="J23" i="5"/>
  <c r="I23" i="5"/>
  <c r="L22" i="5"/>
  <c r="K22" i="5"/>
  <c r="J22" i="5"/>
  <c r="I22" i="5"/>
  <c r="L21" i="5"/>
  <c r="K21" i="5"/>
  <c r="J21" i="5"/>
  <c r="I21" i="5"/>
  <c r="L20" i="5"/>
  <c r="K20" i="5"/>
  <c r="J20" i="5"/>
  <c r="I20" i="5"/>
  <c r="L19" i="5"/>
  <c r="K19" i="5"/>
  <c r="J19" i="5"/>
  <c r="I19" i="5"/>
  <c r="L18" i="5"/>
  <c r="K18" i="5"/>
  <c r="J18" i="5"/>
  <c r="I18" i="5"/>
  <c r="L17" i="5"/>
  <c r="K17" i="5"/>
  <c r="J17" i="5"/>
  <c r="L16" i="5"/>
  <c r="K16" i="5"/>
  <c r="J16" i="5"/>
  <c r="I16" i="5"/>
  <c r="L15" i="5"/>
  <c r="K15" i="5"/>
  <c r="J15" i="5"/>
  <c r="I15" i="5"/>
  <c r="L14" i="5"/>
  <c r="K14" i="5"/>
  <c r="J14" i="5"/>
  <c r="I14" i="5"/>
  <c r="L13" i="5"/>
  <c r="K13" i="5"/>
  <c r="J13" i="5"/>
  <c r="I13" i="5"/>
  <c r="L12" i="5"/>
  <c r="K12" i="5"/>
  <c r="J12" i="5"/>
  <c r="I12" i="5"/>
  <c r="L11" i="5"/>
  <c r="K11" i="5"/>
  <c r="J11" i="5"/>
  <c r="I11" i="5"/>
  <c r="L10" i="5"/>
  <c r="K10" i="5"/>
  <c r="J10" i="5"/>
  <c r="I10" i="5"/>
  <c r="L9" i="5"/>
  <c r="K9" i="5"/>
  <c r="J9" i="5"/>
  <c r="I9" i="5"/>
  <c r="L8" i="5"/>
  <c r="K8" i="5"/>
  <c r="J8" i="5"/>
  <c r="I8" i="5"/>
  <c r="L7" i="5"/>
  <c r="K7" i="5"/>
  <c r="J7" i="5"/>
  <c r="I7" i="5"/>
  <c r="L6" i="5"/>
  <c r="K6" i="5"/>
  <c r="J6" i="5"/>
  <c r="I6" i="5"/>
  <c r="L5" i="5"/>
  <c r="K5" i="5"/>
  <c r="J5" i="5"/>
  <c r="I5" i="5"/>
  <c r="D5" i="5"/>
  <c r="C5" i="5"/>
  <c r="B5" i="5"/>
  <c r="L4" i="5"/>
  <c r="K4" i="5"/>
  <c r="J4" i="5"/>
  <c r="I4" i="5"/>
  <c r="D4" i="5"/>
  <c r="C4" i="5"/>
  <c r="B4" i="5"/>
  <c r="L3" i="5"/>
  <c r="K3" i="5"/>
  <c r="J3" i="5"/>
  <c r="I3" i="5"/>
  <c r="D3" i="5"/>
  <c r="C3" i="5"/>
  <c r="B3" i="5"/>
  <c r="H222" i="4"/>
  <c r="G222" i="4"/>
  <c r="H221" i="4"/>
  <c r="G221" i="4"/>
  <c r="H220" i="4"/>
  <c r="G220" i="4"/>
  <c r="H219" i="4"/>
  <c r="G219" i="4"/>
  <c r="H218" i="4"/>
  <c r="G218" i="4"/>
  <c r="H217" i="4"/>
  <c r="G217" i="4"/>
  <c r="H216" i="4"/>
  <c r="G216" i="4"/>
  <c r="H215" i="4"/>
  <c r="G215" i="4"/>
  <c r="H214" i="4"/>
  <c r="G214" i="4"/>
  <c r="H213" i="4"/>
  <c r="G213" i="4"/>
  <c r="H212" i="4"/>
  <c r="G212" i="4"/>
  <c r="H211" i="4"/>
  <c r="G211" i="4"/>
  <c r="H210" i="4"/>
  <c r="G210" i="4"/>
  <c r="A180" i="4"/>
  <c r="M123" i="4"/>
  <c r="M122" i="4"/>
  <c r="M121" i="4"/>
  <c r="M120" i="4"/>
  <c r="M119" i="4"/>
  <c r="M118" i="4"/>
  <c r="M117" i="4"/>
  <c r="M116" i="4"/>
  <c r="M115" i="4"/>
  <c r="M114" i="4"/>
  <c r="M113" i="4"/>
  <c r="M112" i="4"/>
  <c r="M111" i="4"/>
  <c r="M110" i="4"/>
  <c r="M109" i="4"/>
  <c r="M108" i="4"/>
  <c r="M107" i="4"/>
  <c r="M106" i="4"/>
  <c r="M105" i="4"/>
  <c r="M104" i="4"/>
  <c r="M103" i="4"/>
  <c r="M102" i="4"/>
  <c r="M101" i="4"/>
  <c r="AC96" i="4"/>
  <c r="AB96" i="4"/>
  <c r="Y96" i="4"/>
  <c r="X96" i="4"/>
  <c r="U96" i="4"/>
  <c r="T96" i="4"/>
  <c r="Q96" i="4"/>
  <c r="P96" i="4"/>
  <c r="D96" i="4"/>
  <c r="C96" i="4"/>
  <c r="B96" i="4"/>
  <c r="AC95" i="4"/>
  <c r="AB95" i="4"/>
  <c r="Y95" i="4"/>
  <c r="X95" i="4"/>
  <c r="U95" i="4"/>
  <c r="T95" i="4"/>
  <c r="Q95" i="4"/>
  <c r="P95" i="4"/>
  <c r="C95" i="4"/>
  <c r="B95" i="4"/>
  <c r="AC94" i="4"/>
  <c r="AB94" i="4"/>
  <c r="Y94" i="4"/>
  <c r="X94" i="4"/>
  <c r="U94" i="4"/>
  <c r="T94" i="4"/>
  <c r="Q94" i="4"/>
  <c r="P94" i="4"/>
  <c r="D94" i="4" s="1"/>
  <c r="C94" i="4"/>
  <c r="B94" i="4"/>
  <c r="AC93" i="4"/>
  <c r="AB93" i="4"/>
  <c r="Y93" i="4"/>
  <c r="X93" i="4"/>
  <c r="U93" i="4"/>
  <c r="T93" i="4"/>
  <c r="Q93" i="4"/>
  <c r="P93" i="4"/>
  <c r="C93" i="4"/>
  <c r="B93" i="4"/>
  <c r="AC92" i="4"/>
  <c r="AB92" i="4"/>
  <c r="Y92" i="4"/>
  <c r="X92" i="4"/>
  <c r="U92" i="4"/>
  <c r="T92" i="4"/>
  <c r="Q92" i="4"/>
  <c r="P92" i="4"/>
  <c r="D92" i="4" s="1"/>
  <c r="C92" i="4"/>
  <c r="B92" i="4"/>
  <c r="AC91" i="4"/>
  <c r="AB91" i="4"/>
  <c r="Y91" i="4"/>
  <c r="X91" i="4"/>
  <c r="U91" i="4"/>
  <c r="T91" i="4"/>
  <c r="Q91" i="4"/>
  <c r="P91" i="4"/>
  <c r="C91" i="4"/>
  <c r="B91" i="4"/>
  <c r="AC90" i="4"/>
  <c r="AB90" i="4"/>
  <c r="Y90" i="4"/>
  <c r="X90" i="4"/>
  <c r="U90" i="4"/>
  <c r="T90" i="4"/>
  <c r="Q90" i="4"/>
  <c r="P90" i="4"/>
  <c r="D90" i="4" s="1"/>
  <c r="C90" i="4"/>
  <c r="B90" i="4"/>
  <c r="AC89" i="4"/>
  <c r="AB89" i="4"/>
  <c r="Y89" i="4"/>
  <c r="X89" i="4"/>
  <c r="U89" i="4"/>
  <c r="T89" i="4"/>
  <c r="Q89" i="4"/>
  <c r="P89" i="4"/>
  <c r="C89" i="4"/>
  <c r="B89" i="4"/>
  <c r="AC88" i="4"/>
  <c r="AB88" i="4"/>
  <c r="Y88" i="4"/>
  <c r="X88" i="4"/>
  <c r="D88" i="4" s="1"/>
  <c r="U88" i="4"/>
  <c r="T88" i="4"/>
  <c r="Q88" i="4"/>
  <c r="P88" i="4"/>
  <c r="C88" i="4"/>
  <c r="B88" i="4"/>
  <c r="AC87" i="4"/>
  <c r="AB87" i="4"/>
  <c r="Y87" i="4"/>
  <c r="X87" i="4"/>
  <c r="U87" i="4"/>
  <c r="T87" i="4"/>
  <c r="Q87" i="4"/>
  <c r="P87" i="4"/>
  <c r="C87" i="4"/>
  <c r="B87" i="4"/>
  <c r="AC86" i="4"/>
  <c r="AB86" i="4"/>
  <c r="Y86" i="4"/>
  <c r="X86" i="4"/>
  <c r="U86" i="4"/>
  <c r="T86" i="4"/>
  <c r="Q86" i="4"/>
  <c r="P86" i="4"/>
  <c r="C86" i="4"/>
  <c r="B86" i="4"/>
  <c r="AC85" i="4"/>
  <c r="AB85" i="4"/>
  <c r="Y85" i="4"/>
  <c r="X85" i="4"/>
  <c r="D85" i="4" s="1"/>
  <c r="U85" i="4"/>
  <c r="T85" i="4"/>
  <c r="Q85" i="4"/>
  <c r="P85" i="4"/>
  <c r="C85" i="4"/>
  <c r="B85" i="4"/>
  <c r="AC84" i="4"/>
  <c r="AB84" i="4"/>
  <c r="Y84" i="4"/>
  <c r="X84" i="4"/>
  <c r="U84" i="4"/>
  <c r="T84" i="4"/>
  <c r="Q84" i="4"/>
  <c r="P84" i="4"/>
  <c r="D84" i="4" s="1"/>
  <c r="C84" i="4"/>
  <c r="B84" i="4"/>
  <c r="AC83" i="4"/>
  <c r="AB83" i="4"/>
  <c r="Y83" i="4"/>
  <c r="X83" i="4"/>
  <c r="U83" i="4"/>
  <c r="T83" i="4"/>
  <c r="Q83" i="4"/>
  <c r="P83" i="4"/>
  <c r="C83" i="4"/>
  <c r="B83" i="4"/>
  <c r="AC82" i="4"/>
  <c r="AB82" i="4"/>
  <c r="Y82" i="4"/>
  <c r="X82" i="4"/>
  <c r="U82" i="4"/>
  <c r="T82" i="4"/>
  <c r="Q82" i="4"/>
  <c r="P82" i="4"/>
  <c r="C82" i="4"/>
  <c r="B82" i="4"/>
  <c r="AC81" i="4"/>
  <c r="AB81" i="4"/>
  <c r="Y81" i="4"/>
  <c r="X81" i="4"/>
  <c r="D81" i="4" s="1"/>
  <c r="U81" i="4"/>
  <c r="T81" i="4"/>
  <c r="Q81" i="4"/>
  <c r="P81" i="4"/>
  <c r="C81" i="4"/>
  <c r="B81" i="4"/>
  <c r="AC80" i="4"/>
  <c r="AB80" i="4"/>
  <c r="Y80" i="4"/>
  <c r="X80" i="4"/>
  <c r="U80" i="4"/>
  <c r="T80" i="4"/>
  <c r="Q80" i="4"/>
  <c r="P80" i="4"/>
  <c r="D80" i="4"/>
  <c r="C80" i="4"/>
  <c r="B80" i="4"/>
  <c r="AC79" i="4"/>
  <c r="AB79" i="4"/>
  <c r="Y79" i="4"/>
  <c r="X79" i="4"/>
  <c r="U79" i="4"/>
  <c r="T79" i="4"/>
  <c r="Q79" i="4"/>
  <c r="P79" i="4"/>
  <c r="C79" i="4"/>
  <c r="B79" i="4"/>
  <c r="AC78" i="4"/>
  <c r="AB78" i="4"/>
  <c r="Y78" i="4"/>
  <c r="X78" i="4"/>
  <c r="U78" i="4"/>
  <c r="T78" i="4"/>
  <c r="Q78" i="4"/>
  <c r="P78" i="4"/>
  <c r="C78" i="4"/>
  <c r="B78" i="4"/>
  <c r="AC77" i="4"/>
  <c r="AB77" i="4"/>
  <c r="Y77" i="4"/>
  <c r="X77" i="4"/>
  <c r="U77" i="4"/>
  <c r="T77" i="4"/>
  <c r="Q77" i="4"/>
  <c r="P77" i="4"/>
  <c r="C77" i="4"/>
  <c r="B77" i="4"/>
  <c r="AC76" i="4"/>
  <c r="AB76" i="4"/>
  <c r="Y76" i="4"/>
  <c r="X76" i="4"/>
  <c r="U76" i="4"/>
  <c r="T76" i="4"/>
  <c r="Q76" i="4"/>
  <c r="P76" i="4"/>
  <c r="D76" i="4" s="1"/>
  <c r="C76" i="4"/>
  <c r="B76" i="4"/>
  <c r="AC75" i="4"/>
  <c r="AB75" i="4"/>
  <c r="Y75" i="4"/>
  <c r="X75" i="4"/>
  <c r="U75" i="4"/>
  <c r="T75" i="4"/>
  <c r="Q75" i="4"/>
  <c r="P75" i="4"/>
  <c r="C75" i="4"/>
  <c r="B75" i="4"/>
  <c r="AC74" i="4"/>
  <c r="AB74" i="4"/>
  <c r="Y74" i="4"/>
  <c r="E74" i="4" s="1"/>
  <c r="X74" i="4"/>
  <c r="U74" i="4"/>
  <c r="T74" i="4"/>
  <c r="Q74" i="4"/>
  <c r="P74" i="4"/>
  <c r="C74" i="4"/>
  <c r="B74" i="4"/>
  <c r="AC73" i="4"/>
  <c r="AB73" i="4"/>
  <c r="Y73" i="4"/>
  <c r="X73" i="4"/>
  <c r="U73" i="4"/>
  <c r="T73" i="4"/>
  <c r="Q73" i="4"/>
  <c r="P73" i="4"/>
  <c r="C73" i="4"/>
  <c r="B73" i="4"/>
  <c r="AC72" i="4"/>
  <c r="AB72" i="4"/>
  <c r="Y72" i="4"/>
  <c r="X72" i="4"/>
  <c r="U72" i="4"/>
  <c r="T72" i="4"/>
  <c r="Q72" i="4"/>
  <c r="E72" i="4" s="1"/>
  <c r="P72" i="4"/>
  <c r="D72" i="4" s="1"/>
  <c r="C72" i="4"/>
  <c r="B72" i="4"/>
  <c r="AC71" i="4"/>
  <c r="AB71" i="4"/>
  <c r="Y71" i="4"/>
  <c r="X71" i="4"/>
  <c r="U71" i="4"/>
  <c r="T71" i="4"/>
  <c r="Q71" i="4"/>
  <c r="P71" i="4"/>
  <c r="C71" i="4"/>
  <c r="B71" i="4"/>
  <c r="AC70" i="4"/>
  <c r="AB70" i="4"/>
  <c r="Y70" i="4"/>
  <c r="E70" i="4" s="1"/>
  <c r="X70" i="4"/>
  <c r="U70" i="4"/>
  <c r="T70" i="4"/>
  <c r="Q70" i="4"/>
  <c r="P70" i="4"/>
  <c r="C70" i="4"/>
  <c r="B70" i="4"/>
  <c r="AC69" i="4"/>
  <c r="AB69" i="4"/>
  <c r="Y69" i="4"/>
  <c r="X69" i="4"/>
  <c r="U69" i="4"/>
  <c r="T69" i="4"/>
  <c r="Q69" i="4"/>
  <c r="P69" i="4"/>
  <c r="C69" i="4"/>
  <c r="B69" i="4"/>
  <c r="AC68" i="4"/>
  <c r="AB68" i="4"/>
  <c r="Y68" i="4"/>
  <c r="X68" i="4"/>
  <c r="U68" i="4"/>
  <c r="T68" i="4"/>
  <c r="D68" i="4" s="1"/>
  <c r="Q68" i="4"/>
  <c r="E68" i="4" s="1"/>
  <c r="P68" i="4"/>
  <c r="C68" i="4"/>
  <c r="B68" i="4"/>
  <c r="AC67" i="4"/>
  <c r="AB67" i="4"/>
  <c r="Y67" i="4"/>
  <c r="X67" i="4"/>
  <c r="U67" i="4"/>
  <c r="T67" i="4"/>
  <c r="Q67" i="4"/>
  <c r="P67" i="4"/>
  <c r="C67" i="4"/>
  <c r="B67" i="4"/>
  <c r="AC66" i="4"/>
  <c r="AB66" i="4"/>
  <c r="Y66" i="4"/>
  <c r="X66" i="4"/>
  <c r="U66" i="4"/>
  <c r="T66" i="4"/>
  <c r="Q66" i="4"/>
  <c r="P66" i="4"/>
  <c r="C66" i="4"/>
  <c r="B66" i="4"/>
  <c r="AC65" i="4"/>
  <c r="AB65" i="4"/>
  <c r="Y65" i="4"/>
  <c r="X65" i="4"/>
  <c r="U65" i="4"/>
  <c r="T65" i="4"/>
  <c r="Q65" i="4"/>
  <c r="P65" i="4"/>
  <c r="C65" i="4"/>
  <c r="B65" i="4"/>
  <c r="AC64" i="4"/>
  <c r="AB64" i="4"/>
  <c r="Y64" i="4"/>
  <c r="X64" i="4"/>
  <c r="U64" i="4"/>
  <c r="T64" i="4"/>
  <c r="Q64" i="4"/>
  <c r="P64" i="4"/>
  <c r="D64" i="4"/>
  <c r="C64" i="4"/>
  <c r="B64" i="4"/>
  <c r="AC63" i="4"/>
  <c r="AB63" i="4"/>
  <c r="Y63" i="4"/>
  <c r="X63" i="4"/>
  <c r="U63" i="4"/>
  <c r="T63" i="4"/>
  <c r="Q63" i="4"/>
  <c r="P63" i="4"/>
  <c r="C63" i="4"/>
  <c r="B63" i="4"/>
  <c r="AC62" i="4"/>
  <c r="AB62" i="4"/>
  <c r="Y62" i="4"/>
  <c r="X62" i="4"/>
  <c r="U62" i="4"/>
  <c r="T62" i="4"/>
  <c r="Q62" i="4"/>
  <c r="P62" i="4"/>
  <c r="D62" i="4" s="1"/>
  <c r="C62" i="4"/>
  <c r="B62" i="4"/>
  <c r="AC61" i="4"/>
  <c r="AB61" i="4"/>
  <c r="Y61" i="4"/>
  <c r="X61" i="4"/>
  <c r="U61" i="4"/>
  <c r="T61" i="4"/>
  <c r="Q61" i="4"/>
  <c r="P61" i="4"/>
  <c r="C61" i="4"/>
  <c r="B61" i="4"/>
  <c r="AC60" i="4"/>
  <c r="AB60" i="4"/>
  <c r="Y60" i="4"/>
  <c r="X60" i="4"/>
  <c r="U60" i="4"/>
  <c r="T60" i="4"/>
  <c r="Q60" i="4"/>
  <c r="P60" i="4"/>
  <c r="D60" i="4" s="1"/>
  <c r="C60" i="4"/>
  <c r="B60" i="4"/>
  <c r="AC59" i="4"/>
  <c r="AB59" i="4"/>
  <c r="Y59" i="4"/>
  <c r="X59" i="4"/>
  <c r="U59" i="4"/>
  <c r="T59" i="4"/>
  <c r="Q59" i="4"/>
  <c r="P59" i="4"/>
  <c r="C59" i="4"/>
  <c r="B59" i="4"/>
  <c r="AC58" i="4"/>
  <c r="AB58" i="4"/>
  <c r="Y58" i="4"/>
  <c r="X58" i="4"/>
  <c r="U58" i="4"/>
  <c r="T58" i="4"/>
  <c r="Q58" i="4"/>
  <c r="E58" i="4" s="1"/>
  <c r="P58" i="4"/>
  <c r="D58" i="4" s="1"/>
  <c r="C58" i="4"/>
  <c r="B58" i="4"/>
  <c r="AC57" i="4"/>
  <c r="AB57" i="4"/>
  <c r="Y57" i="4"/>
  <c r="X57" i="4"/>
  <c r="U57" i="4"/>
  <c r="T57" i="4"/>
  <c r="Q57" i="4"/>
  <c r="P57" i="4"/>
  <c r="C57" i="4"/>
  <c r="B57" i="4"/>
  <c r="AC56" i="4"/>
  <c r="AB56" i="4"/>
  <c r="Y56" i="4"/>
  <c r="X56" i="4"/>
  <c r="U56" i="4"/>
  <c r="T56" i="4"/>
  <c r="Q56" i="4"/>
  <c r="P56" i="4"/>
  <c r="C56" i="4"/>
  <c r="B56" i="4"/>
  <c r="AC55" i="4"/>
  <c r="AB55" i="4"/>
  <c r="D55" i="4" s="1"/>
  <c r="Y55" i="4"/>
  <c r="X55" i="4"/>
  <c r="U55" i="4"/>
  <c r="T55" i="4"/>
  <c r="Q55" i="4"/>
  <c r="P55" i="4"/>
  <c r="C55" i="4"/>
  <c r="B55" i="4"/>
  <c r="AC54" i="4"/>
  <c r="AB54" i="4"/>
  <c r="Y54" i="4"/>
  <c r="X54" i="4"/>
  <c r="U54" i="4"/>
  <c r="T54" i="4"/>
  <c r="Q54" i="4"/>
  <c r="P54" i="4"/>
  <c r="D54" i="4" s="1"/>
  <c r="C54" i="4"/>
  <c r="B54" i="4"/>
  <c r="AC53" i="4"/>
  <c r="AB53" i="4"/>
  <c r="Y53" i="4"/>
  <c r="X53" i="4"/>
  <c r="U53" i="4"/>
  <c r="T53" i="4"/>
  <c r="Q53" i="4"/>
  <c r="P53" i="4"/>
  <c r="C53" i="4"/>
  <c r="B53" i="4"/>
  <c r="AC52" i="4"/>
  <c r="AB52" i="4"/>
  <c r="Y52" i="4"/>
  <c r="E52" i="4" s="1"/>
  <c r="X52" i="4"/>
  <c r="U52" i="4"/>
  <c r="T52" i="4"/>
  <c r="Q52" i="4"/>
  <c r="P52" i="4"/>
  <c r="C52" i="4"/>
  <c r="B52" i="4"/>
  <c r="AC51" i="4"/>
  <c r="AB51" i="4"/>
  <c r="Y51" i="4"/>
  <c r="X51" i="4"/>
  <c r="U51" i="4"/>
  <c r="T51" i="4"/>
  <c r="Q51" i="4"/>
  <c r="P51" i="4"/>
  <c r="D51" i="4" s="1"/>
  <c r="C51" i="4"/>
  <c r="B51" i="4"/>
  <c r="AC50" i="4"/>
  <c r="AB50" i="4"/>
  <c r="Y50" i="4"/>
  <c r="X50" i="4"/>
  <c r="U50" i="4"/>
  <c r="T50" i="4"/>
  <c r="Q50" i="4"/>
  <c r="E50" i="4" s="1"/>
  <c r="P50" i="4"/>
  <c r="C50" i="4"/>
  <c r="B50" i="4"/>
  <c r="AC49" i="4"/>
  <c r="AB49" i="4"/>
  <c r="Y49" i="4"/>
  <c r="X49" i="4"/>
  <c r="U49" i="4"/>
  <c r="T49" i="4"/>
  <c r="Q49" i="4"/>
  <c r="P49" i="4"/>
  <c r="C49" i="4"/>
  <c r="B49" i="4"/>
  <c r="AC48" i="4"/>
  <c r="AB48" i="4"/>
  <c r="Y48" i="4"/>
  <c r="X48" i="4"/>
  <c r="U48" i="4"/>
  <c r="T48" i="4"/>
  <c r="Q48" i="4"/>
  <c r="P48" i="4"/>
  <c r="C48" i="4"/>
  <c r="B48" i="4"/>
  <c r="AC47" i="4"/>
  <c r="AB47" i="4"/>
  <c r="Y47" i="4"/>
  <c r="X47" i="4"/>
  <c r="U47" i="4"/>
  <c r="T47" i="4"/>
  <c r="Q47" i="4"/>
  <c r="P47" i="4"/>
  <c r="C47" i="4"/>
  <c r="B47" i="4"/>
  <c r="AC46" i="4"/>
  <c r="AB46" i="4"/>
  <c r="Y46" i="4"/>
  <c r="X46" i="4"/>
  <c r="U46" i="4"/>
  <c r="T46" i="4"/>
  <c r="D46" i="4" s="1"/>
  <c r="Q46" i="4"/>
  <c r="E46" i="4" s="1"/>
  <c r="P46" i="4"/>
  <c r="C46" i="4"/>
  <c r="B46" i="4"/>
  <c r="AC45" i="4"/>
  <c r="AB45" i="4"/>
  <c r="Y45" i="4"/>
  <c r="X45" i="4"/>
  <c r="U45" i="4"/>
  <c r="T45" i="4"/>
  <c r="Q45" i="4"/>
  <c r="P45" i="4"/>
  <c r="C45" i="4"/>
  <c r="B45" i="4"/>
  <c r="AC44" i="4"/>
  <c r="AB44" i="4"/>
  <c r="Y44" i="4"/>
  <c r="X44" i="4"/>
  <c r="U44" i="4"/>
  <c r="T44" i="4"/>
  <c r="Q44" i="4"/>
  <c r="P44" i="4"/>
  <c r="C44" i="4"/>
  <c r="B44" i="4"/>
  <c r="AC43" i="4"/>
  <c r="AB43" i="4"/>
  <c r="Y43" i="4"/>
  <c r="X43" i="4"/>
  <c r="U43" i="4"/>
  <c r="T43" i="4"/>
  <c r="Q43" i="4"/>
  <c r="P43" i="4"/>
  <c r="D43" i="4" s="1"/>
  <c r="C43" i="4"/>
  <c r="B43" i="4"/>
  <c r="AC42" i="4"/>
  <c r="AB42" i="4"/>
  <c r="Y42" i="4"/>
  <c r="X42" i="4"/>
  <c r="U42" i="4"/>
  <c r="T42" i="4"/>
  <c r="Q42" i="4"/>
  <c r="P42" i="4"/>
  <c r="D42" i="4"/>
  <c r="C42" i="4"/>
  <c r="B42" i="4"/>
  <c r="AC41" i="4"/>
  <c r="AB41" i="4"/>
  <c r="Y41" i="4"/>
  <c r="X41" i="4"/>
  <c r="U41" i="4"/>
  <c r="T41" i="4"/>
  <c r="Q41" i="4"/>
  <c r="P41" i="4"/>
  <c r="C41" i="4"/>
  <c r="B41" i="4"/>
  <c r="AC40" i="4"/>
  <c r="AB40" i="4"/>
  <c r="Y40" i="4"/>
  <c r="X40" i="4"/>
  <c r="U40" i="4"/>
  <c r="T40" i="4"/>
  <c r="Q40" i="4"/>
  <c r="P40" i="4"/>
  <c r="D40" i="4" s="1"/>
  <c r="C40" i="4"/>
  <c r="B40" i="4"/>
  <c r="AC39" i="4"/>
  <c r="AB39" i="4"/>
  <c r="Y39" i="4"/>
  <c r="X39" i="4"/>
  <c r="U39" i="4"/>
  <c r="T39" i="4"/>
  <c r="Q39" i="4"/>
  <c r="P39" i="4"/>
  <c r="C39" i="4"/>
  <c r="B39" i="4"/>
  <c r="AC38" i="4"/>
  <c r="AB38" i="4"/>
  <c r="Y38" i="4"/>
  <c r="X38" i="4"/>
  <c r="U38" i="4"/>
  <c r="T38" i="4"/>
  <c r="Q38" i="4"/>
  <c r="P38" i="4"/>
  <c r="D38" i="4" s="1"/>
  <c r="C38" i="4"/>
  <c r="B38" i="4"/>
  <c r="AC37" i="4"/>
  <c r="AB37" i="4"/>
  <c r="Y37" i="4"/>
  <c r="X37" i="4"/>
  <c r="U37" i="4"/>
  <c r="T37" i="4"/>
  <c r="Q37" i="4"/>
  <c r="P37" i="4"/>
  <c r="C37" i="4"/>
  <c r="B37" i="4"/>
  <c r="AC36" i="4"/>
  <c r="AB36" i="4"/>
  <c r="Y36" i="4"/>
  <c r="X36" i="4"/>
  <c r="U36" i="4"/>
  <c r="T36" i="4"/>
  <c r="Q36" i="4"/>
  <c r="P36" i="4"/>
  <c r="D36" i="4" s="1"/>
  <c r="C36" i="4"/>
  <c r="B36" i="4"/>
  <c r="AC35" i="4"/>
  <c r="AB35" i="4"/>
  <c r="Y35" i="4"/>
  <c r="X35" i="4"/>
  <c r="U35" i="4"/>
  <c r="T35" i="4"/>
  <c r="Q35" i="4"/>
  <c r="P35" i="4"/>
  <c r="C35" i="4"/>
  <c r="B35" i="4"/>
  <c r="AC34" i="4"/>
  <c r="AB34" i="4"/>
  <c r="Y34" i="4"/>
  <c r="X34" i="4"/>
  <c r="D34" i="4" s="1"/>
  <c r="U34" i="4"/>
  <c r="T34" i="4"/>
  <c r="Q34" i="4"/>
  <c r="P34" i="4"/>
  <c r="C34" i="4"/>
  <c r="B34" i="4"/>
  <c r="AC33" i="4"/>
  <c r="AB33" i="4"/>
  <c r="Y33" i="4"/>
  <c r="X33" i="4"/>
  <c r="U33" i="4"/>
  <c r="T33" i="4"/>
  <c r="Q33" i="4"/>
  <c r="P33" i="4"/>
  <c r="C33" i="4"/>
  <c r="B33" i="4"/>
  <c r="AC32" i="4"/>
  <c r="AB32" i="4"/>
  <c r="Y32" i="4"/>
  <c r="X32" i="4"/>
  <c r="U32" i="4"/>
  <c r="T32" i="4"/>
  <c r="Q32" i="4"/>
  <c r="P32" i="4"/>
  <c r="D32" i="4" s="1"/>
  <c r="C32" i="4"/>
  <c r="B32" i="4"/>
  <c r="AC31" i="4"/>
  <c r="AB31" i="4"/>
  <c r="Y31" i="4"/>
  <c r="X31" i="4"/>
  <c r="U31" i="4"/>
  <c r="E31" i="4" s="1"/>
  <c r="T31" i="4"/>
  <c r="Q31" i="4"/>
  <c r="P31" i="4"/>
  <c r="C31" i="4"/>
  <c r="B31" i="4"/>
  <c r="AC30" i="4"/>
  <c r="AB30" i="4"/>
  <c r="Y30" i="4"/>
  <c r="X30" i="4"/>
  <c r="D30" i="4" s="1"/>
  <c r="U30" i="4"/>
  <c r="T30" i="4"/>
  <c r="Q30" i="4"/>
  <c r="P30" i="4"/>
  <c r="C30" i="4"/>
  <c r="B30" i="4"/>
  <c r="AC29" i="4"/>
  <c r="AB29" i="4"/>
  <c r="Y29" i="4"/>
  <c r="X29" i="4"/>
  <c r="U29" i="4"/>
  <c r="T29" i="4"/>
  <c r="Q29" i="4"/>
  <c r="P29" i="4"/>
  <c r="C29" i="4"/>
  <c r="B29" i="4"/>
  <c r="AC28" i="4"/>
  <c r="AB28" i="4"/>
  <c r="Y28" i="4"/>
  <c r="X28" i="4"/>
  <c r="U28" i="4"/>
  <c r="T28" i="4"/>
  <c r="Q28" i="4"/>
  <c r="P28" i="4"/>
  <c r="C28" i="4"/>
  <c r="B28" i="4"/>
  <c r="AC27" i="4"/>
  <c r="AB27" i="4"/>
  <c r="Y27" i="4"/>
  <c r="X27" i="4"/>
  <c r="U27" i="4"/>
  <c r="T27" i="4"/>
  <c r="Q27" i="4"/>
  <c r="P27" i="4"/>
  <c r="C27" i="4"/>
  <c r="B27" i="4"/>
  <c r="AC26" i="4"/>
  <c r="AB26" i="4"/>
  <c r="Y26" i="4"/>
  <c r="X26" i="4"/>
  <c r="U26" i="4"/>
  <c r="T26" i="4"/>
  <c r="D26" i="4" s="1"/>
  <c r="Q26" i="4"/>
  <c r="P26" i="4"/>
  <c r="G26" i="4"/>
  <c r="F26" i="4"/>
  <c r="C26" i="4"/>
  <c r="B26" i="4"/>
  <c r="AC25" i="4"/>
  <c r="AB25" i="4"/>
  <c r="Y25" i="4"/>
  <c r="X25" i="4"/>
  <c r="U25" i="4"/>
  <c r="T25" i="4"/>
  <c r="D25" i="4" s="1"/>
  <c r="Q25" i="4"/>
  <c r="P25" i="4"/>
  <c r="G25" i="4"/>
  <c r="F25" i="4"/>
  <c r="C25" i="4"/>
  <c r="B25" i="4"/>
  <c r="AC24" i="4"/>
  <c r="AB24" i="4"/>
  <c r="Y24" i="4"/>
  <c r="X24" i="4"/>
  <c r="U24" i="4"/>
  <c r="T24" i="4"/>
  <c r="Q24" i="4"/>
  <c r="E24" i="4" s="1"/>
  <c r="P24" i="4"/>
  <c r="G24" i="4"/>
  <c r="F24" i="4"/>
  <c r="C24" i="4"/>
  <c r="B24" i="4"/>
  <c r="AC23" i="4"/>
  <c r="AB23" i="4"/>
  <c r="Y23" i="4"/>
  <c r="X23" i="4"/>
  <c r="U23" i="4"/>
  <c r="T23" i="4"/>
  <c r="Q23" i="4"/>
  <c r="P23" i="4"/>
  <c r="C23" i="4"/>
  <c r="B23" i="4"/>
  <c r="AC22" i="4"/>
  <c r="AB22" i="4"/>
  <c r="Y22" i="4"/>
  <c r="X22" i="4"/>
  <c r="U22" i="4"/>
  <c r="T22" i="4"/>
  <c r="Q22" i="4"/>
  <c r="P22" i="4"/>
  <c r="G22" i="4"/>
  <c r="F22" i="4"/>
  <c r="C22" i="4"/>
  <c r="B22" i="4"/>
  <c r="AC21" i="4"/>
  <c r="AB21" i="4"/>
  <c r="Y21" i="4"/>
  <c r="X21" i="4"/>
  <c r="U21" i="4"/>
  <c r="T21" i="4"/>
  <c r="D21" i="4" s="1"/>
  <c r="Q21" i="4"/>
  <c r="P21" i="4"/>
  <c r="C21" i="4"/>
  <c r="B21" i="4"/>
  <c r="AC20" i="4"/>
  <c r="AB20" i="4"/>
  <c r="Y20" i="4"/>
  <c r="X20" i="4"/>
  <c r="U20" i="4"/>
  <c r="T20" i="4"/>
  <c r="Q20" i="4"/>
  <c r="P20" i="4"/>
  <c r="G20" i="4"/>
  <c r="F20" i="4"/>
  <c r="C20" i="4"/>
  <c r="B20" i="4"/>
  <c r="AC19" i="4"/>
  <c r="AB19" i="4"/>
  <c r="Y19" i="4"/>
  <c r="X19" i="4"/>
  <c r="U19" i="4"/>
  <c r="T19" i="4"/>
  <c r="Q19" i="4"/>
  <c r="P19" i="4"/>
  <c r="E19" i="4"/>
  <c r="C19" i="4"/>
  <c r="B19" i="4"/>
  <c r="AC18" i="4"/>
  <c r="AB18" i="4"/>
  <c r="Y18" i="4"/>
  <c r="X18" i="4"/>
  <c r="U18" i="4"/>
  <c r="T18" i="4"/>
  <c r="Q18" i="4"/>
  <c r="P18" i="4"/>
  <c r="C18" i="4"/>
  <c r="B18" i="4"/>
  <c r="AC17" i="4"/>
  <c r="AB17" i="4"/>
  <c r="Y17" i="4"/>
  <c r="X17" i="4"/>
  <c r="U17" i="4"/>
  <c r="T17" i="4"/>
  <c r="Q17" i="4"/>
  <c r="P17" i="4"/>
  <c r="C17" i="4"/>
  <c r="B17" i="4"/>
  <c r="AC16" i="4"/>
  <c r="AB16" i="4"/>
  <c r="Y16" i="4"/>
  <c r="X16" i="4"/>
  <c r="U16" i="4"/>
  <c r="T16" i="4"/>
  <c r="Q16" i="4"/>
  <c r="P16" i="4"/>
  <c r="E16" i="4"/>
  <c r="C16" i="4"/>
  <c r="B16" i="4"/>
  <c r="AC15" i="4"/>
  <c r="AB15" i="4"/>
  <c r="Y15" i="4"/>
  <c r="X15" i="4"/>
  <c r="U15" i="4"/>
  <c r="T15" i="4"/>
  <c r="Q15" i="4"/>
  <c r="E15" i="4" s="1"/>
  <c r="P15" i="4"/>
  <c r="C15" i="4"/>
  <c r="B15" i="4"/>
  <c r="AC14" i="4"/>
  <c r="AB14" i="4"/>
  <c r="Y14" i="4"/>
  <c r="X14" i="4"/>
  <c r="D14" i="4" s="1"/>
  <c r="U14" i="4"/>
  <c r="T14" i="4"/>
  <c r="Q14" i="4"/>
  <c r="P14" i="4"/>
  <c r="C14" i="4"/>
  <c r="B14" i="4"/>
  <c r="AC13" i="4"/>
  <c r="AB13" i="4"/>
  <c r="Y13" i="4"/>
  <c r="X13" i="4"/>
  <c r="U13" i="4"/>
  <c r="T13" i="4"/>
  <c r="Q13" i="4"/>
  <c r="P13" i="4"/>
  <c r="G13" i="4"/>
  <c r="F13" i="4"/>
  <c r="C13" i="4"/>
  <c r="B13" i="4"/>
  <c r="AC12" i="4"/>
  <c r="AB12" i="4"/>
  <c r="Y12" i="4"/>
  <c r="X12" i="4"/>
  <c r="U12" i="4"/>
  <c r="T12" i="4"/>
  <c r="Q12" i="4"/>
  <c r="E12" i="4" s="1"/>
  <c r="P12" i="4"/>
  <c r="G12" i="4"/>
  <c r="F12" i="4"/>
  <c r="C12" i="4"/>
  <c r="B12" i="4"/>
  <c r="AC11" i="4"/>
  <c r="AB11" i="4"/>
  <c r="Y11" i="4"/>
  <c r="X11" i="4"/>
  <c r="U11" i="4"/>
  <c r="T11" i="4"/>
  <c r="Q11" i="4"/>
  <c r="E11" i="4" s="1"/>
  <c r="P11" i="4"/>
  <c r="C11" i="4"/>
  <c r="B11" i="4"/>
  <c r="H6" i="4"/>
  <c r="G6" i="4"/>
  <c r="F6" i="4"/>
  <c r="E6" i="4"/>
  <c r="D6" i="4"/>
  <c r="C6" i="4"/>
  <c r="B6" i="4"/>
  <c r="A6" i="4"/>
  <c r="H5" i="4"/>
  <c r="G5" i="4"/>
  <c r="F5" i="4"/>
  <c r="E5" i="4"/>
  <c r="D5" i="4"/>
  <c r="C5" i="4"/>
  <c r="B5" i="4"/>
  <c r="A5" i="4"/>
  <c r="H4" i="4"/>
  <c r="G4" i="4"/>
  <c r="F4" i="4"/>
  <c r="E4" i="4"/>
  <c r="D4" i="4"/>
  <c r="C4" i="4"/>
  <c r="B4" i="4"/>
  <c r="A4" i="4"/>
  <c r="H3" i="4"/>
  <c r="G3" i="4"/>
  <c r="F3" i="4"/>
  <c r="E3" i="4"/>
  <c r="D3" i="4"/>
  <c r="C3" i="4"/>
  <c r="B3" i="4"/>
  <c r="A3" i="4"/>
  <c r="B92" i="3"/>
  <c r="K86" i="3"/>
  <c r="K85" i="3"/>
  <c r="W84" i="3"/>
  <c r="K84" i="3"/>
  <c r="E84" i="3"/>
  <c r="W83" i="3"/>
  <c r="K83" i="3"/>
  <c r="E83" i="3"/>
  <c r="W82" i="3"/>
  <c r="Q82" i="3"/>
  <c r="K82" i="3"/>
  <c r="E82" i="3"/>
  <c r="W81" i="3"/>
  <c r="Q81" i="3"/>
  <c r="K81" i="3"/>
  <c r="E81" i="3"/>
  <c r="W80" i="3"/>
  <c r="Q80" i="3"/>
  <c r="K80" i="3"/>
  <c r="E80" i="3"/>
  <c r="W79" i="3"/>
  <c r="Q79" i="3"/>
  <c r="K79" i="3"/>
  <c r="E79" i="3"/>
  <c r="W78" i="3"/>
  <c r="Q78" i="3"/>
  <c r="K78" i="3"/>
  <c r="E78" i="3"/>
  <c r="W77" i="3"/>
  <c r="Q77" i="3"/>
  <c r="K77" i="3"/>
  <c r="E77" i="3"/>
  <c r="W76" i="3"/>
  <c r="Q76" i="3"/>
  <c r="K76" i="3"/>
  <c r="E76" i="3"/>
  <c r="W75" i="3"/>
  <c r="Q75" i="3"/>
  <c r="K75" i="3"/>
  <c r="E75" i="3"/>
  <c r="W74" i="3"/>
  <c r="Q74" i="3"/>
  <c r="K74" i="3"/>
  <c r="E74" i="3"/>
  <c r="W73" i="3"/>
  <c r="Q73" i="3"/>
  <c r="K73" i="3"/>
  <c r="E73" i="3"/>
  <c r="W72" i="3"/>
  <c r="Q72" i="3"/>
  <c r="K72" i="3"/>
  <c r="E72" i="3"/>
  <c r="W71" i="3"/>
  <c r="Q71" i="3"/>
  <c r="K71" i="3"/>
  <c r="E71" i="3"/>
  <c r="W70" i="3"/>
  <c r="Q70" i="3"/>
  <c r="K70" i="3"/>
  <c r="E70" i="3"/>
  <c r="W69" i="3"/>
  <c r="Q69" i="3"/>
  <c r="K69" i="3"/>
  <c r="E69" i="3"/>
  <c r="W68" i="3"/>
  <c r="Q68" i="3"/>
  <c r="K68" i="3"/>
  <c r="E68" i="3"/>
  <c r="W67" i="3"/>
  <c r="Q67" i="3"/>
  <c r="K67" i="3"/>
  <c r="E67" i="3"/>
  <c r="W66" i="3"/>
  <c r="Q66" i="3"/>
  <c r="K66" i="3"/>
  <c r="E66" i="3"/>
  <c r="W65" i="3"/>
  <c r="Q65" i="3"/>
  <c r="K65" i="3"/>
  <c r="E65" i="3"/>
  <c r="W64" i="3"/>
  <c r="Q64" i="3"/>
  <c r="K64" i="3"/>
  <c r="E64" i="3"/>
  <c r="W63" i="3"/>
  <c r="Q63" i="3"/>
  <c r="K63" i="3"/>
  <c r="E63" i="3"/>
  <c r="W62" i="3"/>
  <c r="Q62" i="3"/>
  <c r="K62" i="3"/>
  <c r="E62" i="3"/>
  <c r="W61" i="3"/>
  <c r="Q61" i="3"/>
  <c r="K61" i="3"/>
  <c r="E61" i="3"/>
  <c r="W60" i="3"/>
  <c r="Q60" i="3"/>
  <c r="K60" i="3"/>
  <c r="E60" i="3"/>
  <c r="W59" i="3"/>
  <c r="Q59" i="3"/>
  <c r="K59" i="3"/>
  <c r="E59" i="3"/>
  <c r="W58" i="3"/>
  <c r="Q58" i="3"/>
  <c r="K58" i="3"/>
  <c r="E58" i="3"/>
  <c r="W57" i="3"/>
  <c r="Q57" i="3"/>
  <c r="K57" i="3"/>
  <c r="E57" i="3"/>
  <c r="W56" i="3"/>
  <c r="Q56" i="3"/>
  <c r="K56" i="3"/>
  <c r="E56" i="3"/>
  <c r="W55" i="3"/>
  <c r="Q55" i="3"/>
  <c r="K55" i="3"/>
  <c r="E55" i="3"/>
  <c r="W54" i="3"/>
  <c r="Q54" i="3"/>
  <c r="K54" i="3"/>
  <c r="E54" i="3"/>
  <c r="W53" i="3"/>
  <c r="Q53" i="3"/>
  <c r="K53" i="3"/>
  <c r="E53" i="3"/>
  <c r="W52" i="3"/>
  <c r="Q52" i="3"/>
  <c r="K52" i="3"/>
  <c r="E52" i="3"/>
  <c r="W51" i="3"/>
  <c r="Q51" i="3"/>
  <c r="K51" i="3"/>
  <c r="E51" i="3"/>
  <c r="W50" i="3"/>
  <c r="Q50" i="3"/>
  <c r="K50" i="3"/>
  <c r="E50" i="3"/>
  <c r="W49" i="3"/>
  <c r="Q49" i="3"/>
  <c r="K49" i="3"/>
  <c r="E49" i="3"/>
  <c r="W48" i="3"/>
  <c r="Q48" i="3"/>
  <c r="N90" i="3" s="1"/>
  <c r="J6" i="3" s="1"/>
  <c r="K48" i="3"/>
  <c r="E48" i="3"/>
  <c r="W47" i="3"/>
  <c r="Q47" i="3"/>
  <c r="K47" i="3"/>
  <c r="E47" i="3"/>
  <c r="B91" i="3" s="1"/>
  <c r="K39" i="3"/>
  <c r="W38" i="3"/>
  <c r="K38" i="3"/>
  <c r="W37" i="3"/>
  <c r="K37" i="3"/>
  <c r="E37" i="3"/>
  <c r="W36" i="3"/>
  <c r="Q36" i="3"/>
  <c r="K36" i="3"/>
  <c r="E36" i="3"/>
  <c r="W35" i="3"/>
  <c r="Q35" i="3"/>
  <c r="K35" i="3"/>
  <c r="E35" i="3"/>
  <c r="W34" i="3"/>
  <c r="Q34" i="3"/>
  <c r="K34" i="3"/>
  <c r="E34" i="3"/>
  <c r="W33" i="3"/>
  <c r="Q33" i="3"/>
  <c r="K33" i="3"/>
  <c r="E33" i="3"/>
  <c r="W32" i="3"/>
  <c r="Q32" i="3"/>
  <c r="K32" i="3"/>
  <c r="E32" i="3"/>
  <c r="W31" i="3"/>
  <c r="Q31" i="3"/>
  <c r="K31" i="3"/>
  <c r="E31" i="3"/>
  <c r="W30" i="3"/>
  <c r="Q30" i="3"/>
  <c r="K30" i="3"/>
  <c r="E30" i="3"/>
  <c r="W29" i="3"/>
  <c r="Q29" i="3"/>
  <c r="K29" i="3"/>
  <c r="E29" i="3"/>
  <c r="W28" i="3"/>
  <c r="Q28" i="3"/>
  <c r="K28" i="3"/>
  <c r="E28" i="3"/>
  <c r="W27" i="3"/>
  <c r="Q27" i="3"/>
  <c r="K27" i="3"/>
  <c r="E27" i="3"/>
  <c r="W26" i="3"/>
  <c r="Q26" i="3"/>
  <c r="K26" i="3"/>
  <c r="E26" i="3"/>
  <c r="W25" i="3"/>
  <c r="Q25" i="3"/>
  <c r="K25" i="3"/>
  <c r="E25" i="3"/>
  <c r="W24" i="3"/>
  <c r="Q24" i="3"/>
  <c r="K24" i="3"/>
  <c r="E24" i="3"/>
  <c r="W23" i="3"/>
  <c r="Q23" i="3"/>
  <c r="K23" i="3"/>
  <c r="E23" i="3"/>
  <c r="W22" i="3"/>
  <c r="Q22" i="3"/>
  <c r="K22" i="3"/>
  <c r="E22" i="3"/>
  <c r="W21" i="3"/>
  <c r="Q21" i="3"/>
  <c r="K21" i="3"/>
  <c r="E21" i="3"/>
  <c r="W20" i="3"/>
  <c r="Q20" i="3"/>
  <c r="K20" i="3"/>
  <c r="E20" i="3"/>
  <c r="W19" i="3"/>
  <c r="Q19" i="3"/>
  <c r="Q37" i="3" s="1"/>
  <c r="I6" i="3" s="1"/>
  <c r="K19" i="3"/>
  <c r="K40" i="3" s="1"/>
  <c r="I5" i="3" s="1"/>
  <c r="E19" i="3"/>
  <c r="R8" i="3"/>
  <c r="P8" i="3"/>
  <c r="V7" i="3"/>
  <c r="V6" i="3"/>
  <c r="V5" i="3"/>
  <c r="V4" i="3"/>
  <c r="F208" i="2"/>
  <c r="E208" i="2"/>
  <c r="F206" i="2"/>
  <c r="F205" i="2"/>
  <c r="F204" i="2"/>
  <c r="F203" i="2"/>
  <c r="F202" i="2"/>
  <c r="E197" i="2"/>
  <c r="C197" i="2"/>
  <c r="G28" i="2" s="1"/>
  <c r="E195" i="2"/>
  <c r="C194" i="2"/>
  <c r="V6" i="2" s="1"/>
  <c r="AA6" i="2" s="1"/>
  <c r="E189" i="2"/>
  <c r="D189" i="2"/>
  <c r="C189" i="2"/>
  <c r="B189" i="2"/>
  <c r="E188" i="2"/>
  <c r="D188" i="2"/>
  <c r="C188" i="2"/>
  <c r="B188" i="2"/>
  <c r="E187" i="2"/>
  <c r="D187" i="2"/>
  <c r="C187" i="2"/>
  <c r="B187" i="2"/>
  <c r="M183" i="2"/>
  <c r="L183" i="2"/>
  <c r="N182" i="2"/>
  <c r="M182" i="2"/>
  <c r="L182" i="2"/>
  <c r="C195" i="2" s="1"/>
  <c r="M181" i="2"/>
  <c r="L181" i="2"/>
  <c r="C196" i="2" s="1"/>
  <c r="E196" i="2" s="1"/>
  <c r="O27" i="2" s="1"/>
  <c r="I173" i="2"/>
  <c r="E173" i="2"/>
  <c r="N10" i="2" s="1"/>
  <c r="S10" i="2" s="1"/>
  <c r="C173" i="2"/>
  <c r="B173" i="2"/>
  <c r="F150" i="2" s="1"/>
  <c r="K172" i="2"/>
  <c r="J172" i="2"/>
  <c r="I172" i="2"/>
  <c r="H172" i="2"/>
  <c r="E172" i="2"/>
  <c r="I149" i="2" s="1"/>
  <c r="C172" i="2"/>
  <c r="B172" i="2"/>
  <c r="K9" i="2" s="1"/>
  <c r="E19" i="2" s="1"/>
  <c r="K171" i="2"/>
  <c r="J171" i="2"/>
  <c r="I171" i="2"/>
  <c r="H171" i="2"/>
  <c r="E171" i="2"/>
  <c r="C171" i="2"/>
  <c r="L8" i="2" s="1"/>
  <c r="E27" i="2" s="1"/>
  <c r="B171" i="2"/>
  <c r="F148" i="2" s="1"/>
  <c r="Q163" i="2"/>
  <c r="V163" i="2" s="1"/>
  <c r="P163" i="2"/>
  <c r="U163" i="2" s="1"/>
  <c r="O163" i="2"/>
  <c r="T163" i="2" s="1"/>
  <c r="N163" i="2"/>
  <c r="M163" i="2"/>
  <c r="Q162" i="2"/>
  <c r="V162" i="2" s="1"/>
  <c r="X162" i="2" s="1"/>
  <c r="P162" i="2"/>
  <c r="U162" i="2" s="1"/>
  <c r="W162" i="2" s="1"/>
  <c r="O162" i="2"/>
  <c r="T162" i="2" s="1"/>
  <c r="N162" i="2"/>
  <c r="M162" i="2"/>
  <c r="Q161" i="2"/>
  <c r="P161" i="2"/>
  <c r="R161" i="2" s="1"/>
  <c r="O161" i="2"/>
  <c r="T161" i="2" s="1"/>
  <c r="N161" i="2"/>
  <c r="M161" i="2"/>
  <c r="U160" i="2"/>
  <c r="W160" i="2" s="1"/>
  <c r="Q160" i="2"/>
  <c r="P160" i="2"/>
  <c r="O160" i="2"/>
  <c r="T160" i="2" s="1"/>
  <c r="N160" i="2"/>
  <c r="M160" i="2"/>
  <c r="V159" i="2"/>
  <c r="U159" i="2"/>
  <c r="T159" i="2"/>
  <c r="X159" i="2" s="1"/>
  <c r="N159" i="2"/>
  <c r="M159" i="2"/>
  <c r="V158" i="2"/>
  <c r="U158" i="2"/>
  <c r="T158" i="2"/>
  <c r="S158" i="2"/>
  <c r="R158" i="2"/>
  <c r="N158" i="2"/>
  <c r="M158" i="2"/>
  <c r="V157" i="2"/>
  <c r="U157" i="2"/>
  <c r="T157" i="2"/>
  <c r="X157" i="2" s="1"/>
  <c r="S157" i="2"/>
  <c r="R157" i="2"/>
  <c r="N157" i="2"/>
  <c r="M157" i="2"/>
  <c r="V156" i="2"/>
  <c r="U156" i="2"/>
  <c r="T156" i="2"/>
  <c r="S156" i="2"/>
  <c r="R156" i="2"/>
  <c r="N156" i="2"/>
  <c r="M156" i="2"/>
  <c r="V155" i="2"/>
  <c r="U155" i="2"/>
  <c r="T155" i="2"/>
  <c r="W155" i="2" s="1"/>
  <c r="S155" i="2"/>
  <c r="R155" i="2"/>
  <c r="H173" i="2" s="1"/>
  <c r="N155" i="2"/>
  <c r="K173" i="2" s="1"/>
  <c r="M155" i="2"/>
  <c r="J173" i="2" s="1"/>
  <c r="I150" i="2"/>
  <c r="B150" i="2"/>
  <c r="B127" i="2"/>
  <c r="B130" i="2" s="1"/>
  <c r="D130" i="2" s="1"/>
  <c r="E118" i="2"/>
  <c r="E117" i="2"/>
  <c r="I115" i="2"/>
  <c r="H115" i="2"/>
  <c r="I138" i="2" s="1"/>
  <c r="J138" i="2" s="1"/>
  <c r="E115" i="2"/>
  <c r="I35" i="2" s="1"/>
  <c r="E114" i="2"/>
  <c r="S110" i="2"/>
  <c r="R110" i="2"/>
  <c r="Q110" i="2"/>
  <c r="S109" i="2"/>
  <c r="R109" i="2"/>
  <c r="Q109" i="2"/>
  <c r="C109" i="2"/>
  <c r="B109" i="2"/>
  <c r="S108" i="2"/>
  <c r="R108" i="2"/>
  <c r="Q108" i="2"/>
  <c r="D108" i="2"/>
  <c r="R107" i="2"/>
  <c r="D107" i="2"/>
  <c r="E100" i="2"/>
  <c r="E99" i="2"/>
  <c r="G98" i="2"/>
  <c r="F98" i="2"/>
  <c r="G97" i="2"/>
  <c r="F97" i="2"/>
  <c r="G96" i="2"/>
  <c r="F96" i="2"/>
  <c r="E96" i="2"/>
  <c r="C96" i="2"/>
  <c r="G95" i="2"/>
  <c r="F95" i="2"/>
  <c r="E95" i="2"/>
  <c r="C95" i="2"/>
  <c r="G94" i="2"/>
  <c r="F94" i="2"/>
  <c r="E94" i="2"/>
  <c r="D94" i="2"/>
  <c r="C94" i="2"/>
  <c r="B94" i="2"/>
  <c r="G93" i="2"/>
  <c r="F93" i="2"/>
  <c r="E93" i="2"/>
  <c r="A86" i="2"/>
  <c r="A85" i="2"/>
  <c r="A84" i="2"/>
  <c r="A83" i="2"/>
  <c r="A82" i="2"/>
  <c r="A81" i="2"/>
  <c r="A80" i="2"/>
  <c r="A79" i="2"/>
  <c r="A75" i="2"/>
  <c r="A74" i="2"/>
  <c r="A73" i="2"/>
  <c r="A72" i="2"/>
  <c r="A71" i="2"/>
  <c r="A70" i="2"/>
  <c r="A69" i="2"/>
  <c r="A68" i="2"/>
  <c r="A64" i="2"/>
  <c r="A63" i="2"/>
  <c r="A62" i="2"/>
  <c r="A61" i="2"/>
  <c r="A60" i="2"/>
  <c r="A59" i="2"/>
  <c r="A58" i="2"/>
  <c r="A57" i="2"/>
  <c r="A53" i="2"/>
  <c r="A52" i="2"/>
  <c r="A51" i="2"/>
  <c r="A50" i="2"/>
  <c r="A49" i="2"/>
  <c r="A48" i="2"/>
  <c r="A47" i="2"/>
  <c r="A46" i="2"/>
  <c r="AE43" i="2"/>
  <c r="AF42" i="2"/>
  <c r="AC42" i="2"/>
  <c r="X42" i="2"/>
  <c r="AF41" i="2"/>
  <c r="AC41" i="2"/>
  <c r="X41" i="2"/>
  <c r="AF40" i="2"/>
  <c r="AC40" i="2"/>
  <c r="Z40" i="2"/>
  <c r="Y40" i="2"/>
  <c r="AF39" i="2"/>
  <c r="AC39" i="2"/>
  <c r="Z39" i="2"/>
  <c r="Y39" i="2"/>
  <c r="AF38" i="2"/>
  <c r="AC38" i="2"/>
  <c r="Z38" i="2"/>
  <c r="Y38" i="2"/>
  <c r="X38" i="2"/>
  <c r="V38" i="2"/>
  <c r="I38" i="2"/>
  <c r="W38" i="2" s="1"/>
  <c r="AF37" i="2"/>
  <c r="AC37" i="2"/>
  <c r="Z37" i="2"/>
  <c r="Y37" i="2"/>
  <c r="X37" i="2"/>
  <c r="V37" i="2"/>
  <c r="I37" i="2"/>
  <c r="W37" i="2" s="1"/>
  <c r="AF36" i="2"/>
  <c r="AC36" i="2"/>
  <c r="Z36" i="2"/>
  <c r="Y36" i="2"/>
  <c r="X36" i="2"/>
  <c r="W36" i="2"/>
  <c r="V36" i="2"/>
  <c r="U36" i="2"/>
  <c r="F36" i="2"/>
  <c r="AF35" i="2"/>
  <c r="AC35" i="2"/>
  <c r="Z35" i="2"/>
  <c r="Y35" i="2"/>
  <c r="X35" i="2"/>
  <c r="V35" i="2"/>
  <c r="J35" i="2"/>
  <c r="Q107" i="2" s="1"/>
  <c r="H35" i="2"/>
  <c r="N29" i="2"/>
  <c r="K29" i="2"/>
  <c r="C29" i="2"/>
  <c r="O28" i="2"/>
  <c r="K27" i="2"/>
  <c r="F27" i="2"/>
  <c r="G26" i="2"/>
  <c r="N25" i="2"/>
  <c r="K24" i="2"/>
  <c r="C24" i="2"/>
  <c r="AD20" i="2"/>
  <c r="N20" i="2"/>
  <c r="K20" i="2"/>
  <c r="D20" i="2"/>
  <c r="C20" i="2"/>
  <c r="AD19" i="2"/>
  <c r="AD18" i="2"/>
  <c r="T18" i="2"/>
  <c r="N18" i="2"/>
  <c r="F18" i="2"/>
  <c r="D18" i="2"/>
  <c r="C18" i="2"/>
  <c r="AD17" i="2"/>
  <c r="AD16" i="2"/>
  <c r="W16" i="2"/>
  <c r="AD15" i="2"/>
  <c r="T15" i="2"/>
  <c r="C15" i="2"/>
  <c r="L10" i="2"/>
  <c r="Q10" i="2" s="1"/>
  <c r="K10" i="2"/>
  <c r="J10" i="2"/>
  <c r="I10" i="2"/>
  <c r="W20" i="2" s="1"/>
  <c r="H10" i="2"/>
  <c r="T20" i="2" s="1"/>
  <c r="E10" i="2"/>
  <c r="L29" i="2" s="1"/>
  <c r="J9" i="2"/>
  <c r="I9" i="2"/>
  <c r="W19" i="2" s="1"/>
  <c r="H9" i="2"/>
  <c r="X8" i="2"/>
  <c r="AC8" i="2" s="1"/>
  <c r="I8" i="2"/>
  <c r="N27" i="2" s="1"/>
  <c r="H8" i="2"/>
  <c r="C27" i="2" s="1"/>
  <c r="E8" i="2"/>
  <c r="J7" i="2"/>
  <c r="I7" i="2"/>
  <c r="W17" i="2" s="1"/>
  <c r="H7" i="2"/>
  <c r="K17" i="2" s="1"/>
  <c r="J6" i="2"/>
  <c r="I6" i="2"/>
  <c r="F16" i="2" s="1"/>
  <c r="H6" i="2"/>
  <c r="E6" i="2"/>
  <c r="D25" i="2" s="1"/>
  <c r="J5" i="2"/>
  <c r="I5" i="2"/>
  <c r="N24" i="2" s="1"/>
  <c r="H5" i="2"/>
  <c r="K15" i="2" s="1"/>
  <c r="D93" i="2" l="1"/>
  <c r="W35" i="2"/>
  <c r="K6" i="3"/>
  <c r="AA6" i="3" s="1"/>
  <c r="AJ30" i="6"/>
  <c r="AJ31" i="6"/>
  <c r="AK33" i="6"/>
  <c r="AK34" i="6"/>
  <c r="AJ38" i="6"/>
  <c r="U39" i="6"/>
  <c r="U43" i="6"/>
  <c r="AE55" i="6"/>
  <c r="AI55" i="6" s="1"/>
  <c r="AJ55" i="6"/>
  <c r="F76" i="6"/>
  <c r="Q64" i="9"/>
  <c r="E194" i="2"/>
  <c r="E13" i="4"/>
  <c r="D16" i="4"/>
  <c r="D18" i="4"/>
  <c r="E23" i="4"/>
  <c r="D24" i="4"/>
  <c r="E29" i="4"/>
  <c r="E39" i="4"/>
  <c r="D44" i="4"/>
  <c r="E48" i="4"/>
  <c r="D57" i="4"/>
  <c r="D59" i="4"/>
  <c r="D66" i="4"/>
  <c r="E76" i="4"/>
  <c r="E78" i="4"/>
  <c r="D89" i="4"/>
  <c r="AJ35" i="6"/>
  <c r="Z58" i="6"/>
  <c r="U59" i="6"/>
  <c r="F65" i="6"/>
  <c r="G67" i="6"/>
  <c r="E118" i="6"/>
  <c r="Y4" i="8"/>
  <c r="Y9" i="8" s="1"/>
  <c r="AC6" i="8"/>
  <c r="AI6" i="8" s="1"/>
  <c r="H6" i="8" s="1"/>
  <c r="Z7" i="8"/>
  <c r="AF7" i="8" s="1"/>
  <c r="F7" i="8" s="1"/>
  <c r="V12" i="8"/>
  <c r="AG12" i="8" s="1"/>
  <c r="G12" i="8" s="1"/>
  <c r="H91" i="3"/>
  <c r="D13" i="4"/>
  <c r="D29" i="4"/>
  <c r="E35" i="4"/>
  <c r="E37" i="4"/>
  <c r="E43" i="4"/>
  <c r="D48" i="4"/>
  <c r="D50" i="4"/>
  <c r="D52" i="4"/>
  <c r="D61" i="4"/>
  <c r="D70" i="4"/>
  <c r="E80" i="4"/>
  <c r="E82" i="4"/>
  <c r="D93" i="4"/>
  <c r="U32" i="6"/>
  <c r="U34" i="6"/>
  <c r="U38" i="6"/>
  <c r="W159" i="2"/>
  <c r="F24" i="2"/>
  <c r="D29" i="2"/>
  <c r="D109" i="2"/>
  <c r="T91" i="3"/>
  <c r="U91" i="3" s="1"/>
  <c r="L20" i="2"/>
  <c r="K26" i="2"/>
  <c r="X163" i="2"/>
  <c r="E20" i="4"/>
  <c r="E22" i="4"/>
  <c r="E26" i="4"/>
  <c r="E28" i="4"/>
  <c r="D33" i="4"/>
  <c r="D37" i="4"/>
  <c r="D65" i="4"/>
  <c r="D74" i="4"/>
  <c r="E84" i="4"/>
  <c r="E86" i="4"/>
  <c r="E21" i="6"/>
  <c r="C21" i="6" s="1"/>
  <c r="C6" i="6" s="1"/>
  <c r="AJ29" i="6"/>
  <c r="U36" i="6"/>
  <c r="AK41" i="6"/>
  <c r="AK44" i="6"/>
  <c r="AK46" i="6"/>
  <c r="AK47" i="6"/>
  <c r="AK49" i="6"/>
  <c r="AK52" i="6"/>
  <c r="AK58" i="6"/>
  <c r="G63" i="6"/>
  <c r="G65" i="6"/>
  <c r="F68" i="6"/>
  <c r="G71" i="6"/>
  <c r="F87" i="6"/>
  <c r="F91" i="6"/>
  <c r="AA4" i="8"/>
  <c r="AA9" i="8" s="1"/>
  <c r="AA5" i="8"/>
  <c r="AG5" i="8" s="1"/>
  <c r="G5" i="8" s="1"/>
  <c r="AC7" i="8"/>
  <c r="X12" i="8"/>
  <c r="AI12" i="8" s="1"/>
  <c r="H12" i="8" s="1"/>
  <c r="T13" i="8"/>
  <c r="AE13" i="8" s="1"/>
  <c r="E13" i="8" s="1"/>
  <c r="O65" i="9"/>
  <c r="R163" i="2"/>
  <c r="X9" i="2"/>
  <c r="AC9" i="2" s="1"/>
  <c r="E30" i="4"/>
  <c r="E34" i="4"/>
  <c r="E90" i="4"/>
  <c r="AI38" i="6"/>
  <c r="U42" i="6"/>
  <c r="U49" i="6"/>
  <c r="P64" i="9"/>
  <c r="C17" i="2"/>
  <c r="G27" i="2"/>
  <c r="J40" i="2"/>
  <c r="X40" i="2" s="1"/>
  <c r="S163" i="2"/>
  <c r="D17" i="4"/>
  <c r="D35" i="4"/>
  <c r="D45" i="4"/>
  <c r="E47" i="4"/>
  <c r="E51" i="4"/>
  <c r="E53" i="4"/>
  <c r="D56" i="4"/>
  <c r="E60" i="4"/>
  <c r="E62" i="4"/>
  <c r="D73" i="4"/>
  <c r="D82" i="4"/>
  <c r="E92" i="4"/>
  <c r="E94" i="4"/>
  <c r="U29" i="6"/>
  <c r="AK37" i="6"/>
  <c r="U40" i="6"/>
  <c r="Z41" i="6"/>
  <c r="Z42" i="6"/>
  <c r="U44" i="6"/>
  <c r="Z46" i="6"/>
  <c r="Z47" i="6"/>
  <c r="Z50" i="6"/>
  <c r="U51" i="6"/>
  <c r="U52" i="6"/>
  <c r="Z53" i="6"/>
  <c r="AK55" i="6"/>
  <c r="F66" i="6"/>
  <c r="F72" i="6"/>
  <c r="E79" i="6"/>
  <c r="G84" i="6"/>
  <c r="F89" i="6"/>
  <c r="L103" i="6"/>
  <c r="B103" i="6" s="1"/>
  <c r="AC5" i="8"/>
  <c r="AI5" i="8" s="1"/>
  <c r="H5" i="8" s="1"/>
  <c r="Y6" i="8"/>
  <c r="AE6" i="8" s="1"/>
  <c r="E6" i="8" s="1"/>
  <c r="AA8" i="8"/>
  <c r="AG8" i="8" s="1"/>
  <c r="V13" i="8"/>
  <c r="AG13" i="8" s="1"/>
  <c r="T14" i="8"/>
  <c r="AE14" i="8" s="1"/>
  <c r="E14" i="8" s="1"/>
  <c r="D27" i="4"/>
  <c r="G25" i="2"/>
  <c r="D22" i="4"/>
  <c r="E25" i="4"/>
  <c r="D28" i="4"/>
  <c r="E32" i="4"/>
  <c r="E42" i="4"/>
  <c r="E44" i="4"/>
  <c r="D49" i="4"/>
  <c r="D53" i="4"/>
  <c r="E57" i="4"/>
  <c r="E64" i="4"/>
  <c r="E66" i="4"/>
  <c r="D77" i="4"/>
  <c r="D86" i="4"/>
  <c r="E96" i="4"/>
  <c r="U33" i="6"/>
  <c r="AJ41" i="6"/>
  <c r="AJ45" i="6"/>
  <c r="AJ47" i="6"/>
  <c r="AE49" i="6"/>
  <c r="AI49" i="6" s="1"/>
  <c r="AJ49" i="6"/>
  <c r="U55" i="6"/>
  <c r="AJ57" i="6"/>
  <c r="Z6" i="8"/>
  <c r="AB8" i="8"/>
  <c r="AH8" i="8" s="1"/>
  <c r="W13" i="8"/>
  <c r="AH13" i="8" s="1"/>
  <c r="V14" i="8"/>
  <c r="AG14" i="8" s="1"/>
  <c r="G14" i="8" s="1"/>
  <c r="M63" i="9"/>
  <c r="N15" i="2"/>
  <c r="C26" i="2"/>
  <c r="D12" i="4"/>
  <c r="E14" i="4"/>
  <c r="D20" i="4"/>
  <c r="E36" i="4"/>
  <c r="D41" i="4"/>
  <c r="E45" i="4"/>
  <c r="E56" i="4"/>
  <c r="D69" i="4"/>
  <c r="D78" i="4"/>
  <c r="E88" i="4"/>
  <c r="W39" i="3"/>
  <c r="I7" i="3" s="1"/>
  <c r="I8" i="3" s="1"/>
  <c r="V8" i="2"/>
  <c r="AA8" i="2" s="1"/>
  <c r="AC20" i="2"/>
  <c r="U161" i="2"/>
  <c r="W161" i="2" s="1"/>
  <c r="F173" i="2"/>
  <c r="C193" i="2"/>
  <c r="E38" i="3"/>
  <c r="I4" i="3" s="1"/>
  <c r="Q4" i="3" s="1"/>
  <c r="U30" i="6"/>
  <c r="U31" i="6"/>
  <c r="U35" i="6"/>
  <c r="AE40" i="6"/>
  <c r="F70" i="6"/>
  <c r="N18" i="9"/>
  <c r="F172" i="2"/>
  <c r="J149" i="2" s="1"/>
  <c r="F149" i="2"/>
  <c r="B148" i="2"/>
  <c r="L9" i="2"/>
  <c r="N9" i="2"/>
  <c r="I136" i="2"/>
  <c r="J136" i="2" s="1"/>
  <c r="G149" i="2"/>
  <c r="C127" i="2"/>
  <c r="C130" i="2" s="1"/>
  <c r="J129" i="2" s="1"/>
  <c r="I139" i="2"/>
  <c r="J139" i="2" s="1"/>
  <c r="E168" i="2"/>
  <c r="K8" i="2"/>
  <c r="I137" i="2"/>
  <c r="J137" i="2" s="1"/>
  <c r="P9" i="2"/>
  <c r="B128" i="2"/>
  <c r="S4" i="3"/>
  <c r="U16" i="2"/>
  <c r="G37" i="2"/>
  <c r="N109" i="2" s="1"/>
  <c r="G35" i="2"/>
  <c r="M107" i="2" s="1"/>
  <c r="B197" i="2"/>
  <c r="B194" i="2"/>
  <c r="F188" i="2"/>
  <c r="B193" i="2"/>
  <c r="E9" i="2"/>
  <c r="E7" i="2"/>
  <c r="E5" i="2"/>
  <c r="AD36" i="2" s="1" a="1"/>
  <c r="AD36" i="2" s="1"/>
  <c r="K25" i="2"/>
  <c r="C16" i="2"/>
  <c r="C28" i="2"/>
  <c r="T19" i="2"/>
  <c r="C19" i="2"/>
  <c r="K28" i="2"/>
  <c r="I148" i="2"/>
  <c r="N28" i="2"/>
  <c r="V9" i="2"/>
  <c r="AA9" i="2" s="1"/>
  <c r="N19" i="2"/>
  <c r="D91" i="3"/>
  <c r="C91" i="3"/>
  <c r="L4" i="3"/>
  <c r="F19" i="2"/>
  <c r="W158" i="2"/>
  <c r="X158" i="2"/>
  <c r="S5" i="3"/>
  <c r="AE5" i="3" s="1"/>
  <c r="Q5" i="3"/>
  <c r="AD5" i="3" s="1"/>
  <c r="Z5" i="3"/>
  <c r="M29" i="2"/>
  <c r="B195" i="2"/>
  <c r="J109" i="4"/>
  <c r="L25" i="2"/>
  <c r="D16" i="2"/>
  <c r="AC16" i="2"/>
  <c r="L16" i="2"/>
  <c r="AC18" i="2"/>
  <c r="D27" i="2"/>
  <c r="L18" i="2"/>
  <c r="P10" i="2"/>
  <c r="E20" i="2"/>
  <c r="C198" i="2"/>
  <c r="N183" i="2"/>
  <c r="F26" i="2"/>
  <c r="F17" i="2"/>
  <c r="V7" i="2"/>
  <c r="AA7" i="2" s="1"/>
  <c r="L5" i="3"/>
  <c r="I91" i="3"/>
  <c r="N16" i="2"/>
  <c r="F25" i="2"/>
  <c r="N17" i="2"/>
  <c r="C25" i="2"/>
  <c r="E29" i="2"/>
  <c r="Q7" i="3"/>
  <c r="AD7" i="3" s="1"/>
  <c r="Z7" i="3"/>
  <c r="S6" i="3"/>
  <c r="AE6" i="3" s="1"/>
  <c r="Q6" i="3"/>
  <c r="AD6" i="3" s="1"/>
  <c r="Z6" i="3"/>
  <c r="K16" i="2"/>
  <c r="K19" i="2"/>
  <c r="F28" i="2"/>
  <c r="AE36" i="2"/>
  <c r="L41" i="2"/>
  <c r="H40" i="2"/>
  <c r="K41" i="2"/>
  <c r="L42" i="2"/>
  <c r="Q112" i="2"/>
  <c r="X7" i="2"/>
  <c r="AC7" i="2" s="1"/>
  <c r="E40" i="4"/>
  <c r="L27" i="2"/>
  <c r="G38" i="2"/>
  <c r="N8" i="2"/>
  <c r="T16" i="2"/>
  <c r="U18" i="2"/>
  <c r="N26" i="2"/>
  <c r="H108" i="2"/>
  <c r="I108" i="2" s="1"/>
  <c r="F29" i="2"/>
  <c r="D96" i="2"/>
  <c r="G150" i="2"/>
  <c r="W163" i="2"/>
  <c r="T90" i="3"/>
  <c r="E55" i="4"/>
  <c r="Q8" i="2"/>
  <c r="F15" i="2"/>
  <c r="O26" i="2"/>
  <c r="T17" i="2"/>
  <c r="K18" i="2"/>
  <c r="W18" i="2"/>
  <c r="F20" i="2"/>
  <c r="U20" i="2"/>
  <c r="C93" i="2"/>
  <c r="R160" i="2"/>
  <c r="C168" i="2"/>
  <c r="B168" i="2"/>
  <c r="B149" i="2"/>
  <c r="N181" i="2"/>
  <c r="D19" i="4"/>
  <c r="S160" i="2"/>
  <c r="V160" i="2"/>
  <c r="X160" i="2" s="1"/>
  <c r="V161" i="2"/>
  <c r="X161" i="2" s="1"/>
  <c r="S161" i="2"/>
  <c r="G148" i="2"/>
  <c r="F171" i="2"/>
  <c r="D171" i="2" s="1"/>
  <c r="W157" i="2"/>
  <c r="W15" i="2"/>
  <c r="J39" i="2"/>
  <c r="H94" i="2"/>
  <c r="D95" i="2"/>
  <c r="S107" i="2"/>
  <c r="O90" i="3"/>
  <c r="E27" i="4"/>
  <c r="E18" i="4"/>
  <c r="D39" i="4"/>
  <c r="E41" i="4"/>
  <c r="B90" i="3"/>
  <c r="E21" i="4"/>
  <c r="D23" i="4"/>
  <c r="D31" i="4"/>
  <c r="E33" i="4"/>
  <c r="D47" i="4"/>
  <c r="E49" i="4"/>
  <c r="W156" i="2"/>
  <c r="R162" i="2"/>
  <c r="H90" i="3"/>
  <c r="D11" i="4"/>
  <c r="D15" i="4"/>
  <c r="E17" i="4"/>
  <c r="E38" i="4"/>
  <c r="E54" i="4"/>
  <c r="X155" i="2"/>
  <c r="X156" i="2"/>
  <c r="S162" i="2"/>
  <c r="N91" i="3"/>
  <c r="N92" i="3" s="1"/>
  <c r="P90" i="3" s="1"/>
  <c r="E61" i="4"/>
  <c r="E65" i="4"/>
  <c r="E69" i="4"/>
  <c r="E73" i="4"/>
  <c r="E77" i="4"/>
  <c r="E81" i="4"/>
  <c r="E85" i="4"/>
  <c r="E89" i="4"/>
  <c r="E93" i="4"/>
  <c r="G91" i="6"/>
  <c r="N18" i="7"/>
  <c r="G23" i="9"/>
  <c r="G17" i="9"/>
  <c r="G29" i="9"/>
  <c r="G25" i="9"/>
  <c r="M25" i="9" s="1"/>
  <c r="G26" i="9"/>
  <c r="G24" i="9"/>
  <c r="M24" i="9" s="1"/>
  <c r="G21" i="9"/>
  <c r="G19" i="9"/>
  <c r="M19" i="9" s="1"/>
  <c r="O63" i="9"/>
  <c r="O64" i="9"/>
  <c r="E59" i="4"/>
  <c r="E63" i="4"/>
  <c r="E67" i="4"/>
  <c r="E71" i="4"/>
  <c r="E75" i="4"/>
  <c r="E79" i="4"/>
  <c r="E83" i="4"/>
  <c r="E87" i="4"/>
  <c r="E91" i="4"/>
  <c r="E95" i="4"/>
  <c r="Z48" i="6"/>
  <c r="Z32" i="6"/>
  <c r="AI32" i="6" s="1"/>
  <c r="K23" i="6"/>
  <c r="AK29" i="6"/>
  <c r="Z34" i="6"/>
  <c r="AE41" i="6"/>
  <c r="AE45" i="6"/>
  <c r="Z45" i="6"/>
  <c r="G64" i="6"/>
  <c r="G82" i="6"/>
  <c r="Z9" i="8"/>
  <c r="AF4" i="8"/>
  <c r="G6" i="8"/>
  <c r="G20" i="9"/>
  <c r="M23" i="9"/>
  <c r="H29" i="9"/>
  <c r="H25" i="9"/>
  <c r="N25" i="9" s="1"/>
  <c r="H22" i="9"/>
  <c r="N22" i="9" s="1"/>
  <c r="H19" i="9"/>
  <c r="N19" i="9" s="1"/>
  <c r="H26" i="9"/>
  <c r="H23" i="9"/>
  <c r="N23" i="9" s="1"/>
  <c r="H24" i="9"/>
  <c r="N24" i="9" s="1"/>
  <c r="H21" i="9"/>
  <c r="H20" i="9"/>
  <c r="N20" i="9" s="1"/>
  <c r="G28" i="9"/>
  <c r="M28" i="9" s="1"/>
  <c r="H31" i="9"/>
  <c r="N31" i="9" s="1"/>
  <c r="P66" i="9"/>
  <c r="Q66" i="9"/>
  <c r="AE51" i="6"/>
  <c r="AE43" i="6"/>
  <c r="AI43" i="6" s="1"/>
  <c r="AE57" i="6"/>
  <c r="AE52" i="6"/>
  <c r="AE46" i="6"/>
  <c r="AI46" i="6" s="1"/>
  <c r="AE31" i="6"/>
  <c r="AE34" i="6"/>
  <c r="AE44" i="6"/>
  <c r="AI44" i="6" s="1"/>
  <c r="AE54" i="6"/>
  <c r="G80" i="6"/>
  <c r="G18" i="9"/>
  <c r="M18" i="9" s="1"/>
  <c r="AK30" i="6"/>
  <c r="AE37" i="6"/>
  <c r="AE48" i="6"/>
  <c r="AE56" i="6"/>
  <c r="AI56" i="6" s="1"/>
  <c r="I29" i="9"/>
  <c r="I25" i="9"/>
  <c r="I22" i="9"/>
  <c r="O22" i="9" s="1"/>
  <c r="I19" i="9"/>
  <c r="O19" i="9" s="1"/>
  <c r="I23" i="9"/>
  <c r="O23" i="9" s="1"/>
  <c r="I24" i="9"/>
  <c r="O24" i="9" s="1"/>
  <c r="I21" i="9"/>
  <c r="I28" i="9"/>
  <c r="O28" i="9" s="1"/>
  <c r="I20" i="9"/>
  <c r="I27" i="9"/>
  <c r="O27" i="9" s="1"/>
  <c r="I18" i="9"/>
  <c r="O18" i="9" s="1"/>
  <c r="AE33" i="6"/>
  <c r="AI33" i="6" s="1"/>
  <c r="AK39" i="6"/>
  <c r="AE47" i="6"/>
  <c r="AI47" i="6" s="1"/>
  <c r="Z52" i="6"/>
  <c r="AE53" i="6"/>
  <c r="AI53" i="6" s="1"/>
  <c r="D102" i="6"/>
  <c r="G30" i="9"/>
  <c r="E20" i="6"/>
  <c r="C20" i="6" s="1"/>
  <c r="C5" i="6" s="1"/>
  <c r="AE30" i="6"/>
  <c r="AI30" i="6" s="1"/>
  <c r="Z30" i="6"/>
  <c r="AE36" i="6"/>
  <c r="AI36" i="6" s="1"/>
  <c r="Z54" i="6"/>
  <c r="Z57" i="6"/>
  <c r="AE59" i="6"/>
  <c r="AI59" i="6" s="1"/>
  <c r="E65" i="6"/>
  <c r="F67" i="6"/>
  <c r="F83" i="6"/>
  <c r="G90" i="6"/>
  <c r="G22" i="9"/>
  <c r="M22" i="9" s="1"/>
  <c r="G27" i="9"/>
  <c r="M27" i="9" s="1"/>
  <c r="H30" i="9"/>
  <c r="N30" i="9" s="1"/>
  <c r="D63" i="4"/>
  <c r="D67" i="4"/>
  <c r="D71" i="4"/>
  <c r="D75" i="4"/>
  <c r="D79" i="4"/>
  <c r="D83" i="4"/>
  <c r="D87" i="4"/>
  <c r="D91" i="4"/>
  <c r="D95" i="4"/>
  <c r="Z31" i="6"/>
  <c r="Z37" i="6"/>
  <c r="Z40" i="6"/>
  <c r="AI40" i="6" s="1"/>
  <c r="AE58" i="6"/>
  <c r="AI58" i="6" s="1"/>
  <c r="E81" i="6"/>
  <c r="I26" i="9"/>
  <c r="H27" i="9"/>
  <c r="Z51" i="6"/>
  <c r="G75" i="6"/>
  <c r="H28" i="9"/>
  <c r="N28" i="9" s="1"/>
  <c r="M30" i="9"/>
  <c r="N27" i="9"/>
  <c r="O17" i="9"/>
  <c r="N17" i="9"/>
  <c r="O25" i="9"/>
  <c r="I30" i="9"/>
  <c r="O30" i="9" s="1"/>
  <c r="G31" i="9"/>
  <c r="M31" i="9" s="1"/>
  <c r="AE42" i="6"/>
  <c r="AI42" i="6" s="1"/>
  <c r="E93" i="6"/>
  <c r="AH4" i="8"/>
  <c r="AH9" i="8" s="1"/>
  <c r="M17" i="9"/>
  <c r="Z35" i="6"/>
  <c r="AI35" i="6" s="1"/>
  <c r="E77" i="6"/>
  <c r="AE12" i="8"/>
  <c r="E12" i="8" s="1"/>
  <c r="M20" i="9"/>
  <c r="E32" i="9"/>
  <c r="J28" i="9" s="1"/>
  <c r="P28" i="9" s="1"/>
  <c r="I31" i="9"/>
  <c r="O31" i="9" s="1"/>
  <c r="AE50" i="6"/>
  <c r="AI50" i="6" s="1"/>
  <c r="AE4" i="8"/>
  <c r="AF6" i="8"/>
  <c r="F6" i="8" s="1"/>
  <c r="AI7" i="8"/>
  <c r="H7" i="8" s="1"/>
  <c r="O20" i="9"/>
  <c r="F32" i="9"/>
  <c r="K27" i="9" s="1"/>
  <c r="Q27" i="9" s="1"/>
  <c r="N63" i="9"/>
  <c r="F28" i="9"/>
  <c r="N64" i="9"/>
  <c r="AC4" i="8"/>
  <c r="Z5" i="8"/>
  <c r="AF5" i="8" s="1"/>
  <c r="F5" i="8" s="1"/>
  <c r="AB7" i="8"/>
  <c r="AH7" i="8" s="1"/>
  <c r="G7" i="8" s="1"/>
  <c r="Y8" i="8"/>
  <c r="AE8" i="8" s="1"/>
  <c r="E8" i="8" s="1"/>
  <c r="X13" i="8"/>
  <c r="AI13" i="8" s="1"/>
  <c r="H13" i="8" s="1"/>
  <c r="D172" i="2" l="1"/>
  <c r="AI37" i="6"/>
  <c r="G96" i="4"/>
  <c r="N107" i="2"/>
  <c r="R112" i="2"/>
  <c r="O25" i="2"/>
  <c r="X6" i="2"/>
  <c r="AC6" i="2" s="1"/>
  <c r="N21" i="9"/>
  <c r="N32" i="9" s="1"/>
  <c r="B7" i="9" s="1"/>
  <c r="F48" i="4"/>
  <c r="H32" i="9"/>
  <c r="H39" i="2"/>
  <c r="H41" i="2"/>
  <c r="K42" i="2"/>
  <c r="H42" i="2"/>
  <c r="AI45" i="6"/>
  <c r="E98" i="2"/>
  <c r="F87" i="4"/>
  <c r="N114" i="4" s="1"/>
  <c r="G68" i="4"/>
  <c r="S7" i="3"/>
  <c r="AE7" i="3" s="1"/>
  <c r="L7" i="3"/>
  <c r="Z4" i="3"/>
  <c r="N66" i="9"/>
  <c r="AG4" i="8"/>
  <c r="AG9" i="8" s="1"/>
  <c r="G9" i="8" s="1"/>
  <c r="AI41" i="6"/>
  <c r="S112" i="2"/>
  <c r="E193" i="2"/>
  <c r="G24" i="2"/>
  <c r="V5" i="2"/>
  <c r="AA5" i="2" s="1"/>
  <c r="G13" i="8"/>
  <c r="J27" i="9"/>
  <c r="P27" i="9" s="1"/>
  <c r="O66" i="9"/>
  <c r="G74" i="4"/>
  <c r="D173" i="2"/>
  <c r="O10" i="2"/>
  <c r="J150" i="2"/>
  <c r="G8" i="8"/>
  <c r="G75" i="4"/>
  <c r="O9" i="2"/>
  <c r="T9" i="2" s="1"/>
  <c r="E169" i="2"/>
  <c r="N5" i="2"/>
  <c r="D128" i="2"/>
  <c r="B129" i="2"/>
  <c r="I145" i="2"/>
  <c r="C129" i="2"/>
  <c r="J128" i="2" s="1"/>
  <c r="E170" i="2"/>
  <c r="N7" i="2" s="1"/>
  <c r="C131" i="2"/>
  <c r="E131" i="2" s="1"/>
  <c r="M28" i="2"/>
  <c r="S9" i="2"/>
  <c r="C128" i="2"/>
  <c r="E128" i="2" s="1"/>
  <c r="E130" i="2"/>
  <c r="B69" i="2" s="1"/>
  <c r="G69" i="2" s="1"/>
  <c r="Y69" i="2" s="1"/>
  <c r="E28" i="2"/>
  <c r="Q9" i="2"/>
  <c r="E18" i="2"/>
  <c r="P8" i="2"/>
  <c r="H148" i="2"/>
  <c r="M8" i="2"/>
  <c r="F41" i="4"/>
  <c r="U90" i="3"/>
  <c r="U92" i="3" s="1"/>
  <c r="T92" i="3"/>
  <c r="V91" i="3" s="1"/>
  <c r="J7" i="3"/>
  <c r="K7" i="3" s="1"/>
  <c r="AA7" i="3" s="1"/>
  <c r="G71" i="4"/>
  <c r="I32" i="9"/>
  <c r="G60" i="4"/>
  <c r="F55" i="4"/>
  <c r="F86" i="4"/>
  <c r="F70" i="4"/>
  <c r="F11" i="4"/>
  <c r="F82" i="4"/>
  <c r="F51" i="4"/>
  <c r="F35" i="4"/>
  <c r="G41" i="4"/>
  <c r="F45" i="4"/>
  <c r="G45" i="4"/>
  <c r="G30" i="4"/>
  <c r="F75" i="4"/>
  <c r="AI34" i="6"/>
  <c r="G91" i="4"/>
  <c r="G59" i="4"/>
  <c r="G81" i="4"/>
  <c r="G65" i="4"/>
  <c r="G78" i="4"/>
  <c r="G38" i="4"/>
  <c r="F47" i="4"/>
  <c r="G82" i="4"/>
  <c r="G18" i="4"/>
  <c r="G27" i="4"/>
  <c r="F54" i="4"/>
  <c r="B196" i="2"/>
  <c r="F187" i="2"/>
  <c r="G51" i="4"/>
  <c r="F61" i="4"/>
  <c r="G46" i="4"/>
  <c r="F66" i="4"/>
  <c r="G70" i="4"/>
  <c r="G72" i="4"/>
  <c r="G47" i="4"/>
  <c r="G15" i="4"/>
  <c r="AI51" i="6"/>
  <c r="K28" i="9"/>
  <c r="Q28" i="9" s="1"/>
  <c r="AE9" i="8"/>
  <c r="E9" i="8" s="1"/>
  <c r="E4" i="8"/>
  <c r="F71" i="4"/>
  <c r="AI48" i="6"/>
  <c r="AI31" i="6"/>
  <c r="G87" i="4"/>
  <c r="F96" i="4"/>
  <c r="F80" i="4"/>
  <c r="F64" i="4"/>
  <c r="F69" i="4"/>
  <c r="F33" i="4"/>
  <c r="F40" i="4"/>
  <c r="F73" i="4"/>
  <c r="F14" i="4"/>
  <c r="G14" i="4"/>
  <c r="G88" i="4"/>
  <c r="F53" i="4"/>
  <c r="G43" i="4"/>
  <c r="F34" i="4"/>
  <c r="G16" i="4"/>
  <c r="G36" i="4"/>
  <c r="F38" i="4"/>
  <c r="S8" i="2"/>
  <c r="M27" i="2"/>
  <c r="S114" i="2"/>
  <c r="G100" i="2"/>
  <c r="Z42" i="2"/>
  <c r="M5" i="3"/>
  <c r="AB5" i="3" s="1"/>
  <c r="G39" i="4"/>
  <c r="F62" i="4"/>
  <c r="F50" i="4"/>
  <c r="D194" i="2"/>
  <c r="U6" i="2"/>
  <c r="Z6" i="2" s="1"/>
  <c r="G16" i="2"/>
  <c r="F194" i="2"/>
  <c r="Z8" i="3"/>
  <c r="Z9" i="3"/>
  <c r="F91" i="4"/>
  <c r="N106" i="4" s="1"/>
  <c r="G4" i="8"/>
  <c r="G89" i="4"/>
  <c r="F52" i="4"/>
  <c r="F44" i="4"/>
  <c r="F67" i="4"/>
  <c r="G83" i="4"/>
  <c r="G32" i="9"/>
  <c r="M21" i="9"/>
  <c r="M32" i="9" s="1"/>
  <c r="B5" i="9" s="1"/>
  <c r="B8" i="9" s="1"/>
  <c r="G93" i="4"/>
  <c r="G77" i="4"/>
  <c r="G61" i="4"/>
  <c r="G62" i="4"/>
  <c r="F21" i="4"/>
  <c r="G90" i="4"/>
  <c r="G33" i="4"/>
  <c r="G66" i="4"/>
  <c r="F77" i="4"/>
  <c r="G64" i="4"/>
  <c r="G50" i="4"/>
  <c r="B169" i="2"/>
  <c r="B170" i="2"/>
  <c r="F145" i="2"/>
  <c r="B145" i="2"/>
  <c r="K5" i="2"/>
  <c r="G19" i="4"/>
  <c r="F27" i="4"/>
  <c r="G32" i="4"/>
  <c r="F37" i="4"/>
  <c r="R113" i="2"/>
  <c r="Q113" i="2"/>
  <c r="F99" i="2"/>
  <c r="Y41" i="2"/>
  <c r="B198" i="2"/>
  <c r="F189" i="2"/>
  <c r="G37" i="4"/>
  <c r="G28" i="4"/>
  <c r="F43" i="4"/>
  <c r="U9" i="2"/>
  <c r="Z9" i="2" s="1"/>
  <c r="G19" i="2"/>
  <c r="F197" i="2"/>
  <c r="D197" i="2"/>
  <c r="Q8" i="3"/>
  <c r="AD4" i="3"/>
  <c r="O21" i="9"/>
  <c r="O32" i="9" s="1"/>
  <c r="G73" i="4"/>
  <c r="G76" i="4"/>
  <c r="F23" i="4"/>
  <c r="M9" i="2"/>
  <c r="H149" i="2"/>
  <c r="G48" i="4"/>
  <c r="K24" i="9"/>
  <c r="Q24" i="9" s="1"/>
  <c r="K21" i="9"/>
  <c r="K18" i="9"/>
  <c r="Q18" i="9" s="1"/>
  <c r="K29" i="9"/>
  <c r="K25" i="9"/>
  <c r="Q25" i="9" s="1"/>
  <c r="K20" i="9"/>
  <c r="Q20" i="9" s="1"/>
  <c r="K19" i="9"/>
  <c r="Q19" i="9" s="1"/>
  <c r="K31" i="9"/>
  <c r="Q31" i="9" s="1"/>
  <c r="K17" i="9"/>
  <c r="K26" i="9"/>
  <c r="K22" i="9"/>
  <c r="Q22" i="9" s="1"/>
  <c r="K30" i="9"/>
  <c r="Q30" i="9" s="1"/>
  <c r="K23" i="9"/>
  <c r="Q23" i="9" s="1"/>
  <c r="F95" i="4"/>
  <c r="N115" i="4" s="1"/>
  <c r="F63" i="4"/>
  <c r="AI52" i="6"/>
  <c r="AF9" i="8"/>
  <c r="F9" i="8" s="1"/>
  <c r="F4" i="8"/>
  <c r="G79" i="4"/>
  <c r="F92" i="4"/>
  <c r="F76" i="4"/>
  <c r="F60" i="4"/>
  <c r="G57" i="4"/>
  <c r="G92" i="4"/>
  <c r="G17" i="4"/>
  <c r="F81" i="4"/>
  <c r="F31" i="4"/>
  <c r="G58" i="4"/>
  <c r="F58" i="4"/>
  <c r="S111" i="2"/>
  <c r="R111" i="2"/>
  <c r="X39" i="2"/>
  <c r="Q111" i="2"/>
  <c r="E97" i="2"/>
  <c r="G52" i="4"/>
  <c r="F42" i="4"/>
  <c r="C169" i="2"/>
  <c r="G145" i="2"/>
  <c r="C170" i="2"/>
  <c r="L5" i="2"/>
  <c r="F168" i="2"/>
  <c r="F93" i="4"/>
  <c r="F16" i="4"/>
  <c r="G80" i="4"/>
  <c r="G29" i="4"/>
  <c r="G34" i="4"/>
  <c r="M110" i="2"/>
  <c r="B96" i="2"/>
  <c r="H96" i="2" s="1"/>
  <c r="L110" i="2"/>
  <c r="N110" i="2"/>
  <c r="U38" i="2"/>
  <c r="F38" i="2"/>
  <c r="AD38" i="2" s="1" a="1"/>
  <c r="AD38" i="2" s="1"/>
  <c r="C98" i="2"/>
  <c r="I40" i="2"/>
  <c r="G40" i="2"/>
  <c r="V40" i="2"/>
  <c r="E198" i="2"/>
  <c r="G29" i="2"/>
  <c r="V10" i="2"/>
  <c r="AA10" i="2" s="1"/>
  <c r="N4" i="3"/>
  <c r="M4" i="3"/>
  <c r="L8" i="3"/>
  <c r="G31" i="4"/>
  <c r="B93" i="2"/>
  <c r="H93" i="2" s="1"/>
  <c r="L107" i="2"/>
  <c r="U35" i="2"/>
  <c r="F35" i="2"/>
  <c r="AD35" i="2" s="1" a="1"/>
  <c r="AD35" i="2" s="1"/>
  <c r="AE4" i="3"/>
  <c r="S8" i="3"/>
  <c r="AI57" i="6"/>
  <c r="G11" i="4"/>
  <c r="S113" i="2"/>
  <c r="G99" i="2"/>
  <c r="Z41" i="2"/>
  <c r="M7" i="3"/>
  <c r="AB7" i="3" s="1"/>
  <c r="N7" i="3"/>
  <c r="O7" i="3" s="1"/>
  <c r="L15" i="2"/>
  <c r="L24" i="2"/>
  <c r="U15" i="2"/>
  <c r="AC15" i="2"/>
  <c r="D24" i="2"/>
  <c r="D15" i="2"/>
  <c r="M109" i="2"/>
  <c r="L109" i="2"/>
  <c r="B95" i="2"/>
  <c r="H95" i="2" s="1"/>
  <c r="F37" i="2"/>
  <c r="AD37" i="2" s="1" a="1"/>
  <c r="AD37" i="2" s="1"/>
  <c r="U37" i="2"/>
  <c r="F15" i="4"/>
  <c r="F46" i="4"/>
  <c r="F74" i="4"/>
  <c r="F65" i="4"/>
  <c r="G86" i="4"/>
  <c r="U17" i="2"/>
  <c r="D17" i="2"/>
  <c r="D26" i="2"/>
  <c r="AC17" i="2"/>
  <c r="L26" i="2"/>
  <c r="L17" i="2"/>
  <c r="F90" i="4"/>
  <c r="J22" i="9"/>
  <c r="P22" i="9" s="1"/>
  <c r="J24" i="9"/>
  <c r="P24" i="9" s="1"/>
  <c r="J21" i="9"/>
  <c r="J23" i="9"/>
  <c r="P23" i="9" s="1"/>
  <c r="J20" i="9"/>
  <c r="P20" i="9" s="1"/>
  <c r="J25" i="9"/>
  <c r="P25" i="9" s="1"/>
  <c r="J19" i="9"/>
  <c r="P19" i="9" s="1"/>
  <c r="J18" i="9"/>
  <c r="P18" i="9" s="1"/>
  <c r="J31" i="9"/>
  <c r="P31" i="9" s="1"/>
  <c r="J17" i="9"/>
  <c r="J29" i="9"/>
  <c r="J30" i="9"/>
  <c r="P30" i="9" s="1"/>
  <c r="J26" i="9"/>
  <c r="F88" i="4"/>
  <c r="N113" i="4" s="1"/>
  <c r="F72" i="4"/>
  <c r="F36" i="4"/>
  <c r="G21" i="4"/>
  <c r="G42" i="4"/>
  <c r="J148" i="2"/>
  <c r="O8" i="2"/>
  <c r="G84" i="4"/>
  <c r="F19" i="4"/>
  <c r="G55" i="4"/>
  <c r="F29" i="4"/>
  <c r="F59" i="4"/>
  <c r="N116" i="4" s="1"/>
  <c r="G40" i="4"/>
  <c r="G23" i="4"/>
  <c r="D19" i="2"/>
  <c r="L28" i="2"/>
  <c r="AC19" i="2"/>
  <c r="L19" i="2"/>
  <c r="D28" i="2"/>
  <c r="U19" i="2"/>
  <c r="Q114" i="2"/>
  <c r="G56" i="4"/>
  <c r="F30" i="4"/>
  <c r="G44" i="4"/>
  <c r="F83" i="4"/>
  <c r="N112" i="4" s="1"/>
  <c r="AI54" i="6"/>
  <c r="G67" i="4"/>
  <c r="G85" i="4"/>
  <c r="G69" i="4"/>
  <c r="G94" i="4"/>
  <c r="F17" i="4"/>
  <c r="G54" i="4"/>
  <c r="H92" i="3"/>
  <c r="J91" i="3" s="1"/>
  <c r="I90" i="3"/>
  <c r="I92" i="3" s="1"/>
  <c r="J90" i="3"/>
  <c r="J92" i="3" s="1"/>
  <c r="J5" i="3"/>
  <c r="K5" i="3" s="1"/>
  <c r="AA5" i="3" s="1"/>
  <c r="AC5" i="3" s="1"/>
  <c r="F56" i="4"/>
  <c r="D90" i="3"/>
  <c r="D92" i="3" s="1"/>
  <c r="C90" i="3"/>
  <c r="C92" i="3" s="1"/>
  <c r="J4" i="3"/>
  <c r="F39" i="4"/>
  <c r="AI4" i="8"/>
  <c r="AC9" i="8"/>
  <c r="F79" i="4"/>
  <c r="C102" i="6"/>
  <c r="D4" i="6" s="1"/>
  <c r="D103" i="6"/>
  <c r="G95" i="4"/>
  <c r="G63" i="4"/>
  <c r="F84" i="4"/>
  <c r="F68" i="4"/>
  <c r="F85" i="4"/>
  <c r="O91" i="3"/>
  <c r="O92" i="3" s="1"/>
  <c r="P91" i="3"/>
  <c r="P92" i="3" s="1"/>
  <c r="L6" i="3"/>
  <c r="F49" i="4"/>
  <c r="G49" i="4"/>
  <c r="F89" i="4"/>
  <c r="N104" i="4" s="1"/>
  <c r="F32" i="4"/>
  <c r="F28" i="4"/>
  <c r="F78" i="4"/>
  <c r="F18" i="4"/>
  <c r="G53" i="4"/>
  <c r="F94" i="4"/>
  <c r="N108" i="4" s="1"/>
  <c r="F57" i="4"/>
  <c r="G35" i="4"/>
  <c r="D195" i="2"/>
  <c r="G17" i="2"/>
  <c r="U7" i="2"/>
  <c r="Z7" i="2" s="1"/>
  <c r="F195" i="2"/>
  <c r="F193" i="2"/>
  <c r="D193" i="2"/>
  <c r="G15" i="2"/>
  <c r="U5" i="2"/>
  <c r="Z5" i="2" s="1"/>
  <c r="H150" i="2" l="1"/>
  <c r="M10" i="2"/>
  <c r="G42" i="2"/>
  <c r="I42" i="2"/>
  <c r="C100" i="2"/>
  <c r="V42" i="2"/>
  <c r="F100" i="2"/>
  <c r="R114" i="2"/>
  <c r="Y42" i="2"/>
  <c r="V19" i="2"/>
  <c r="C99" i="2"/>
  <c r="G41" i="2"/>
  <c r="V41" i="2"/>
  <c r="I41" i="2"/>
  <c r="M113" i="2"/>
  <c r="G39" i="2"/>
  <c r="C97" i="2"/>
  <c r="V39" i="2"/>
  <c r="I39" i="2"/>
  <c r="V20" i="2"/>
  <c r="T10" i="2"/>
  <c r="O24" i="2"/>
  <c r="X5" i="2"/>
  <c r="AC5" i="2" s="1"/>
  <c r="J127" i="2"/>
  <c r="H69" i="2"/>
  <c r="Z69" i="2" s="1"/>
  <c r="I69" i="2"/>
  <c r="F69" i="2"/>
  <c r="X69" i="2" s="1"/>
  <c r="J130" i="2"/>
  <c r="E129" i="2"/>
  <c r="B60" i="2" s="1"/>
  <c r="D129" i="2"/>
  <c r="B131" i="2"/>
  <c r="D131" i="2" s="1"/>
  <c r="I147" i="2"/>
  <c r="M24" i="2"/>
  <c r="S5" i="2"/>
  <c r="I146" i="2"/>
  <c r="N6" i="2"/>
  <c r="F146" i="2"/>
  <c r="K6" i="2"/>
  <c r="B146" i="2"/>
  <c r="N6" i="3"/>
  <c r="O6" i="3" s="1"/>
  <c r="M6" i="3"/>
  <c r="AB6" i="3" s="1"/>
  <c r="AC6" i="3" s="1"/>
  <c r="C103" i="6"/>
  <c r="D5" i="6" s="1"/>
  <c r="D104" i="6"/>
  <c r="T8" i="2"/>
  <c r="V18" i="2"/>
  <c r="X10" i="2"/>
  <c r="AC10" i="2" s="1"/>
  <c r="O29" i="2"/>
  <c r="J145" i="2"/>
  <c r="D168" i="2"/>
  <c r="O5" i="2"/>
  <c r="F147" i="2"/>
  <c r="B147" i="2"/>
  <c r="K7" i="2"/>
  <c r="AC7" i="3"/>
  <c r="W7" i="2"/>
  <c r="AB7" i="2" s="1"/>
  <c r="O17" i="2"/>
  <c r="B80" i="2"/>
  <c r="AB4" i="3"/>
  <c r="D98" i="2"/>
  <c r="W40" i="2"/>
  <c r="N112" i="2"/>
  <c r="F170" i="2"/>
  <c r="G147" i="2"/>
  <c r="L7" i="2"/>
  <c r="F196" i="2"/>
  <c r="D196" i="2"/>
  <c r="G18" i="2"/>
  <c r="U8" i="2"/>
  <c r="Z8" i="2" s="1"/>
  <c r="Q5" i="2"/>
  <c r="E24" i="2"/>
  <c r="W5" i="2"/>
  <c r="AB5" i="2" s="1"/>
  <c r="O15" i="2"/>
  <c r="V90" i="3"/>
  <c r="V92" i="3" s="1"/>
  <c r="L112" i="2"/>
  <c r="U40" i="2"/>
  <c r="B98" i="2"/>
  <c r="F40" i="2"/>
  <c r="AD40" i="2" s="1" a="1"/>
  <c r="AD40" i="2" s="1"/>
  <c r="X16" i="2"/>
  <c r="Y6" i="2"/>
  <c r="AD6" i="2" s="1"/>
  <c r="X15" i="2"/>
  <c r="Y5" i="2"/>
  <c r="AD5" i="2" s="1"/>
  <c r="B68" i="2"/>
  <c r="H107" i="2"/>
  <c r="I107" i="2" s="1"/>
  <c r="B79" i="2"/>
  <c r="AE35" i="2"/>
  <c r="B46" i="2"/>
  <c r="M112" i="2"/>
  <c r="F169" i="2"/>
  <c r="G146" i="2"/>
  <c r="L6" i="2"/>
  <c r="M19" i="2"/>
  <c r="R9" i="2"/>
  <c r="X19" i="2"/>
  <c r="Y9" i="2"/>
  <c r="AD9" i="2" s="1"/>
  <c r="F198" i="2"/>
  <c r="D198" i="2"/>
  <c r="G20" i="2"/>
  <c r="U10" i="2"/>
  <c r="Z10" i="2" s="1"/>
  <c r="O4" i="3"/>
  <c r="B48" i="2"/>
  <c r="B81" i="2"/>
  <c r="H109" i="2"/>
  <c r="I109" i="2" s="1"/>
  <c r="B70" i="2"/>
  <c r="AE37" i="2"/>
  <c r="B82" i="2"/>
  <c r="AE38" i="2"/>
  <c r="H110" i="2"/>
  <c r="I110" i="2" s="1"/>
  <c r="B71" i="2"/>
  <c r="B49" i="2"/>
  <c r="P5" i="2"/>
  <c r="E15" i="2"/>
  <c r="B47" i="2"/>
  <c r="M18" i="2"/>
  <c r="R8" i="2"/>
  <c r="K32" i="9"/>
  <c r="Q21" i="9"/>
  <c r="Q17" i="9"/>
  <c r="AD8" i="3"/>
  <c r="AD9" i="3"/>
  <c r="AI9" i="8"/>
  <c r="H9" i="8" s="1"/>
  <c r="H4" i="8"/>
  <c r="AE8" i="3"/>
  <c r="AE9" i="3"/>
  <c r="W9" i="2"/>
  <c r="AB9" i="2" s="1"/>
  <c r="O19" i="2"/>
  <c r="N5" i="3"/>
  <c r="O5" i="3" s="1"/>
  <c r="J8" i="3"/>
  <c r="K4" i="3"/>
  <c r="M26" i="2"/>
  <c r="S7" i="2"/>
  <c r="X17" i="2"/>
  <c r="Y7" i="2"/>
  <c r="AD7" i="2" s="1"/>
  <c r="P21" i="9"/>
  <c r="J32" i="9"/>
  <c r="P17" i="9"/>
  <c r="O16" i="2"/>
  <c r="W6" i="2"/>
  <c r="AB6" i="2" s="1"/>
  <c r="D99" i="2" l="1"/>
  <c r="N113" i="2"/>
  <c r="W41" i="2"/>
  <c r="D97" i="2"/>
  <c r="N111" i="2"/>
  <c r="W39" i="2"/>
  <c r="L114" i="2"/>
  <c r="U42" i="2"/>
  <c r="B100" i="2"/>
  <c r="F42" i="2"/>
  <c r="N114" i="2"/>
  <c r="D100" i="2"/>
  <c r="W42" i="2"/>
  <c r="M114" i="2"/>
  <c r="B99" i="2"/>
  <c r="U41" i="2"/>
  <c r="F41" i="2"/>
  <c r="L113" i="2"/>
  <c r="M111" i="2"/>
  <c r="R10" i="2"/>
  <c r="M20" i="2"/>
  <c r="B57" i="2"/>
  <c r="D57" i="2" s="1"/>
  <c r="V57" i="2" s="1"/>
  <c r="H98" i="2"/>
  <c r="B97" i="2"/>
  <c r="H97" i="2" s="1"/>
  <c r="F39" i="2"/>
  <c r="U39" i="2"/>
  <c r="L111" i="2"/>
  <c r="B59" i="2"/>
  <c r="B58" i="2" s="1"/>
  <c r="S6" i="2"/>
  <c r="M25" i="2"/>
  <c r="C104" i="6"/>
  <c r="D6" i="6" s="1"/>
  <c r="D105" i="6"/>
  <c r="C105" i="6" s="1"/>
  <c r="D7" i="6" s="1"/>
  <c r="AH10" i="2"/>
  <c r="AG20" i="2" s="1"/>
  <c r="AH5" i="2"/>
  <c r="AG15" i="2" s="1"/>
  <c r="AH7" i="2"/>
  <c r="AG17" i="2" s="1"/>
  <c r="AH8" i="2"/>
  <c r="AG18" i="2" s="1"/>
  <c r="AH6" i="2"/>
  <c r="AG16" i="2" s="1"/>
  <c r="AH9" i="2"/>
  <c r="AG19" i="2" s="1"/>
  <c r="N8" i="3"/>
  <c r="AB9" i="3"/>
  <c r="AB8" i="3"/>
  <c r="H70" i="2"/>
  <c r="Z70" i="2" s="1"/>
  <c r="G70" i="2"/>
  <c r="Y70" i="2" s="1"/>
  <c r="D70" i="2"/>
  <c r="C70" i="2"/>
  <c r="I70" i="2"/>
  <c r="F70" i="2"/>
  <c r="X70" i="2" s="1"/>
  <c r="E70" i="2"/>
  <c r="O7" i="2"/>
  <c r="J147" i="2"/>
  <c r="D170" i="2"/>
  <c r="H145" i="2"/>
  <c r="M5" i="2"/>
  <c r="I71" i="2"/>
  <c r="H71" i="2"/>
  <c r="Z71" i="2" s="1"/>
  <c r="E71" i="2"/>
  <c r="W71" i="2" s="1"/>
  <c r="D71" i="2"/>
  <c r="V71" i="2" s="1"/>
  <c r="C71" i="2"/>
  <c r="U71" i="2" s="1"/>
  <c r="G71" i="2"/>
  <c r="Y71" i="2" s="1"/>
  <c r="F71" i="2"/>
  <c r="X71" i="2" s="1"/>
  <c r="E81" i="2"/>
  <c r="D81" i="2"/>
  <c r="C81" i="2"/>
  <c r="I81" i="2"/>
  <c r="Y10" i="2"/>
  <c r="AD10" i="2" s="1"/>
  <c r="X20" i="2"/>
  <c r="X18" i="2"/>
  <c r="Y8" i="2"/>
  <c r="AD8" i="2" s="1"/>
  <c r="Q32" i="9"/>
  <c r="B6" i="9" s="1"/>
  <c r="V15" i="2"/>
  <c r="T5" i="2"/>
  <c r="J146" i="2"/>
  <c r="O6" i="2"/>
  <c r="D169" i="2"/>
  <c r="AA4" i="3"/>
  <c r="K8" i="3"/>
  <c r="E46" i="2"/>
  <c r="W46" i="2" s="1"/>
  <c r="I46" i="2"/>
  <c r="H46" i="2"/>
  <c r="Z46" i="2" s="1"/>
  <c r="G46" i="2"/>
  <c r="C46" i="2"/>
  <c r="U46" i="2" s="1"/>
  <c r="F46" i="2"/>
  <c r="D46" i="2"/>
  <c r="V46" i="2" s="1"/>
  <c r="P6" i="2"/>
  <c r="E16" i="2"/>
  <c r="I82" i="2"/>
  <c r="D82" i="2"/>
  <c r="V82" i="2" s="1"/>
  <c r="C82" i="2"/>
  <c r="U82" i="2" s="1"/>
  <c r="E82" i="2"/>
  <c r="W82" i="2" s="1"/>
  <c r="E79" i="2"/>
  <c r="W79" i="2" s="1"/>
  <c r="I79" i="2"/>
  <c r="D79" i="2"/>
  <c r="V79" i="2" s="1"/>
  <c r="C79" i="2"/>
  <c r="U79" i="2" s="1"/>
  <c r="O8" i="3"/>
  <c r="AE40" i="2"/>
  <c r="H112" i="2"/>
  <c r="I112" i="2" s="1"/>
  <c r="B135" i="2"/>
  <c r="E26" i="2"/>
  <c r="Q7" i="2"/>
  <c r="I49" i="2"/>
  <c r="H49" i="2"/>
  <c r="Z49" i="2" s="1"/>
  <c r="F49" i="2"/>
  <c r="E49" i="2"/>
  <c r="W49" i="2" s="1"/>
  <c r="D49" i="2"/>
  <c r="V49" i="2" s="1"/>
  <c r="C49" i="2"/>
  <c r="U49" i="2" s="1"/>
  <c r="G49" i="2"/>
  <c r="F59" i="2"/>
  <c r="X59" i="2" s="1"/>
  <c r="E59" i="2"/>
  <c r="D59" i="2"/>
  <c r="E25" i="2"/>
  <c r="Q6" i="2"/>
  <c r="I80" i="2"/>
  <c r="AI8" i="2"/>
  <c r="AH18" i="2" s="1"/>
  <c r="AI10" i="2"/>
  <c r="AH20" i="2" s="1"/>
  <c r="AI7" i="2"/>
  <c r="AH17" i="2" s="1"/>
  <c r="AI5" i="2"/>
  <c r="AH15" i="2" s="1"/>
  <c r="AI9" i="2"/>
  <c r="AH19" i="2" s="1"/>
  <c r="AI6" i="2"/>
  <c r="AH16" i="2" s="1"/>
  <c r="W10" i="2"/>
  <c r="AB10" i="2" s="1"/>
  <c r="O20" i="2"/>
  <c r="F68" i="2"/>
  <c r="X68" i="2" s="1"/>
  <c r="E68" i="2"/>
  <c r="W68" i="2" s="1"/>
  <c r="C68" i="2"/>
  <c r="U68" i="2" s="1"/>
  <c r="I68" i="2"/>
  <c r="H68" i="2"/>
  <c r="Z68" i="2" s="1"/>
  <c r="G68" i="2"/>
  <c r="Y68" i="2" s="1"/>
  <c r="D68" i="2"/>
  <c r="V68" i="2" s="1"/>
  <c r="O18" i="2"/>
  <c r="W8" i="2"/>
  <c r="AB8" i="2" s="1"/>
  <c r="G47" i="2"/>
  <c r="F47" i="2"/>
  <c r="I47" i="2"/>
  <c r="H47" i="2"/>
  <c r="Z47" i="2" s="1"/>
  <c r="I60" i="2"/>
  <c r="H60" i="2"/>
  <c r="Z60" i="2" s="1"/>
  <c r="D60" i="2"/>
  <c r="V60" i="2" s="1"/>
  <c r="F60" i="2"/>
  <c r="X60" i="2" s="1"/>
  <c r="E60" i="2"/>
  <c r="W60" i="2" s="1"/>
  <c r="C60" i="2"/>
  <c r="U60" i="2" s="1"/>
  <c r="G60" i="2"/>
  <c r="Y60" i="2" s="1"/>
  <c r="P32" i="9"/>
  <c r="H48" i="2"/>
  <c r="Z48" i="2" s="1"/>
  <c r="G48" i="2"/>
  <c r="I48" i="2"/>
  <c r="C48" i="2"/>
  <c r="F48" i="2"/>
  <c r="E48" i="2"/>
  <c r="D48" i="2"/>
  <c r="M8" i="3"/>
  <c r="P7" i="2"/>
  <c r="E17" i="2"/>
  <c r="I59" i="2" l="1"/>
  <c r="E57" i="2"/>
  <c r="W57" i="2" s="1"/>
  <c r="F57" i="2"/>
  <c r="X57" i="2" s="1"/>
  <c r="C59" i="2"/>
  <c r="C58" i="2" s="1"/>
  <c r="U58" i="2" s="1"/>
  <c r="I57" i="2"/>
  <c r="H57" i="2"/>
  <c r="Z57" i="2" s="1"/>
  <c r="H59" i="2"/>
  <c r="Z59" i="2" s="1"/>
  <c r="C57" i="2"/>
  <c r="U57" i="2" s="1"/>
  <c r="AD42" i="2" a="1"/>
  <c r="AD42" i="2" s="1"/>
  <c r="AE42" i="2"/>
  <c r="H114" i="2"/>
  <c r="I114" i="2" s="1"/>
  <c r="G57" i="2"/>
  <c r="Y57" i="2" s="1"/>
  <c r="G59" i="2"/>
  <c r="Y59" i="2" s="1"/>
  <c r="AD39" i="2" a="1"/>
  <c r="AD39" i="2" s="1"/>
  <c r="AE39" i="2"/>
  <c r="H111" i="2"/>
  <c r="I111" i="2" s="1"/>
  <c r="AD41" i="2" a="1"/>
  <c r="AD41" i="2" s="1"/>
  <c r="H113" i="2"/>
  <c r="I113" i="2" s="1"/>
  <c r="AE41" i="2"/>
  <c r="H100" i="2"/>
  <c r="H99" i="2"/>
  <c r="Y49" i="2"/>
  <c r="G82" i="2"/>
  <c r="Y82" i="2" s="1"/>
  <c r="R5" i="2"/>
  <c r="M15" i="2"/>
  <c r="U70" i="2"/>
  <c r="C69" i="2"/>
  <c r="U69" i="2" s="1"/>
  <c r="G58" i="2"/>
  <c r="Y58" i="2" s="1"/>
  <c r="F58" i="2"/>
  <c r="X58" i="2" s="1"/>
  <c r="I58" i="2"/>
  <c r="H58" i="2"/>
  <c r="Z58" i="2" s="1"/>
  <c r="G80" i="2"/>
  <c r="Y80" i="2" s="1"/>
  <c r="Y47" i="2"/>
  <c r="AA8" i="3"/>
  <c r="AA9" i="3"/>
  <c r="AC4" i="3"/>
  <c r="V70" i="2"/>
  <c r="D69" i="2"/>
  <c r="V69" i="2" s="1"/>
  <c r="V48" i="2"/>
  <c r="D47" i="2"/>
  <c r="V47" i="2" s="1"/>
  <c r="E80" i="2"/>
  <c r="W80" i="2" s="1"/>
  <c r="W81" i="2"/>
  <c r="F81" i="2"/>
  <c r="X81" i="2" s="1"/>
  <c r="X48" i="2"/>
  <c r="E58" i="2"/>
  <c r="W58" i="2" s="1"/>
  <c r="W59" i="2"/>
  <c r="H146" i="2"/>
  <c r="M6" i="2"/>
  <c r="M7" i="2"/>
  <c r="H147" i="2"/>
  <c r="X49" i="2"/>
  <c r="F82" i="2"/>
  <c r="X82" i="2" s="1"/>
  <c r="T6" i="2"/>
  <c r="V16" i="2"/>
  <c r="G81" i="2"/>
  <c r="Y81" i="2" s="1"/>
  <c r="Y48" i="2"/>
  <c r="Y46" i="2"/>
  <c r="G79" i="2"/>
  <c r="Y79" i="2" s="1"/>
  <c r="V17" i="2"/>
  <c r="T7" i="2"/>
  <c r="AF9" i="2"/>
  <c r="AF19" i="2" s="1"/>
  <c r="AF8" i="2"/>
  <c r="AF18" i="2" s="1"/>
  <c r="AF5" i="2"/>
  <c r="AF15" i="2" s="1"/>
  <c r="AF7" i="2"/>
  <c r="AF17" i="2" s="1"/>
  <c r="AF6" i="2"/>
  <c r="AF16" i="2" s="1"/>
  <c r="AF10" i="2"/>
  <c r="AF20" i="2" s="1"/>
  <c r="D80" i="2"/>
  <c r="V80" i="2" s="1"/>
  <c r="V81" i="2"/>
  <c r="W48" i="2"/>
  <c r="E47" i="2"/>
  <c r="W47" i="2" s="1"/>
  <c r="F80" i="2"/>
  <c r="X80" i="2" s="1"/>
  <c r="X47" i="2"/>
  <c r="B138" i="2"/>
  <c r="C135" i="2"/>
  <c r="C136" i="2" s="1"/>
  <c r="B136" i="2"/>
  <c r="V59" i="2"/>
  <c r="D58" i="2"/>
  <c r="V58" i="2" s="1"/>
  <c r="U48" i="2"/>
  <c r="C47" i="2"/>
  <c r="U47" i="2" s="1"/>
  <c r="F79" i="2"/>
  <c r="X79" i="2" s="1"/>
  <c r="X46" i="2"/>
  <c r="U81" i="2"/>
  <c r="C80" i="2"/>
  <c r="E69" i="2"/>
  <c r="W69" i="2" s="1"/>
  <c r="W70" i="2"/>
  <c r="U59" i="2" l="1"/>
  <c r="H82" i="2"/>
  <c r="Z82" i="2" s="1"/>
  <c r="R7" i="2"/>
  <c r="M17" i="2"/>
  <c r="M16" i="2"/>
  <c r="R6" i="2"/>
  <c r="H79" i="2"/>
  <c r="Z79" i="2" s="1"/>
  <c r="U80" i="2"/>
  <c r="H80" i="2"/>
  <c r="Z80" i="2" s="1"/>
  <c r="AE7" i="2"/>
  <c r="AE10" i="2"/>
  <c r="AE5" i="2"/>
  <c r="AE8" i="2"/>
  <c r="AE9" i="2"/>
  <c r="AE6" i="2"/>
  <c r="B137" i="2"/>
  <c r="B139" i="2" s="1"/>
  <c r="B50" i="2"/>
  <c r="B51" i="2"/>
  <c r="B52" i="2"/>
  <c r="B53" i="2"/>
  <c r="C137" i="2"/>
  <c r="AC8" i="3"/>
  <c r="AC9" i="3"/>
  <c r="H81" i="2"/>
  <c r="Z81" i="2" s="1"/>
  <c r="AE19" i="2" l="1"/>
  <c r="AG9" i="2"/>
  <c r="AG8" i="2"/>
  <c r="AE18" i="2"/>
  <c r="E53" i="2"/>
  <c r="W53" i="2" s="1"/>
  <c r="D53" i="2"/>
  <c r="V53" i="2" s="1"/>
  <c r="I53" i="2"/>
  <c r="H53" i="2"/>
  <c r="Z53" i="2" s="1"/>
  <c r="G53" i="2"/>
  <c r="Y53" i="2" s="1"/>
  <c r="F53" i="2"/>
  <c r="X53" i="2" s="1"/>
  <c r="C53" i="2"/>
  <c r="U53" i="2" s="1"/>
  <c r="AG10" i="2"/>
  <c r="AE20" i="2"/>
  <c r="I50" i="2"/>
  <c r="H50" i="2"/>
  <c r="Z50" i="2" s="1"/>
  <c r="G50" i="2"/>
  <c r="Y50" i="2" s="1"/>
  <c r="F50" i="2"/>
  <c r="X50" i="2" s="1"/>
  <c r="E50" i="2"/>
  <c r="W50" i="2" s="1"/>
  <c r="D50" i="2"/>
  <c r="V50" i="2" s="1"/>
  <c r="C50" i="2"/>
  <c r="U50" i="2" s="1"/>
  <c r="AE16" i="2"/>
  <c r="AG6" i="2"/>
  <c r="B61" i="2"/>
  <c r="B62" i="2"/>
  <c r="B64" i="2"/>
  <c r="B63" i="2"/>
  <c r="C138" i="2"/>
  <c r="AG5" i="2"/>
  <c r="AE15" i="2"/>
  <c r="D52" i="2"/>
  <c r="V52" i="2" s="1"/>
  <c r="C52" i="2"/>
  <c r="U52" i="2" s="1"/>
  <c r="I52" i="2"/>
  <c r="E52" i="2"/>
  <c r="W52" i="2" s="1"/>
  <c r="G52" i="2"/>
  <c r="Y52" i="2" s="1"/>
  <c r="H52" i="2"/>
  <c r="Z52" i="2" s="1"/>
  <c r="F52" i="2"/>
  <c r="X52" i="2" s="1"/>
  <c r="C51" i="2"/>
  <c r="U51" i="2" s="1"/>
  <c r="G51" i="2"/>
  <c r="Y51" i="2" s="1"/>
  <c r="F51" i="2"/>
  <c r="X51" i="2" s="1"/>
  <c r="E51" i="2"/>
  <c r="W51" i="2" s="1"/>
  <c r="D51" i="2"/>
  <c r="V51" i="2" s="1"/>
  <c r="I51" i="2"/>
  <c r="H51" i="2"/>
  <c r="Z51" i="2" s="1"/>
  <c r="AE17" i="2"/>
  <c r="AG7" i="2"/>
  <c r="I61" i="2" l="1"/>
  <c r="H61" i="2"/>
  <c r="Z61" i="2" s="1"/>
  <c r="C61" i="2"/>
  <c r="U61" i="2" s="1"/>
  <c r="G61" i="2"/>
  <c r="Y61" i="2" s="1"/>
  <c r="F61" i="2"/>
  <c r="X61" i="2" s="1"/>
  <c r="E61" i="2"/>
  <c r="W61" i="2" s="1"/>
  <c r="D61" i="2"/>
  <c r="V61" i="2" s="1"/>
  <c r="C62" i="2"/>
  <c r="U62" i="2" s="1"/>
  <c r="E62" i="2"/>
  <c r="W62" i="2" s="1"/>
  <c r="I62" i="2"/>
  <c r="H62" i="2"/>
  <c r="Z62" i="2" s="1"/>
  <c r="G62" i="2"/>
  <c r="Y62" i="2" s="1"/>
  <c r="F62" i="2"/>
  <c r="X62" i="2" s="1"/>
  <c r="D62" i="2"/>
  <c r="V62" i="2" s="1"/>
  <c r="B72" i="2"/>
  <c r="B73" i="2"/>
  <c r="B75" i="2"/>
  <c r="B74" i="2"/>
  <c r="C139" i="2"/>
  <c r="D63" i="2"/>
  <c r="V63" i="2" s="1"/>
  <c r="C63" i="2"/>
  <c r="U63" i="2" s="1"/>
  <c r="H63" i="2"/>
  <c r="Z63" i="2" s="1"/>
  <c r="G63" i="2"/>
  <c r="Y63" i="2" s="1"/>
  <c r="F63" i="2"/>
  <c r="X63" i="2" s="1"/>
  <c r="E63" i="2"/>
  <c r="W63" i="2" s="1"/>
  <c r="I63" i="2"/>
  <c r="E64" i="2"/>
  <c r="W64" i="2" s="1"/>
  <c r="D64" i="2"/>
  <c r="V64" i="2" s="1"/>
  <c r="G64" i="2"/>
  <c r="Y64" i="2" s="1"/>
  <c r="F64" i="2"/>
  <c r="X64" i="2" s="1"/>
  <c r="C64" i="2"/>
  <c r="U64" i="2" s="1"/>
  <c r="I64" i="2"/>
  <c r="H64" i="2"/>
  <c r="Z64" i="2" s="1"/>
  <c r="C73" i="2" l="1"/>
  <c r="U73" i="2" s="1"/>
  <c r="I73" i="2"/>
  <c r="E73" i="2"/>
  <c r="W73" i="2" s="1"/>
  <c r="H73" i="2"/>
  <c r="Z73" i="2" s="1"/>
  <c r="G73" i="2"/>
  <c r="Y73" i="2" s="1"/>
  <c r="F73" i="2"/>
  <c r="X73" i="2" s="1"/>
  <c r="D73" i="2"/>
  <c r="V73" i="2" s="1"/>
  <c r="I72" i="2"/>
  <c r="D72" i="2"/>
  <c r="V72" i="2" s="1"/>
  <c r="G72" i="2"/>
  <c r="Y72" i="2" s="1"/>
  <c r="H72" i="2"/>
  <c r="Z72" i="2" s="1"/>
  <c r="F72" i="2"/>
  <c r="X72" i="2" s="1"/>
  <c r="E72" i="2"/>
  <c r="W72" i="2" s="1"/>
  <c r="C72" i="2"/>
  <c r="U72" i="2" s="1"/>
  <c r="B83" i="2"/>
  <c r="B84" i="2"/>
  <c r="B85" i="2"/>
  <c r="B86" i="2"/>
  <c r="D74" i="2"/>
  <c r="V74" i="2" s="1"/>
  <c r="C74" i="2"/>
  <c r="U74" i="2" s="1"/>
  <c r="F74" i="2"/>
  <c r="X74" i="2" s="1"/>
  <c r="H74" i="2"/>
  <c r="Z74" i="2" s="1"/>
  <c r="G74" i="2"/>
  <c r="Y74" i="2" s="1"/>
  <c r="E74" i="2"/>
  <c r="W74" i="2" s="1"/>
  <c r="I74" i="2"/>
  <c r="E75" i="2"/>
  <c r="W75" i="2" s="1"/>
  <c r="D75" i="2"/>
  <c r="V75" i="2" s="1"/>
  <c r="C75" i="2"/>
  <c r="U75" i="2" s="1"/>
  <c r="I75" i="2"/>
  <c r="H75" i="2"/>
  <c r="Z75" i="2" s="1"/>
  <c r="F75" i="2"/>
  <c r="X75" i="2" s="1"/>
  <c r="G75" i="2"/>
  <c r="Y75" i="2" s="1"/>
  <c r="C84" i="2" l="1"/>
  <c r="U84" i="2" s="1"/>
  <c r="E84" i="2"/>
  <c r="W84" i="2" s="1"/>
  <c r="D84" i="2"/>
  <c r="V84" i="2" s="1"/>
  <c r="G84" i="2"/>
  <c r="Y84" i="2" s="1"/>
  <c r="I84" i="2"/>
  <c r="H84" i="2"/>
  <c r="Z84" i="2" s="1"/>
  <c r="F84" i="2"/>
  <c r="X84" i="2" s="1"/>
  <c r="I83" i="2"/>
  <c r="H83" i="2"/>
  <c r="Z83" i="2" s="1"/>
  <c r="G83" i="2"/>
  <c r="Y83" i="2" s="1"/>
  <c r="F83" i="2"/>
  <c r="X83" i="2" s="1"/>
  <c r="E83" i="2"/>
  <c r="W83" i="2" s="1"/>
  <c r="D83" i="2"/>
  <c r="V83" i="2" s="1"/>
  <c r="C83" i="2"/>
  <c r="U83" i="2" s="1"/>
  <c r="E86" i="2"/>
  <c r="W86" i="2" s="1"/>
  <c r="D86" i="2"/>
  <c r="V86" i="2" s="1"/>
  <c r="G86" i="2"/>
  <c r="Y86" i="2" s="1"/>
  <c r="F86" i="2"/>
  <c r="X86" i="2" s="1"/>
  <c r="C86" i="2"/>
  <c r="U86" i="2" s="1"/>
  <c r="I86" i="2"/>
  <c r="H86" i="2"/>
  <c r="Z86" i="2" s="1"/>
  <c r="D85" i="2"/>
  <c r="V85" i="2" s="1"/>
  <c r="C85" i="2"/>
  <c r="U85" i="2" s="1"/>
  <c r="I85" i="2"/>
  <c r="F85" i="2"/>
  <c r="X85" i="2" s="1"/>
  <c r="H85" i="2"/>
  <c r="Z85" i="2" s="1"/>
  <c r="G85" i="2"/>
  <c r="Y85" i="2" s="1"/>
  <c r="E85" i="2"/>
  <c r="W8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<sst xmlns="http://schemas.openxmlformats.org/spreadsheetml/2006/main" count="3799" uniqueCount="1242">
  <si>
    <t>Sheet name</t>
  </si>
  <si>
    <t>Description</t>
  </si>
  <si>
    <t>Cooling technologies</t>
  </si>
  <si>
    <t>An overview of the cooling technologies examined in the research quantitative section of the research, along with a summary of their characteristics and the market penetration mixes used in the analysis.</t>
  </si>
  <si>
    <t>LCA results of ventilation systems</t>
  </si>
  <si>
    <t>Overview of the ecoinvent processes used as proxy for the life-cycle impacts of cooling equipment, as well as weight calculation of cooling systems and contribution tables derived from the LCA-based assessment.</t>
  </si>
  <si>
    <t>Material scarcity</t>
  </si>
  <si>
    <t>Deep dive into the critical raw material content in the material footprint of the ecoinvent processes used as proxy for cooling equipment.</t>
  </si>
  <si>
    <t>Heat plans per neighbourhood</t>
  </si>
  <si>
    <t>Projected future heating solutions for each neighbourhood in The Hague.</t>
  </si>
  <si>
    <t>Building stock</t>
  </si>
  <si>
    <t>Trend analysis of projected residential and office building stock growth in The Hague.</t>
  </si>
  <si>
    <t>AC market</t>
  </si>
  <si>
    <t>Market analysis of air conditioner sales in The Netherlands (2002-2022).</t>
  </si>
  <si>
    <t>Climate change</t>
  </si>
  <si>
    <t>Calculation of climate-related parameters based on KNMI climate scenarios.</t>
  </si>
  <si>
    <t>Electricity mix analysis</t>
  </si>
  <si>
    <t>Analysis of projections of the future Dutch electricity grid and calculation of life-cycle carbon intensities of the grid.</t>
  </si>
  <si>
    <t>COOLING TECHNOLOGIES - OVERVIEW OF PARAMETERS</t>
  </si>
  <si>
    <t>MAIN COOLING TECHNOLOGY DATA</t>
  </si>
  <si>
    <t>Proxy product data</t>
  </si>
  <si>
    <t>Proxy product data relative to installed capacity</t>
  </si>
  <si>
    <t>Seasonal energy efficiency ratios (SEERs) - Cooling energy delivered per electrical energy used</t>
  </si>
  <si>
    <t>Inverse seasonal energy efficiency ratios  - Electrical energy used per cooling energy delivered</t>
  </si>
  <si>
    <t>Effective annual refrigerant leakage rates - relative to installed power capacity (kg/(kW*yr))</t>
  </si>
  <si>
    <t>Effective annual GHG emissions from refrigerant leaks - relative to installed power capacity (kg CO2eq/(kW*yr))</t>
  </si>
  <si>
    <t>Carbon footprint of production and EoL phases -  relative to installed power capacity (kg CO2eq/(kW*yr))</t>
  </si>
  <si>
    <t>Material impacts (kg Sb/Si-iq/(kW*yr))</t>
  </si>
  <si>
    <t>Cooling equipment type</t>
  </si>
  <si>
    <t>Proxy product</t>
  </si>
  <si>
    <t>Power capacity (kW)</t>
  </si>
  <si>
    <t>Mass per unit (kg)</t>
  </si>
  <si>
    <t>Average lifetime (yr)</t>
  </si>
  <si>
    <t>Installed refrigerant charge per unit (kg)</t>
  </si>
  <si>
    <t>*Price per unit(€)</t>
  </si>
  <si>
    <t>Material density (kg/kW)</t>
  </si>
  <si>
    <t>Refrigerant charge density (kg/kW)</t>
  </si>
  <si>
    <t>Relative price (€/kW)</t>
  </si>
  <si>
    <t>SEER SQ</t>
  </si>
  <si>
    <t>SEER 2030</t>
  </si>
  <si>
    <t>SEER 2050 - L</t>
  </si>
  <si>
    <t>SEER 2050 - M</t>
  </si>
  <si>
    <t>SEER 2050 - H</t>
  </si>
  <si>
    <t>SQ</t>
  </si>
  <si>
    <t>2050 - L</t>
  </si>
  <si>
    <t>2050 - M</t>
  </si>
  <si>
    <t>2050 - H</t>
  </si>
  <si>
    <t>Production phase carbon impacts (kg CO2eq/(kW*yr))</t>
  </si>
  <si>
    <t>End-of-life phase carbon impacts (kg CO2eq/(kW*yr))</t>
  </si>
  <si>
    <t>Production+EoL carbon impacts (kg CO2eq/(kW*yr))</t>
  </si>
  <si>
    <t>Relative resource depletion scarcity (kg Sb-eq/kW)</t>
  </si>
  <si>
    <t>Relative resource scarcity (kg Si-eq/kW)</t>
  </si>
  <si>
    <t>Air-Source Heat pump (ASHP)</t>
  </si>
  <si>
    <t>Daikin Altherma 3 R F lucht-waterpomp</t>
  </si>
  <si>
    <t>Ground-source heat pump (GSHP)</t>
  </si>
  <si>
    <t>Kensa Shoebox ground source heat pump</t>
  </si>
  <si>
    <t>Water-Source Heat pump (WSHP)</t>
  </si>
  <si>
    <t>W/W Warmtepomp 5G - 6,5 kW individuele bron</t>
  </si>
  <si>
    <t>Chiller</t>
  </si>
  <si>
    <t>AQVL Air Cooled Chiller</t>
  </si>
  <si>
    <t>Split AC</t>
  </si>
  <si>
    <t>Panasonic split airco  3.5kW</t>
  </si>
  <si>
    <t>Mobile AC</t>
  </si>
  <si>
    <t>JUST COOLING MOBIELE SMART AIRCO 9000 BTU</t>
  </si>
  <si>
    <t>FOR CDM INPUT - SQ</t>
  </si>
  <si>
    <t>FOR CDM INPUT - 2050 L</t>
  </si>
  <si>
    <t>FOR CDM INPUT - 2050 H</t>
  </si>
  <si>
    <t>TABLE FOR PRINTING</t>
  </si>
  <si>
    <t>cooling_technology_int</t>
  </si>
  <si>
    <t>cooling_technology</t>
  </si>
  <si>
    <t>material_density_kg_kW</t>
  </si>
  <si>
    <t>average_lifetime_yr</t>
  </si>
  <si>
    <t>SEER</t>
  </si>
  <si>
    <t>refrigerant_density_kg_kW</t>
  </si>
  <si>
    <t>refrigerant_leakage_rate_relative</t>
  </si>
  <si>
    <t>Cooling power capacity (kW)</t>
  </si>
  <si>
    <t>Relative resource depletion scarcity (kg Sb-eq/(kW*yr))</t>
  </si>
  <si>
    <t>Relative resource scarcity (kg Si-eq/(kW*yr))</t>
  </si>
  <si>
    <t>ASHP</t>
  </si>
  <si>
    <t>GSHP</t>
  </si>
  <si>
    <t>WSHP</t>
  </si>
  <si>
    <t>chiller</t>
  </si>
  <si>
    <t>AC_split</t>
  </si>
  <si>
    <t>AC_mobile</t>
  </si>
  <si>
    <t>FOR CDM INPUT - 2030</t>
  </si>
  <si>
    <t>FOR CDM INPUT - 2050 M</t>
  </si>
  <si>
    <t>COOLING TECHNOLOGY MIX AND MARKET PENETRATION ANALYSIS</t>
  </si>
  <si>
    <t>CDM INPUT TABLES: BUILDING TYPE - COOLING TECHNOLOGY MATRIX</t>
  </si>
  <si>
    <t>COOLING TECHNOLOGY MIX PER BUILDING TYPE - SQ</t>
  </si>
  <si>
    <t>WEIGHTED AVERAGE PARAMETERS OF COOLING TECHNOLOGIES</t>
  </si>
  <si>
    <t>Building type</t>
  </si>
  <si>
    <t>Function</t>
  </si>
  <si>
    <t>Height</t>
  </si>
  <si>
    <t>Construction year</t>
  </si>
  <si>
    <t>Floor area in Status Quo scenario (km2)</t>
  </si>
  <si>
    <t xml:space="preserve">Penetration degree - All active cooling equipment </t>
  </si>
  <si>
    <t>Penetration degree - ASHP</t>
  </si>
  <si>
    <t>Penetration degree - GSHP</t>
  </si>
  <si>
    <t>Penetration degree - WSHP</t>
  </si>
  <si>
    <t>Penetration degree - Chiller</t>
  </si>
  <si>
    <t>Penetration degree - Large split AC</t>
  </si>
  <si>
    <t>Penetration degree - Portable AC</t>
  </si>
  <si>
    <t>Justification</t>
  </si>
  <si>
    <t>Source</t>
  </si>
  <si>
    <t>building_type</t>
  </si>
  <si>
    <t>Weighted average lifetime of cooling technology (yr)</t>
  </si>
  <si>
    <t>Total MPR of cooling technologies (%)</t>
  </si>
  <si>
    <t>Floor space in SQ (ha)</t>
  </si>
  <si>
    <t>Residential</t>
  </si>
  <si>
    <t>≥ 17.5 m</t>
  </si>
  <si>
    <t>≥ 2003</t>
  </si>
  <si>
    <t>Penetration rate of cooling equipment in Dutch apartments. For newer highrises, this is assumed to be fully filled by chillers, and to some degree by heat pumps.</t>
  </si>
  <si>
    <t>(Rovers et al. 2021)</t>
  </si>
  <si>
    <t>&lt;2003</t>
  </si>
  <si>
    <t>Penetration rate of cooling equipment in Dutch apartments. For older highrises, this is assumed to be fully filled by small ACs</t>
  </si>
  <si>
    <t>&lt; 17.5 m</t>
  </si>
  <si>
    <t>Penetration rate of cooling equipment in Dutch row houses.</t>
  </si>
  <si>
    <t>Office</t>
  </si>
  <si>
    <t>Weighted average</t>
  </si>
  <si>
    <t>COOLING TECHNOLOGY MIX PER BUILDING TYPE - 2030</t>
  </si>
  <si>
    <t>Total market penetration degree</t>
  </si>
  <si>
    <t>No active cooling equipment</t>
  </si>
  <si>
    <t>Additional assumption</t>
  </si>
  <si>
    <t xml:space="preserve">The same MPR of heat pumps is assumed as for building types 3 and 4. </t>
  </si>
  <si>
    <t>COOLING TECHNOLOGY MIX PER BUILDING TYPE -  2050 L</t>
  </si>
  <si>
    <t>2050 L</t>
  </si>
  <si>
    <t>COOLING TECHNOLOGY MIX PER BUILDING TYPE - 2050 M</t>
  </si>
  <si>
    <t>2050 M</t>
  </si>
  <si>
    <t>COOLING TECHNOLOGY MIX PER BUILDING TYPE - 2050 H</t>
  </si>
  <si>
    <t>2050 H</t>
  </si>
  <si>
    <t>STATUS QUO - TOTAL MARKET PENETRATION RATE RESEARCH</t>
  </si>
  <si>
    <t>COOLING TECHNOLOGY MIX PER BUILDING TYPE - SQ - TABLE FOR PRINTING</t>
  </si>
  <si>
    <t>CORRELATION WITH INCOME</t>
  </si>
  <si>
    <t>Household income</t>
  </si>
  <si>
    <t>Cooling equipment penetration rate</t>
  </si>
  <si>
    <t>&lt;€15.000</t>
  </si>
  <si>
    <t>€15.000 - €30.000</t>
  </si>
  <si>
    <t>€30.000 - €60.000</t>
  </si>
  <si>
    <t>&gt;€60.000</t>
  </si>
  <si>
    <t>STATUS QUO - COOLING TECHNOLOGY MIX RESEARCH</t>
  </si>
  <si>
    <t>HEAT PUMP PRESENCE: RESIDENTIAL VS. UTILITY BUILDINGS</t>
  </si>
  <si>
    <t>(Source: CBS)</t>
  </si>
  <si>
    <t>STATUS QUO - SHARE OF HEAT PUMPS VS. COOLING-ONLY EQUIPMENT WITHIN THE TECHNOLOGY MIX</t>
  </si>
  <si>
    <t>STATUS QUO - BREAKDOWN OF HEAT PUMP TYPES WITHIN ASSUMED TOTAL HEAT PUMP PREVALENCE</t>
  </si>
  <si>
    <t xml:space="preserve">STATUS QUO - BREAKDOWN OF EQUIPMENT TYPES WITHIN ASSUMED COOLING-ONLY EQUIPMENT PREVALENCE </t>
  </si>
  <si>
    <r>
      <rPr>
        <b/>
        <u/>
        <sz val="10"/>
        <color rgb="FFFFFFFF"/>
        <rFont val="Arial"/>
        <family val="2"/>
      </rPr>
      <t>Building stock 20</t>
    </r>
    <r>
      <rPr>
        <b/>
        <sz val="10"/>
        <color rgb="FFFFFFFF"/>
        <rFont val="Arial"/>
        <family val="2"/>
      </rPr>
      <t>19</t>
    </r>
  </si>
  <si>
    <t>Amount of installed heat pumps</t>
  </si>
  <si>
    <t>Penetration rate of heat pumps</t>
  </si>
  <si>
    <t>Heat pumps</t>
  </si>
  <si>
    <t>Other cooling equipment</t>
  </si>
  <si>
    <t>Large split AC</t>
  </si>
  <si>
    <t>Residential building</t>
  </si>
  <si>
    <t>Utility buildings</t>
  </si>
  <si>
    <t>-%</t>
  </si>
  <si>
    <t>Ratio: Utility vs Residential</t>
  </si>
  <si>
    <t>HEAT PUMP TYPES: RESIDENTIAL VS. UTILITY BUILDINGS</t>
  </si>
  <si>
    <t>Installed capacity (MW)</t>
  </si>
  <si>
    <t>Ratio to GSHP</t>
  </si>
  <si>
    <t>Weighted average: offices</t>
  </si>
  <si>
    <t>Utility</t>
  </si>
  <si>
    <t>FUTURE SCENARIOS - TOTAL MARKET PENETRATION RATE RESEARCH</t>
  </si>
  <si>
    <t>FUTURE SCENARIOS - COOLING TECHNOLOGY MIX RESEARCH</t>
  </si>
  <si>
    <r>
      <rPr>
        <sz val="10"/>
        <color theme="1"/>
        <rFont val="Arial"/>
        <family val="2"/>
      </rPr>
      <t xml:space="preserve">PROJECTIONS FOR THE TOTAL MARKET PENETRATION OF ACTIVE COOLING EQUIPMENT - </t>
    </r>
    <r>
      <rPr>
        <b/>
        <sz val="10"/>
        <color theme="1"/>
        <rFont val="Arial"/>
        <family val="2"/>
      </rPr>
      <t>RESIDENTIAL BUILDINGS</t>
    </r>
    <r>
      <rPr>
        <sz val="10"/>
        <color theme="1"/>
        <rFont val="Arial"/>
        <family val="2"/>
      </rPr>
      <t xml:space="preserve"> - BASED ON SEVERAL SOURCES</t>
    </r>
  </si>
  <si>
    <t>RESIDENTIAL BUILDINGS MPR - HEAT PUMP VS. COOLING-ONLY EQUIPMENT</t>
  </si>
  <si>
    <t>(Source: IEA 2018)</t>
  </si>
  <si>
    <t>(Source: Rovers et al. 2021)</t>
  </si>
  <si>
    <t>Scenario</t>
  </si>
  <si>
    <r>
      <rPr>
        <b/>
        <sz val="10"/>
        <color rgb="FFFFFFFF"/>
        <rFont val="Arial"/>
        <family val="2"/>
      </rPr>
      <t xml:space="preserve">MPR - based on </t>
    </r>
    <r>
      <rPr>
        <b/>
        <u/>
        <sz val="10"/>
        <color rgb="FFFFFFFF"/>
        <rFont val="Arial"/>
        <family val="2"/>
      </rPr>
      <t>(IEA 2018)</t>
    </r>
  </si>
  <si>
    <r>
      <rPr>
        <b/>
        <sz val="10"/>
        <color rgb="FFFFFFFF"/>
        <rFont val="Arial"/>
        <family val="2"/>
      </rPr>
      <t xml:space="preserve">MPR - based on </t>
    </r>
    <r>
      <rPr>
        <b/>
        <u/>
        <sz val="10"/>
        <color rgb="FFFFFFFF"/>
        <rFont val="Arial"/>
        <family val="2"/>
      </rPr>
      <t>(Rovers et al. 2021)</t>
    </r>
  </si>
  <si>
    <r>
      <rPr>
        <b/>
        <sz val="10"/>
        <color rgb="FFFFFFFF"/>
        <rFont val="Arial"/>
        <family val="2"/>
      </rPr>
      <t xml:space="preserve">MPR growth - based on </t>
    </r>
    <r>
      <rPr>
        <b/>
        <u/>
        <sz val="10"/>
        <color rgb="FFFFFFFF"/>
        <rFont val="Arial"/>
        <family val="2"/>
      </rPr>
      <t>(IEA 2018)</t>
    </r>
  </si>
  <si>
    <r>
      <rPr>
        <b/>
        <sz val="10"/>
        <color rgb="FFFFFFFF"/>
        <rFont val="Arial"/>
        <family val="2"/>
      </rPr>
      <t xml:space="preserve">MPR growth - based on </t>
    </r>
    <r>
      <rPr>
        <b/>
        <u/>
        <sz val="10"/>
        <color rgb="FFFFFFFF"/>
        <rFont val="Arial"/>
        <family val="2"/>
      </rPr>
      <t>(Rovers et al. 2021)</t>
    </r>
  </si>
  <si>
    <t>Cooling-only equipment</t>
  </si>
  <si>
    <t>-</t>
  </si>
  <si>
    <r>
      <rPr>
        <sz val="10"/>
        <color theme="1"/>
        <rFont val="Arial"/>
        <family val="2"/>
      </rPr>
      <t xml:space="preserve">PROJECTIONS FOR THE TOTAL MARKET PENETRATION OF ACTIVE COOLING EQUIPMENT - </t>
    </r>
    <r>
      <rPr>
        <b/>
        <sz val="10"/>
        <color theme="1"/>
        <rFont val="Arial"/>
        <family val="2"/>
      </rPr>
      <t>OFFICE BUILDINGS</t>
    </r>
    <r>
      <rPr>
        <sz val="10"/>
        <color theme="1"/>
        <rFont val="Arial"/>
        <family val="2"/>
      </rPr>
      <t xml:space="preserve"> - BASED ON SEVERAL SOURCES</t>
    </r>
  </si>
  <si>
    <t>OFFICE BUILDINGS MPR - HEAT PUMP VS. COOLING-ONLY EQUIPMENT</t>
  </si>
  <si>
    <r>
      <rPr>
        <b/>
        <sz val="10"/>
        <color rgb="FFFFFFFF"/>
        <rFont val="Arial"/>
        <family val="2"/>
      </rPr>
      <t xml:space="preserve">MPR - based on </t>
    </r>
    <r>
      <rPr>
        <b/>
        <u/>
        <sz val="10"/>
        <color rgb="FFFFFFFF"/>
        <rFont val="Arial"/>
        <family val="2"/>
      </rPr>
      <t>(IEA 2018)</t>
    </r>
  </si>
  <si>
    <t>MPR - based on (Rovers et al. 2021)  - assumed the same MPR growth rates as for residential buildings</t>
  </si>
  <si>
    <t>Heat pump prevalence is assumed to be same as for residential buildings</t>
  </si>
  <si>
    <t>ENERGY EFFICIENCY ANALYSIS</t>
  </si>
  <si>
    <t>ENERGY EFFICIENCIES (SEERS) PER COOLING TECHNOLOGY</t>
  </si>
  <si>
    <t>PROJECTED ENERGY EFFICIENCIES (SEERS) PER COOLING TECHNOLOGY</t>
  </si>
  <si>
    <t>SEER 2020</t>
  </si>
  <si>
    <t>Assumptions in translation from source data</t>
  </si>
  <si>
    <t xml:space="preserve">Assume air-to-air heat pumps (ASHP)  to have similar SEERs as large AC systems, as they are functionally the same. </t>
  </si>
  <si>
    <t>Cooling performance (SEER) of GSHP compared to ASHP: 23% more efficient source, or 37% more efficient source. Averages out to be 30% more efficient.</t>
  </si>
  <si>
    <t>assuming the energy efficiency ratio between WSHP and ASHPs to be the same as the ratio between  ratio between W/W chillers and A/W chillers, which is 5.5:3.5, i.e. W/W chillers are 57% more efficient than A/W chillers, on average source.</t>
  </si>
  <si>
    <t xml:space="preserve">Weighted average (weighing according to the reported installed capacity in EU28) of all Chiller types in source data </t>
  </si>
  <si>
    <t xml:space="preserve">Weighted average (weighing according to the reported installed capacity in EU28) of all split AC types in source data </t>
  </si>
  <si>
    <t>Assumed values of 'Movables + Window Units' in source data</t>
  </si>
  <si>
    <t>PROJECTIONS OF ENERGY EFFICIENCIES AND INSTALLED CAPACITY OF COOLING EQUIPMENT</t>
  </si>
  <si>
    <r>
      <t xml:space="preserve">Based on </t>
    </r>
    <r>
      <rPr>
        <u/>
        <sz val="10"/>
        <color rgb="FF1155CC"/>
        <rFont val="Arial"/>
        <family val="2"/>
      </rPr>
      <t>(Dittman et. al, 2017)</t>
    </r>
  </si>
  <si>
    <t>Installed capacity service sector (GW)</t>
  </si>
  <si>
    <t>Growth in service sector</t>
  </si>
  <si>
    <t>Installed capacity residential sector (GW)</t>
  </si>
  <si>
    <t>Growth in residential sector</t>
  </si>
  <si>
    <t>Total installed capacity (GW)</t>
  </si>
  <si>
    <t>Combined growth in service and residential sectors</t>
  </si>
  <si>
    <t>Average capacity (kW)</t>
  </si>
  <si>
    <t>Lifetime (yr)</t>
  </si>
  <si>
    <t>Selling price (eu/kW - 2020)</t>
  </si>
  <si>
    <t>Selling price (eu/unit - 2020)</t>
  </si>
  <si>
    <t>Movables + Window Units</t>
  </si>
  <si>
    <t>Small Split (&lt;5 kW)</t>
  </si>
  <si>
    <t>Big Split (&gt;5 kW, incl. ducted)</t>
  </si>
  <si>
    <t>VRF</t>
  </si>
  <si>
    <t>Rooftop + Packaged</t>
  </si>
  <si>
    <t>Chillers (A/W) &lt; 400 kW</t>
  </si>
  <si>
    <t>Chillers (A/W) &gt; 400 kW</t>
  </si>
  <si>
    <t>Chillers (W/W) &lt; 400 kW</t>
  </si>
  <si>
    <t>Chillers (W/W) &gt; 400 kW</t>
  </si>
  <si>
    <t>TECH TYPES IN MODEL</t>
  </si>
  <si>
    <t>Capacity growth EU28 - residential - 2030</t>
  </si>
  <si>
    <t>Capacity growth EU28 - residential - 2050</t>
  </si>
  <si>
    <t>Capacity growth EU28 - office - 2030</t>
  </si>
  <si>
    <t>Capacity growth EU28 - office - 2050</t>
  </si>
  <si>
    <t>REFRIGERANT LEAKS</t>
  </si>
  <si>
    <t>REFRIGERANT LEAKAGE RATES</t>
  </si>
  <si>
    <t>(IPCC Good practice guidelines)</t>
  </si>
  <si>
    <t>Application</t>
  </si>
  <si>
    <t>Charge (kg)
min.                     max.</t>
  </si>
  <si>
    <t>Lifetime (years)
min.                     max.</t>
  </si>
  <si>
    <t>Assembly (% of initial charge/yr)
min.                     max.</t>
  </si>
  <si>
    <t>Annual Leakage Rate (%)
min.                     max.</t>
  </si>
  <si>
    <t>Recycling Efficiency (% of remainder) 
min.                     max.</t>
  </si>
  <si>
    <t xml:space="preserve">Effective annual leakage rate (%)
min.                     max.                               average                </t>
  </si>
  <si>
    <t>Chillers</t>
  </si>
  <si>
    <t>Residential and Commercial A/C, including Heat Pumps</t>
  </si>
  <si>
    <t>Mobile Air Conditioners</t>
  </si>
  <si>
    <t>STATUS QUO SUMMARY</t>
  </si>
  <si>
    <t>Annual leakage rate</t>
  </si>
  <si>
    <t>Annual leakage rate during operation</t>
  </si>
  <si>
    <t>Leakage rate during assembly</t>
  </si>
  <si>
    <t>Leakage rate during end-of-life-treatment</t>
  </si>
  <si>
    <t>Effective annual leakage rate</t>
  </si>
  <si>
    <t>ANNUAL EFFECTIVE REFRIGERANT LEAKS PER SCENARIO</t>
  </si>
  <si>
    <t>EMISSION FACTORS OF COMMON REFRIGERANT TYPES</t>
  </si>
  <si>
    <t>REFRIGERANT CHOICES AND EMISSION FACTORS FOR MODEL</t>
  </si>
  <si>
    <t>(Hodnebrog et al, 2020)</t>
  </si>
  <si>
    <t>Refrigerant</t>
  </si>
  <si>
    <t>Global warming potential (kg CO2eq/kg)</t>
  </si>
  <si>
    <t>Emission factor (kg CO2eq/kg)</t>
  </si>
  <si>
    <t>R-134A</t>
  </si>
  <si>
    <t>R-32</t>
  </si>
  <si>
    <t>Zero-GWP refrigerants (e.g. ammonia, water, propane)</t>
  </si>
  <si>
    <t>CO2</t>
  </si>
  <si>
    <t>Low-GWP refrigerants (e.g. CO2 and R-1234yf)</t>
  </si>
  <si>
    <t>R-1234yf</t>
  </si>
  <si>
    <t>Ammonia</t>
  </si>
  <si>
    <t>Water</t>
  </si>
  <si>
    <t>Propane</t>
  </si>
  <si>
    <t>GENERAL PROCESS INFORMATION</t>
  </si>
  <si>
    <t>Abiotic resource depletion</t>
  </si>
  <si>
    <t>Crustal scarcity</t>
  </si>
  <si>
    <t>RESULTS TABLE</t>
  </si>
  <si>
    <t>Number</t>
  </si>
  <si>
    <t>Short name</t>
  </si>
  <si>
    <t>Ecoinvent name</t>
  </si>
  <si>
    <t>UUID</t>
  </si>
  <si>
    <t>Process description</t>
  </si>
  <si>
    <t>Geography description</t>
  </si>
  <si>
    <t>Time description</t>
  </si>
  <si>
    <t>Technology description</t>
  </si>
  <si>
    <t xml:space="preserve">Production impact (kg CO2eq/unit) </t>
  </si>
  <si>
    <t>Production carbon intensity (kg CO2eq/kg)</t>
  </si>
  <si>
    <t xml:space="preserve">EoL impact (kg CO2eq/unit) </t>
  </si>
  <si>
    <t>EoL carbon intensity (kg CO2eq/kg)</t>
  </si>
  <si>
    <t xml:space="preserve">Total impact (kg CO2eq/unit) </t>
  </si>
  <si>
    <t>Total carbon intensity (kg CO2eq/kg)</t>
  </si>
  <si>
    <t>Impact (kg Sb-eq/unit)</t>
  </si>
  <si>
    <t>Impact intensity (kg Sb-eq/kg)</t>
  </si>
  <si>
    <t>Impact (kg Si-eq/unit)</t>
  </si>
  <si>
    <t>Impact intensity (kg Si-eq/kg)</t>
  </si>
  <si>
    <t>No.</t>
  </si>
  <si>
    <t>Ecoinvent process</t>
  </si>
  <si>
    <t>Product</t>
  </si>
  <si>
    <t>Product mass (kg)</t>
  </si>
  <si>
    <t>Production-phase carbon intensity (kg CO2eq/kg)</t>
  </si>
  <si>
    <t>EoL-phase carbon intensity (kg CO2eq/kg)</t>
  </si>
  <si>
    <t>ADP intensity (kg Sb-eq/kg)</t>
  </si>
  <si>
    <t>Crustal scarcity intensity (kg Si-eq/kg)</t>
  </si>
  <si>
    <t>ventilation system production, central, polyethylene ducts</t>
  </si>
  <si>
    <t>market for ventilation system production, central, 1 x 720 m3/h, polyethylene ducts, with earth tube heat exchanger | ventilation system, central, 1 x 720 m3/h, polyethylene ducts, with earth tube heat exchanger | Cutoff, U</t>
  </si>
  <si>
    <t>cedcb5fd-101d-35ff-9668-54c879fb014b</t>
  </si>
  <si>
    <t>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central, 1 x 720 m3/h, polyethylene ducts, with earth tube heat exchanger', in the Global geography.;This market contains no transport or losses, as they are irrelevant for the delivered product.;This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https://v38.ecoquery.ecoinvent.org/Details/PDF/E1F8779B-905E-4183-983B-1425CA06596E/290C1F85-4CC4-4FA1-B0C8-2CB7F4276DCE</t>
  </si>
  <si>
    <t>Data representative for a building in Zurich, Switzerland</t>
  </si>
  <si>
    <t>Amount of material investigated in 2003</t>
  </si>
  <si>
    <t>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t>
  </si>
  <si>
    <t>1: central ventilation system, polyethylene ducts</t>
  </si>
  <si>
    <t>ventilation system production, central, steel ducts</t>
  </si>
  <si>
    <t>market for ventilation system production, central, 1 x 720 m3/h, steel ducts, with earth tube heat exchanger | ventilation system, central, 1 x 720 m3/h, steel ducts, with earth tube heat exchanger | Cutoff, U</t>
  </si>
  <si>
    <t>81466c7d-90a1-3953-b581-e56dd4ed782c</t>
  </si>
  <si>
    <r>
      <t xml:space="preserve">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central, 1 x 720 m3/h, steel ducts, with earth tube heat exchanger', in the Global geography.;This market contains no transport or losses, as they are irrelevant for the delivered product.;This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t>
    </r>
    <r>
      <rPr>
        <u/>
        <sz val="10"/>
        <color rgb="FF1155CC"/>
        <rFont val="Arial"/>
        <family val="2"/>
      </rPr>
      <t>https://v38.ecoquery.ecoinvent.org/Details/PDF/6E972DC0-3AC7-40B7-90D2-365989115A36/290C1F85-4CC4-4FA1-B0C8-2CB7F4276DCE</t>
    </r>
  </si>
  <si>
    <t>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t>
  </si>
  <si>
    <t>2: central ventilation system, steel ducts</t>
  </si>
  <si>
    <t>ventilation system production, decentralized, polyethylene ducts</t>
  </si>
  <si>
    <t>market for ventilation system production, decentralized, 6 x 120 m3/h, polyethylene ducts, with earth tube heat exchanger | ventilation system, decentralized, 6 x 120 m3/h, polyethylene ducts, with earth tube heat exchanger | Cutoff, U</t>
  </si>
  <si>
    <t>56300731-a250-33b3-ae52-f94c7793633f</t>
  </si>
  <si>
    <r>
      <t xml:space="preserve">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decentralized, 6 x 120 m3/h, polyethylene ducts, with earth tube heat exchanger', in the Global geography.;This market contains no transport or losses, as they are irrelevant for the delivered product.;This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t>
    </r>
    <r>
      <rPr>
        <u/>
        <sz val="10"/>
        <color rgb="FF1155CC"/>
        <rFont val="Arial"/>
        <family val="2"/>
      </rPr>
      <t>https://v38.ecoquery.ecoinvent.org/Details/PDF/25E172FE-742E-496B-97D7-4B77B337215D/290C1F85-4CC4-4FA1-B0C8-2CB7F4276DCE</t>
    </r>
  </si>
  <si>
    <t>Decentral ventilation system including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t>
  </si>
  <si>
    <t>3: decentralized ventilation system, polyethylene ducts</t>
  </si>
  <si>
    <t>ventilation system production, decentralized, steel ducts</t>
  </si>
  <si>
    <t>market for ventilation system production, decentralized, 6 x 120 m3/h, steel ducts, with earth tube heat exchanger | ventilation system, decentralized, 6 x 120 m3/h, steel ducts, with earth tube heat exchanger | Cutoff, U</t>
  </si>
  <si>
    <t>c6325e81-94f1-3b5b-a526-652fa90564a5</t>
  </si>
  <si>
    <r>
      <t xml:space="preserve">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decentralized, 6 x 120 m3/h, steel ducts, with earth tube heat exchanger', in the Global geography.;This market contains no transport or losses, as they are irrelevant for the delivered product.;This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t>
    </r>
    <r>
      <rPr>
        <u/>
        <sz val="10"/>
        <color rgb="FF1155CC"/>
        <rFont val="Arial"/>
        <family val="2"/>
      </rPr>
      <t>https://v38.ecoquery.ecoinvent.org/Details/PDF/287D7D87-8F79-4D5B-9562-102DF0ED6AAD/290C1F85-4CC4-4FA1-B0C8-2CB7F4276DCE</t>
    </r>
  </si>
  <si>
    <t>Decentral ventilation system including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t>
  </si>
  <si>
    <t>4: decentralized ventilation system, steel ducts</t>
  </si>
  <si>
    <t>Average</t>
  </si>
  <si>
    <t>Standard deviation</t>
  </si>
  <si>
    <t>IMPACT CATEGORIES</t>
  </si>
  <si>
    <t>Impact category</t>
  </si>
  <si>
    <t>Impact method</t>
  </si>
  <si>
    <t>Unit</t>
  </si>
  <si>
    <t>Climate change (GWP100)</t>
  </si>
  <si>
    <t>ReCiPe Midpoint (H) V1.13</t>
  </si>
  <si>
    <t>kg CO2eq</t>
  </si>
  <si>
    <t>(Huijbregts, 2016)</t>
  </si>
  <si>
    <t>material resources: metals/minerals - abiotic depletion potential (ADP): elements (ultimate reserves)</t>
  </si>
  <si>
    <t>CML v4.8 2016</t>
  </si>
  <si>
    <t>kg Sb-Eq</t>
  </si>
  <si>
    <t>(van Oers, 2015)</t>
  </si>
  <si>
    <t>Crustal scarcity indicator</t>
  </si>
  <si>
    <t>kg Si eq</t>
  </si>
  <si>
    <t>(Arvidsson, 2020)</t>
  </si>
  <si>
    <t>WEIGHT CALCULATION OF VENTILATION SYSTEMS</t>
  </si>
  <si>
    <t>1: ventilation system production, central, polyethylene ducts</t>
  </si>
  <si>
    <t>2: ventilation system production, central, steel ducts</t>
  </si>
  <si>
    <t>3: ventilation system production, decentralized, polyethylene ducts</t>
  </si>
  <si>
    <t>4: ventilation system production, decentralized, steel ducts</t>
  </si>
  <si>
    <t>Flow</t>
  </si>
  <si>
    <t>Amount</t>
  </si>
  <si>
    <t>Weight per unit (kg)</t>
  </si>
  <si>
    <t>Total weight (kg)</t>
  </si>
  <si>
    <t>air distribution terminal panel, steel, 120 m3/h</t>
  </si>
  <si>
    <t>Item(s)</t>
  </si>
  <si>
    <t>air filter, central unit, 600 m3/h</t>
  </si>
  <si>
    <t>air filter, decentralized unit, 180-250 m3/h</t>
  </si>
  <si>
    <t>air filter, in exhaust air valve</t>
  </si>
  <si>
    <t>blower and heat exchange unit, central, 600-1200 m3/h</t>
  </si>
  <si>
    <t>blower and heat exchange unit, decentralized, 180-250 m3/h</t>
  </si>
  <si>
    <t>exhaust air roof hood, steel, DN 400</t>
  </si>
  <si>
    <t>exhaust air valve, in-wall housing, plastic/steel, DN 125</t>
  </si>
  <si>
    <t>flexible duct, aluminium/PET, DN of 125</t>
  </si>
  <si>
    <t>m</t>
  </si>
  <si>
    <t>insulation spiral-seam duct, rockwool, DN 400, 30 mm</t>
  </si>
  <si>
    <t>outside air intake, stainless steel, DN 370</t>
  </si>
  <si>
    <t>polyethylene pipe, corrugated, DN 75</t>
  </si>
  <si>
    <t>polyethylene pipe, DN 200, SDR 41</t>
  </si>
  <si>
    <t>room-connecting overflow element, steel, approx. 40 m3/h</t>
  </si>
  <si>
    <t>sealing tape, aluminium/PE, 50 mm wide</t>
  </si>
  <si>
    <t>silencer, steel, DN 125</t>
  </si>
  <si>
    <t>silencer, steel, DN 315, 50 mm</t>
  </si>
  <si>
    <t>spiral-seam duct, steel, DN 125</t>
  </si>
  <si>
    <t>spiral-seam duct, steel, DN 400</t>
  </si>
  <si>
    <t>supply air inlet, steel/SS, DN 75</t>
  </si>
  <si>
    <t>ventilation control and wiring, decentralized unit</t>
  </si>
  <si>
    <t>ventilation control and wiring, central unit</t>
  </si>
  <si>
    <t>ventilation duct, connection piece, steel, 100x50 mm</t>
  </si>
  <si>
    <t>Total</t>
  </si>
  <si>
    <t>ventilation duct, elbow 90°, steel, 100x50 mm</t>
  </si>
  <si>
    <t>ventilation duct, steel, 100x50 mm</t>
  </si>
  <si>
    <t>CONTRIBUTION TREES - CLIMATE CHANGE (ReCiPe Midpoint (H) V1.13: GWP100)</t>
  </si>
  <si>
    <t>Process</t>
  </si>
  <si>
    <t>Required amount</t>
  </si>
  <si>
    <t>Total result [kg CO2-Eq]</t>
  </si>
  <si>
    <t>Life-cycle phase</t>
  </si>
  <si>
    <t>market for spiral-seam duct, steel, DN 400 | spiral-seam duct, steel, DN 400 | Cutoff, U - GLO</t>
  </si>
  <si>
    <t>market for ventilation duct, steel, 100x50 mm | ventilation duct, steel, 100x50 mm | Cutoff, U - GLO</t>
  </si>
  <si>
    <t>market for blower and heat exchange unit, decentralized, 180-250 m3/h | blower and heat exchange unit, decentralized, 180-250 m3/h | Cutoff, U - GLO</t>
  </si>
  <si>
    <t>market for polyethylene pipe, DN 200, SDR 41 | polyethylene pipe, DN 200, SDR 41 | Cutoff, U - GLO</t>
  </si>
  <si>
    <t>market for blower and heat exchange unit, central, 600-1200 m3/h | blower and heat exchange unit, central, 600-1200 m3/h | Cutoff, U - GLO</t>
  </si>
  <si>
    <t>market for air distribution terminal panel, steel, 120 m3/h | air distribution terminal panel, steel, 120 m3/h | Cutoff, U - GLO</t>
  </si>
  <si>
    <t>market for insulation spiral-seam duct, rockwool, DN 400, 30 mm | insulation spiral-seam duct, rockwool, DN 400, 30 mm | Cutoff, U - GLO</t>
  </si>
  <si>
    <t>market for polyethylene pipe, corrugated, DN 75 | polyethylene pipe, corrugated, DN 75 | Cutoff, U - GLO</t>
  </si>
  <si>
    <t>market for silencer, steel, DN 125 | silencer, steel, DN 125 | Cutoff, U - GLO</t>
  </si>
  <si>
    <t>market for supply air inlet, steel/SS, DN 75 | supply air inlet, steel/SS, DN 75 | Cutoff, U - GLO</t>
  </si>
  <si>
    <t>market for ventilation duct, elbow 90°, steel, 100x50 mm | ventilation duct, elbow 90°, steel, 100x50 mm | Cutoff, U - GLO</t>
  </si>
  <si>
    <t>market for waste polyethylene/polypropylene product | waste polyethylene/polypropylene product | Cutoff, U - RoW</t>
  </si>
  <si>
    <t>kg</t>
  </si>
  <si>
    <t>market for waste polyethylene/polypropylene product | waste polyethylene/polypropylene product | Cutoff, U - Europe without Switzerland</t>
  </si>
  <si>
    <t>market for outside air intake, stainless steel, DN 370 | outside air intake, stainless steel, DN 370 | Cutoff, U - GLO</t>
  </si>
  <si>
    <t>market for silencer, steel, DN 315, 50 mm | silencer, steel, DN 315, 50 mm | Cutoff, U - GLO</t>
  </si>
  <si>
    <t>market for spiral-seam duct, steel, DN 125 | spiral-seam duct, steel, DN 125 | Cutoff, U - GLO</t>
  </si>
  <si>
    <t>market for sealing tape, aluminium/PE, 50 mm wide | sealing tape, aluminium/PE, 50 mm wide | Cutoff, U - GLO</t>
  </si>
  <si>
    <t>market for used blower and heat exchange unit decentralized, 180-250 m3/h | used blower and heat exchange unit decentralized, 180-250 m3/h | Cutoff, U - RoW</t>
  </si>
  <si>
    <t>market for room-connecting overflow element, steel, approx. 40 m3/h | room-connecting overflow element, steel, approx. 40 m3/h | Cutoff, U - GLO</t>
  </si>
  <si>
    <t>market for ventilation duct, connection piece, steel, 100x50 mm | ventilation duct, connection piece, steel, 100x50 mm | Cutoff, U - GLO</t>
  </si>
  <si>
    <t>market for ventilation control and wiring, decentralized unit | ventilation control and wiring, decentralized unit | Cutoff, U - GLO</t>
  </si>
  <si>
    <t>market for excavation, hydraulic digger | excavation, hydraulic digger | Cutoff, U - GLO</t>
  </si>
  <si>
    <t>m3</t>
  </si>
  <si>
    <t>market for exhaust air roof hood, steel, DN 400 | exhaust air roof hood, steel, DN 400 | Cutoff, U - GLO</t>
  </si>
  <si>
    <t>market for exhaust air valve, in-wall housing, plastic/steel, DN 125 | exhaust air valve, in-wall housing, plastic/steel, DN 125 | Cutoff, U - GLO</t>
  </si>
  <si>
    <t>market for ventilation control and wiring, central unit | ventilation control and wiring, central unit | Cutoff, U - GLO</t>
  </si>
  <si>
    <t>market for used room-connecting overflow element steel, approx. 40 m3/h | used room-connecting overflow element steel, approx. 40 m3/h | Cutoff, U - RoW</t>
  </si>
  <si>
    <t>market for air filter, decentralized unit, 180-250 m3/h | air filter, decentralized unit, 180-250 m3/h | Cutoff, U - GLO</t>
  </si>
  <si>
    <t>market for flexible duct, aluminium/PET, DN of 125 | flexible duct, aluminium/PET, DN of 125 | Cutoff, U - GLO</t>
  </si>
  <si>
    <t>market for used sealing tape aluminium/PE, 50 mm wide | used sealing tape aluminium/PE, 50 mm wide | Cutoff, U - RoW</t>
  </si>
  <si>
    <t>market for used ventilation control and wiring decentralized unit | used ventilation control and wiring decentralized unit | Cutoff, U - RoW</t>
  </si>
  <si>
    <t>market for used blower and heat exchange unit central, 600-1200 m3/h | used blower and heat exchange unit central, 600-1200 m3/h | Cutoff, U - RoW</t>
  </si>
  <si>
    <t>market for air filter, in exhaust air valve | air filter, in exhaust air valve | Cutoff, U - GLO</t>
  </si>
  <si>
    <t>market for used air distribution terminal panel steel, 120 m3/h | used air distribution terminal panel steel, 120 m3/h | Cutoff, U - RoW</t>
  </si>
  <si>
    <t>market for used silencer steel, DN 125 | used silencer steel, DN 125 | Cutoff, U - RoW</t>
  </si>
  <si>
    <t>market for used ventilation control and wiring central unit | used ventilation control and wiring central unit | Cutoff, U - RoW</t>
  </si>
  <si>
    <t>market for air filter, central unit, 600 m3/h | air filter, central unit, 600 m3/h | Cutoff, U - GLO</t>
  </si>
  <si>
    <t>market for used insulation spiral-seam duct rockwool, DN 400 | used insulation spiral-seam duct rockwool, DN 400 | Cutoff, U - RoW</t>
  </si>
  <si>
    <t>market for used outside air intake stainless steel, DN 370 | used outside air intake stainless steel, DN 370 | Cutoff, U - RoW</t>
  </si>
  <si>
    <t>market for waste bulk iron, excluding reinforcement | waste bulk iron, excluding reinforcement | Cutoff, U - RoW</t>
  </si>
  <si>
    <t>market for used air filter decentralized unit, 180-250 m3/h | used air filter decentralized unit, 180-250 m3/h | Cutoff, U - RoW</t>
  </si>
  <si>
    <t>market for used silencer steel, DN 315 | used silencer steel, DN 315 | Cutoff, U - RoW</t>
  </si>
  <si>
    <t>market for used exhaust air valve in-wall housing, plastic/steel | used exhaust air valve in-wall housing, plastic/steel | Cutoff, U - RoW</t>
  </si>
  <si>
    <t>market for used flexible duct aluminium/PET, DN of 125 | used flexible duct aluminium/PET, DN of 125 | Cutoff, U - RoW</t>
  </si>
  <si>
    <t>market for used exhaust air roof hood steel, DN 400 | used exhaust air roof hood steel, DN 400 | Cutoff, U - RoW</t>
  </si>
  <si>
    <t>market for waste bulk iron, excluding reinforcement | waste bulk iron, excluding reinforcement | Cutoff, U - Europe without Switzerland</t>
  </si>
  <si>
    <t>market for used air filter in exhaust air valve | used air filter in exhaust air valve | Cutoff, U - RoW</t>
  </si>
  <si>
    <t>market for used air filter central unit, 600 m3/h | used air filter central unit, 600 m3/h | Cutoff, U - RoW</t>
  </si>
  <si>
    <t>LIFE CYCLE BREAKDOWN</t>
  </si>
  <si>
    <t>Life-cycle</t>
  </si>
  <si>
    <t>Climate change impact (kg CO2eq)</t>
  </si>
  <si>
    <t>Carbon intensity (kg CO2eq/kg)</t>
  </si>
  <si>
    <t>Share of impact</t>
  </si>
  <si>
    <t>Production</t>
  </si>
  <si>
    <t>EoL</t>
  </si>
  <si>
    <t>AVERAGE INVENTORY RESULT</t>
  </si>
  <si>
    <t>RAW LCIAS - CRUstAL SCARCITY INDICATOR</t>
  </si>
  <si>
    <t>3:ventilation system production, decentralized, polyethylene ducts</t>
  </si>
  <si>
    <t>Flow name - short</t>
  </si>
  <si>
    <t>Inventory result (kg)</t>
  </si>
  <si>
    <t>Impact assessment result (kg Si eq)</t>
  </si>
  <si>
    <t>Share of inventory</t>
  </si>
  <si>
    <t>Share of inventory (excluding mining tailings)</t>
  </si>
  <si>
    <t>Share of scarcity impact (excluding mining tailings)</t>
  </si>
  <si>
    <t>Material group - inventory</t>
  </si>
  <si>
    <t>Material group - impact</t>
  </si>
  <si>
    <t>Flow name</t>
  </si>
  <si>
    <t>Characterization factor (kg Si eq/kg)</t>
  </si>
  <si>
    <t>Diatomite</t>
  </si>
  <si>
    <t>Other minerals</t>
  </si>
  <si>
    <t>Diatomite, in ground</t>
  </si>
  <si>
    <t>Shale</t>
  </si>
  <si>
    <t>Mining tailings</t>
  </si>
  <si>
    <t>Shale, in ground</t>
  </si>
  <si>
    <t>Clay, unspecified</t>
  </si>
  <si>
    <t>Clay, unspecified, in ground</t>
  </si>
  <si>
    <t>Kaolin clay</t>
  </si>
  <si>
    <t>Kaolinite, in ground</t>
  </si>
  <si>
    <t>Silicon</t>
  </si>
  <si>
    <t>Non-ferrous metals</t>
  </si>
  <si>
    <t>Silicon, in ground</t>
  </si>
  <si>
    <t>Laterite</t>
  </si>
  <si>
    <t>Laterite, in ground</t>
  </si>
  <si>
    <t>Bentonite</t>
  </si>
  <si>
    <t>Clay, bentonite, in ground</t>
  </si>
  <si>
    <t>Basalt</t>
  </si>
  <si>
    <t>Basalt, in ground</t>
  </si>
  <si>
    <t>Perlite</t>
  </si>
  <si>
    <t>Perlite, in ground</t>
  </si>
  <si>
    <t>Sand</t>
  </si>
  <si>
    <t>Sand, unspecified, in ground</t>
  </si>
  <si>
    <t>Talc</t>
  </si>
  <si>
    <t>Talc, in ground</t>
  </si>
  <si>
    <t>Granite</t>
  </si>
  <si>
    <t>Granite, in ground</t>
  </si>
  <si>
    <t>Feldspar</t>
  </si>
  <si>
    <t>Feldspar, in ground</t>
  </si>
  <si>
    <t>Gangue</t>
  </si>
  <si>
    <t>Gangue, in ground</t>
  </si>
  <si>
    <t>Gangue, bauxite</t>
  </si>
  <si>
    <t>Gangue, bauxite, in ground</t>
  </si>
  <si>
    <t>Gravel</t>
  </si>
  <si>
    <t>Gravel, in ground</t>
  </si>
  <si>
    <t>Metamorphous rock</t>
  </si>
  <si>
    <t>Metamorphous rock, graphite containing, in ground</t>
  </si>
  <si>
    <t>Chrysotile</t>
  </si>
  <si>
    <t>Chrysotile, in ground</t>
  </si>
  <si>
    <t>Aluminium</t>
  </si>
  <si>
    <t>Aluminium, in ground</t>
  </si>
  <si>
    <t>Olivine</t>
  </si>
  <si>
    <t>Olivine, in ground</t>
  </si>
  <si>
    <t>Iron</t>
  </si>
  <si>
    <t>Ferro-alloy metals</t>
  </si>
  <si>
    <t>Iron, in ground</t>
  </si>
  <si>
    <t>Calcium</t>
  </si>
  <si>
    <t>Calcium, in ground</t>
  </si>
  <si>
    <t>Magnesium</t>
  </si>
  <si>
    <t>Other CRMs</t>
  </si>
  <si>
    <t>Magnesium, in ground</t>
  </si>
  <si>
    <t>Sodium</t>
  </si>
  <si>
    <t>Sodium, in ground</t>
  </si>
  <si>
    <t>Calcite</t>
  </si>
  <si>
    <t>Calcite, in ground</t>
  </si>
  <si>
    <t>Potassium</t>
  </si>
  <si>
    <t>Potassium, in ground</t>
  </si>
  <si>
    <t>Dolomite</t>
  </si>
  <si>
    <t>Dolomite, in ground</t>
  </si>
  <si>
    <t>Magnesite</t>
  </si>
  <si>
    <t>Magnesite, in ground</t>
  </si>
  <si>
    <t>Titanium</t>
  </si>
  <si>
    <t>Titanium, in ground</t>
  </si>
  <si>
    <t>Gypsum</t>
  </si>
  <si>
    <t>Gypsum, in ground</t>
  </si>
  <si>
    <t>Sodium sulphate</t>
  </si>
  <si>
    <t>Sodium sulphate, various forms, in ground</t>
  </si>
  <si>
    <t>Kieserite</t>
  </si>
  <si>
    <t>Kieserite, in ground</t>
  </si>
  <si>
    <t>Coal, brown</t>
  </si>
  <si>
    <t>Brown coal</t>
  </si>
  <si>
    <t>Coal, brown, in ground</t>
  </si>
  <si>
    <t>Anhydrite</t>
  </si>
  <si>
    <t>Anhydrite, in ground</t>
  </si>
  <si>
    <t>Coking coal</t>
  </si>
  <si>
    <t>Coking coal (CRM)</t>
  </si>
  <si>
    <t>Coal, hard, unspecified, in ground</t>
  </si>
  <si>
    <t>Oil, crude</t>
  </si>
  <si>
    <t>Crude oil</t>
  </si>
  <si>
    <t>Oil, crude, in ground</t>
  </si>
  <si>
    <t>Fluorspar</t>
  </si>
  <si>
    <t>Fluorspar, in ground</t>
  </si>
  <si>
    <t>Manganese</t>
  </si>
  <si>
    <t>Manganese, in ground</t>
  </si>
  <si>
    <t>Fluorine</t>
  </si>
  <si>
    <t>Fluorine, in ground</t>
  </si>
  <si>
    <t>Sylvite</t>
  </si>
  <si>
    <t>Sylvite, in ground</t>
  </si>
  <si>
    <t>Barium</t>
  </si>
  <si>
    <t>Barium, in ground</t>
  </si>
  <si>
    <t>Phosphorus</t>
  </si>
  <si>
    <t>Phosphorus, in ground</t>
  </si>
  <si>
    <t>Spodumene</t>
  </si>
  <si>
    <t>Spodumene, in ground</t>
  </si>
  <si>
    <t>Sulfur</t>
  </si>
  <si>
    <t>Sulfur, in ground</t>
  </si>
  <si>
    <t>Sodium chloride</t>
  </si>
  <si>
    <t>Sodium chloride, in ground</t>
  </si>
  <si>
    <t>Sodium nitrate</t>
  </si>
  <si>
    <t>Sodium nitrate, in ground</t>
  </si>
  <si>
    <t>Strontium</t>
  </si>
  <si>
    <t>Strontium, in ground</t>
  </si>
  <si>
    <t>Vanadium</t>
  </si>
  <si>
    <t>Vanadium, in ground</t>
  </si>
  <si>
    <t>Chromium</t>
  </si>
  <si>
    <t>Chromium, in ground</t>
  </si>
  <si>
    <t>Zirconium</t>
  </si>
  <si>
    <t>Zirconium, in ground</t>
  </si>
  <si>
    <t>Borax</t>
  </si>
  <si>
    <t>Borax, in ground</t>
  </si>
  <si>
    <t>Ulexite</t>
  </si>
  <si>
    <t>Ulexite, in ground</t>
  </si>
  <si>
    <t>Zinc</t>
  </si>
  <si>
    <t>Zinc, in ground</t>
  </si>
  <si>
    <t>Colemanite</t>
  </si>
  <si>
    <t>Colemanite, in ground</t>
  </si>
  <si>
    <t>Nickel</t>
  </si>
  <si>
    <t>Nickel, in ground</t>
  </si>
  <si>
    <t>Praseodymium</t>
  </si>
  <si>
    <t>REEs</t>
  </si>
  <si>
    <t>Praseodymium, in ground</t>
  </si>
  <si>
    <t>Cerium</t>
  </si>
  <si>
    <t>Cerium, in ground</t>
  </si>
  <si>
    <t>Copper</t>
  </si>
  <si>
    <t>Copper, in ground</t>
  </si>
  <si>
    <t>Cobalt</t>
  </si>
  <si>
    <t>Cobalt, in ground</t>
  </si>
  <si>
    <t>Lanthanum</t>
  </si>
  <si>
    <t>Lanthanum, in ground</t>
  </si>
  <si>
    <t>Neodymium</t>
  </si>
  <si>
    <t>Neodymium, in ground</t>
  </si>
  <si>
    <t>Yttrium</t>
  </si>
  <si>
    <t>Yttrium, in ground</t>
  </si>
  <si>
    <t>Gallium</t>
  </si>
  <si>
    <t>Gallium, in ground</t>
  </si>
  <si>
    <t>Lithium</t>
  </si>
  <si>
    <t>Lithium, in ground</t>
  </si>
  <si>
    <t>Lead</t>
  </si>
  <si>
    <t>Lead, in ground</t>
  </si>
  <si>
    <t>Samarium</t>
  </si>
  <si>
    <t>Samarium, in ground</t>
  </si>
  <si>
    <t>Gadolinium</t>
  </si>
  <si>
    <t>Gadolinium, in ground</t>
  </si>
  <si>
    <t>Dysprosium</t>
  </si>
  <si>
    <t>Dysprosium, in ground</t>
  </si>
  <si>
    <t>Arsenic</t>
  </si>
  <si>
    <t>Arsenic, in ground</t>
  </si>
  <si>
    <t>Tin</t>
  </si>
  <si>
    <t>Tin, in ground</t>
  </si>
  <si>
    <t>Uranium</t>
  </si>
  <si>
    <t>Uranium, in ground</t>
  </si>
  <si>
    <t>Europium</t>
  </si>
  <si>
    <t>Europium, in ground</t>
  </si>
  <si>
    <t>Molybdenum</t>
  </si>
  <si>
    <t>Molybdenum, in ground</t>
  </si>
  <si>
    <t>Tantalum</t>
  </si>
  <si>
    <t>Tantalum, in ground</t>
  </si>
  <si>
    <t>Terbium</t>
  </si>
  <si>
    <t>Terbium, in ground</t>
  </si>
  <si>
    <t>Antimony</t>
  </si>
  <si>
    <t>Antimony, in ground</t>
  </si>
  <si>
    <t>Selenium</t>
  </si>
  <si>
    <t>Selenium, in ground</t>
  </si>
  <si>
    <t>Cadmium</t>
  </si>
  <si>
    <t>Cadmium, in ground</t>
  </si>
  <si>
    <t>Silver</t>
  </si>
  <si>
    <t>Silver, in ground</t>
  </si>
  <si>
    <t>Mercury</t>
  </si>
  <si>
    <t>Mercury, in ground</t>
  </si>
  <si>
    <t>Tellurium</t>
  </si>
  <si>
    <t>Tellurium, in ground</t>
  </si>
  <si>
    <t>Palladium</t>
  </si>
  <si>
    <t>PGMs</t>
  </si>
  <si>
    <t>Palladium, in ground</t>
  </si>
  <si>
    <t>Platinum</t>
  </si>
  <si>
    <t>Platinum, in ground</t>
  </si>
  <si>
    <t>Gold</t>
  </si>
  <si>
    <t>Gold, in ground</t>
  </si>
  <si>
    <t>Rhenium</t>
  </si>
  <si>
    <t>Rhenium, in ground</t>
  </si>
  <si>
    <t>Rhodium</t>
  </si>
  <si>
    <t>Rhodium, in ground</t>
  </si>
  <si>
    <t xml:space="preserve">GROUPED IMPACT RESULTS </t>
  </si>
  <si>
    <t xml:space="preserve">GROUPED INVENTORY RESULTS </t>
  </si>
  <si>
    <t>AVERAGE SCARCITY FACTOR OF TOTAL SYSTEM</t>
  </si>
  <si>
    <t>MATERIAL INTENSITY FOR TOP SCARCEST MATERIALS</t>
  </si>
  <si>
    <t>Material group</t>
  </si>
  <si>
    <t>Share of scarcity impact</t>
  </si>
  <si>
    <t>Material</t>
  </si>
  <si>
    <t>Scarcity share</t>
  </si>
  <si>
    <t>Material intensity</t>
  </si>
  <si>
    <t>Coal</t>
  </si>
  <si>
    <t>Ventilation system - average</t>
  </si>
  <si>
    <t>IMPACT CHART</t>
  </si>
  <si>
    <t xml:space="preserve">INVENTORY CHART </t>
  </si>
  <si>
    <t>Share of material footprint</t>
  </si>
  <si>
    <t>IMPACT CHART - PPM</t>
  </si>
  <si>
    <t>INVENTORY CHART - PPM</t>
  </si>
  <si>
    <t>IMPACT CHART - PPM (EXCLUDING MINING TAILINGS AND FOSSIL FUELS)</t>
  </si>
  <si>
    <t>INVENTORY CHART - PPM (EXCLUDING MINING TAILINGS AND FOSSIL FUELS)</t>
  </si>
  <si>
    <t>ZOOM-IN: CRMS</t>
  </si>
  <si>
    <t>Share of inventory - ppm</t>
  </si>
  <si>
    <t>Share of scarcity impact - ppm</t>
  </si>
  <si>
    <t>Concentration in material footprint of ventilation systems (ppm)</t>
  </si>
  <si>
    <t>Materials that make up &gt; 10000 ppm of inventory</t>
  </si>
  <si>
    <t>Materials that make up &gt; 1000 ppm of inventory</t>
  </si>
  <si>
    <t>Materials that make up &gt; 100 ppm of inventory</t>
  </si>
  <si>
    <t>Materials that make up &gt; 10 ppm of inventory</t>
  </si>
  <si>
    <t>Materials that make up &gt; 1 ppm of inventory</t>
  </si>
  <si>
    <t>OVERVIEW</t>
  </si>
  <si>
    <t>PROJECTED HEATING SOLUTION PER NEIGHBOURHOOD, WITH POPULATION SIZES</t>
  </si>
  <si>
    <t>PROJECTED HEATING SOLUTION PER NEIGHBOURHOOD</t>
  </si>
  <si>
    <t>(Source: Transitie Visie Warmte Den Haag)</t>
  </si>
  <si>
    <t>POPULATION PER NEIGHBORHOOD</t>
  </si>
  <si>
    <t>(Source: Den Haag in cijfers)</t>
  </si>
  <si>
    <t>TRANSLATIONS</t>
  </si>
  <si>
    <t>Proposed heating solution</t>
  </si>
  <si>
    <t>Number of neighbourhoods</t>
  </si>
  <si>
    <t>Number of residents (2022)</t>
  </si>
  <si>
    <t>Share of population (2022)</t>
  </si>
  <si>
    <t>Neighbourhood</t>
  </si>
  <si>
    <t>Heat plan 2030</t>
  </si>
  <si>
    <t>Heat plan 2040</t>
  </si>
  <si>
    <t>Most important heat sources</t>
  </si>
  <si>
    <t>Buurtnaam</t>
  </si>
  <si>
    <t>Warmteoptie in 2030</t>
  </si>
  <si>
    <t>Warmteopties in 2040</t>
  </si>
  <si>
    <t>Belangrijkste beschikbare
 bronnen</t>
  </si>
  <si>
    <t>Beschrijving</t>
  </si>
  <si>
    <t>Population</t>
  </si>
  <si>
    <t>Dutch</t>
  </si>
  <si>
    <t>English</t>
  </si>
  <si>
    <t>Heat district</t>
  </si>
  <si>
    <t>Archipelbuurt</t>
  </si>
  <si>
    <t>Warmteoptie nog onduidelijk. Hybride warmtepomp</t>
  </si>
  <si>
    <t>Warmteoptie nader bepalen: warmtepompen, warmtenetten of een mix</t>
  </si>
  <si>
    <t>Warmte uit de directe omgeving</t>
  </si>
  <si>
    <t>Vooroorlogse buurt waar de huizen en gebouwen dicht op elkaar staan. Door de ouderdom van de buurt zijn alle warmteopties ingewikkeld en is de warmteoptie nog onduidelijk. Daarom is de hybride warmtepomp een oplossing. Hier kunnen warmtenetten komen, warmtepompen, of een mix. Ook zijn in deze buurt een paar grote gebouwen, deels van de woningcorporatie en deels aangesloten op een bestaand warmtenet. Als er ruimte is, is het logisch om deze gebouwen aan te sluiten
 op het bestaand warmtenet.</t>
  </si>
  <si>
    <t>Aardwarmte</t>
  </si>
  <si>
    <t>Geothermal heat</t>
  </si>
  <si>
    <t>Belgisch Park</t>
  </si>
  <si>
    <t>Vooroorlogse buurt waar de huizen en gebouwen dicht op elkaar staan met weinig ruimte in de grond voor nieuwe kabels en leidingen. Door de ouderdom van de buurt zijn alle warmteopties ingewikkeld en is de warmteoptie nog onduidelijk. Daarom is de hybride warmtepomp een oplossing. Hier kunnen warmtenetten komen, warmtepompen, of een mix. Grondwater is hier beschermd. We houden daarmee
 rekening als we energie uit de grond halen.</t>
  </si>
  <si>
    <t>Arendsdorp</t>
  </si>
  <si>
    <t>Aardwarmte en restwarmte</t>
  </si>
  <si>
    <t>Geothermal and residual heat</t>
  </si>
  <si>
    <t>Mix of heat pumps and heat district, or heating solution yet to be determined</t>
  </si>
  <si>
    <t>Benoordenhout (Samenvoeging van Nassaubuurt, Van Hoytemastraat en omgeving, Uilennest, Arendsdorp, Waalsdorp, Duinzigt)</t>
  </si>
  <si>
    <t>Aardwarmte en Warmte uit de directe omgeving</t>
  </si>
  <si>
    <t>Vooroorlogse buurt waar de huizen en gebouwen dicht op elkaar staan en waar weinig ruimte is in de grond voor nieuwe kabels en leidingen. Door de ouderdom van de buurt zijn alle warmteopties ingewikkeld en is de warmteoptie nog onduidelijk.
 Daarom is de hybride warmtepomp een oplossing. Hier kunnen warmtenetten komen, warmtepompen, of een mix. Daarnaast onderzoeken bewoners hier de mogelijkheid van een warmtenet en werken overheden samen om hun gebouwen te verduurzamen. Grondwater is hier beschermd. We houden daarmee rekening als we
 energie uit de grond halen.</t>
  </si>
  <si>
    <t>Aardwarmte en warmte uit de
 directe omgeving</t>
  </si>
  <si>
    <t>Geothermal and ambient heat</t>
  </si>
  <si>
    <t>Bezuidenhout-Midden</t>
  </si>
  <si>
    <t>Warmtenetbuurt na 2030</t>
  </si>
  <si>
    <t>Warmtenetbuurt</t>
  </si>
  <si>
    <t>Een gemengde buurt van huizen en kantoren, zowel vooroorlogs als naoorlogs. Daarnaast veel aansluitingen op het bestaande warmtenet en weinig huizen van
 woningcorporaties. Uitbreiden van het warmtenet is hier logisch.</t>
  </si>
  <si>
    <t>Bezuidenhout-Oost</t>
  </si>
  <si>
    <t>Aardwarmte en warmte uit de directe omgeving</t>
  </si>
  <si>
    <t>Grotendeels vooroorlogse buurt waar de huizen en gebouwen dicht op elkaar staan met weinig ruimte in de grond voor nieuwe kabels en leidingen. Er is een bestaand warmtenet in de buurt met Een paar aansluitingen. Door de ouderdom van de buurt zijn alle warmteopties ingewikkeld en is de warmteoptie nog onduidelijk. Daarom is de hybride warmtepomp een oplossing. Hier kunnen warmtenetten komen,
 warmtepompen, of een mix.</t>
  </si>
  <si>
    <t>COUNTA of Neighbourhood</t>
  </si>
  <si>
    <t>SUM of Number of residents (2022)</t>
  </si>
  <si>
    <t>Bezuidenhout-West</t>
  </si>
  <si>
    <t>Bezuidenhout-West (Deel van Bezuidenhout-West)</t>
  </si>
  <si>
    <t>Warmtenetbuurt voor 2030</t>
  </si>
  <si>
    <t>Grotendeels naoorlogse buurt met veel huizen dicht op elkaar, veel huizen van woningcorporaties en veel bestaande warmtenetaansluitingen. Daarom is een warmtenet voor 2030 hier logisch. Overheden werken hier samen om hun gebouwen
 te verduurzamen in het project EnergieRijk Den Haag.</t>
  </si>
  <si>
    <t>Aardwarmte, restwarmte en warmte uit de directe omgeving</t>
  </si>
  <si>
    <t>Geothermal, residual and ambient heat</t>
  </si>
  <si>
    <t>Binckhorst</t>
  </si>
  <si>
    <t>Mix van warmtenetten en warmtepompen</t>
  </si>
  <si>
    <t>Deze buurt wordt de komende jaren opnieuw gebouwd. Een deel van de bestaande huizen en gebouwen zijn aangesloten op een warmtenet. Nieuwbouw in het gebied krijgt een mix van warmtepompen en aansluitingen op warmtenetten. In de Binckhorst
 zijn goede kansen om een aardwarmtebron te realiseren.</t>
  </si>
  <si>
    <t>Mix van warmtenetten en
 warmtepompen</t>
  </si>
  <si>
    <t>Mix of heat districts and heat pumps</t>
  </si>
  <si>
    <t>Bloemenbuurt-Oost</t>
  </si>
  <si>
    <t>Vooroorlogse buurt waar huizen en gebouwen dicht op elkaar staan met weinig ruimte in de grond voor nieuwe kabels en leidingen. Door de ouderdom van de buurt zijn alle warmteopties ingewikkeld en is de warmteoptie nog onduidelijk. Daarom is de hybride warmtepomp een oplossing. Hier kunnen warmtenetten komen, warmtepompen, of
 een mix.</t>
  </si>
  <si>
    <t>Heating option to be determined: heat pumps, heat networks or a mix</t>
  </si>
  <si>
    <t>Bloemenbuurt-West</t>
  </si>
  <si>
    <t>Mix van warmtepompen
 en warmtenetten</t>
  </si>
  <si>
    <t>Bohemen en Meer en Bos</t>
  </si>
  <si>
    <t>Warmtenetbuurt na
 2030</t>
  </si>
  <si>
    <t>Grotendeels naoorlogse buurt waar huizen en gebouwen dicht op elkaar staan en er
 weinig huizen van woningcorporaties zijn.</t>
  </si>
  <si>
    <t>Bohemen/Meer en Bos</t>
  </si>
  <si>
    <t>Mix van warmtepompen en warmtenetten</t>
  </si>
  <si>
    <t>Grand Total</t>
  </si>
  <si>
    <t>Bomenbuurt</t>
  </si>
  <si>
    <t>Ambient heat</t>
  </si>
  <si>
    <t>Bosjes van Pex</t>
  </si>
  <si>
    <t>Buurt waar de huizen en gebouwen ver van elkaar af staan maar waar ook een paar naoorlogse flats zijn. De meeste huizen bevinden zich in de flats. Een warmtenet is daar logisch. Voor huizen die niet op een warmtenet kunnen worden aangesloten, zijn
 warmtepompen mogelijk.</t>
  </si>
  <si>
    <t>Bosweide</t>
  </si>
  <si>
    <t>Warmtenetbuurt voor
 2030</t>
  </si>
  <si>
    <t>Deze buurt is bijna volledig aangesloten op een bestaand warmtenet. Aansluiting op
 een toekomstige aardwarmtebron in Ypenburg is kansrijk.</t>
  </si>
  <si>
    <t>Heat district after 2030</t>
  </si>
  <si>
    <t>Bouwlust (Venen, Oorden en Raden en een deel van Zijden, Steden en Zichten)</t>
  </si>
  <si>
    <t>Naoorlogse buurt waar huizen en gebouwen dicht op elkaar staan met veel huizen van woningcorporaties. Bestaand warmtenet met Een paar aansluitingen, aangesloten op de aardwarmtebron aan de Leyweg. Proeftuin Aardgasvrij aanwezig
 om flats aan te sluiten op het warmtenet.</t>
  </si>
  <si>
    <t>Burgen en Horsten</t>
  </si>
  <si>
    <t>CID/Policy Campus (Delen van Uilenbomen, Rivierenbuurt-Noord, Bezuidenhout-West)</t>
  </si>
  <si>
    <t>Deze buurt ligt in het centrum van Den Haag met veel overheidsgebouwen, monumenten en kantoren. In deze buurt zijn veel aansluitingen op het warmtenet en WKO-systemen. Uit onderzoek in opdracht van de gemeente blijkt dat een mix van warmtenetten en WKO-systemen met warmtepompen hier logisch is. Die uitkomst is
 overgenomen.</t>
  </si>
  <si>
    <t>Componistenbuurt</t>
  </si>
  <si>
    <t>Heat district before 2030</t>
  </si>
  <si>
    <t>Grotendeels naoorlogse buurt waar huizen en gebouwen dicht op elkaar staan met weinig ruimte in de grond voor nieuwe kabels en leidingen. Geen concrete startkansen of huizen van woningcorporaties, daarom "Warmtenet, starten voor
 2040".</t>
  </si>
  <si>
    <t>De Bras</t>
  </si>
  <si>
    <t>Deze buurt is bijna volledig aangesloten op een bestaand warmtenet.</t>
  </si>
  <si>
    <t>De Lanen</t>
  </si>
  <si>
    <t>Warmteoptie nader bepalen: warmtepompen,
 warmtenetten of een mix</t>
  </si>
  <si>
    <t>Warmtepompen</t>
  </si>
  <si>
    <t>Jonge buurt waar huizen en gebouwen ver van elkaar af staan met weinig ruimte in
 de grond voor nieuwe kabels en leidingen en bijna geen huizen van woningcorporaties.</t>
  </si>
  <si>
    <t>De Reef</t>
  </si>
  <si>
    <t>Buurt met een paar jonge gebouwen.</t>
  </si>
  <si>
    <t>De Rivieren</t>
  </si>
  <si>
    <t>Warmteoptie nog onduidelijk. Hybride
 warmtepomp</t>
  </si>
  <si>
    <t>Heating option to be determined: hybrid heat pumps</t>
  </si>
  <si>
    <t>In deze buurt is een bedrijventerrein. Een mix van warmtenetten en warmtepompen is
 hier logisch.</t>
  </si>
  <si>
    <t>De Uithof</t>
  </si>
  <si>
    <t>Buitengebied met grotendeels jonge huizen en gebouwen die ver van elkaar af staan. Hier zijn warmtepompen logisch. Daarnaast vier grote flats van de woningcorporatie aan de Lozerlaan. Het is logisch dat deze een aansluitingen krijgen op een
 warmtenet. In de Uithof ligt het grootste zonnedak van Den Haag.</t>
  </si>
  <si>
    <t>De Velden</t>
  </si>
  <si>
    <t>Jonge buurt waar huizen en gebouwen ver van elkaar af staan met weinig ruimte in de grond voor nieuwe kabels en leidingen en bijna geen huizen van
 woningcorporaties.</t>
  </si>
  <si>
    <t>De Venen</t>
  </si>
  <si>
    <t>Jonge buurt waar huizen en gebouwen dicht op elkaar staan. Deels aangesloten op
 een bestaand warmtenet, deels al warmtepompen. Aansluiting op een toekomstige aardwarmtebron in Ypenburg is kansrijk.</t>
  </si>
  <si>
    <t>De Vissen</t>
  </si>
  <si>
    <t>Dreven en Gaarden</t>
  </si>
  <si>
    <t>Duindorp</t>
  </si>
  <si>
    <t>Buurt waar huizen en gebouwen dicht op elkaar staan met weinig ruimte in de grond voor nieuwe kabels en leidingen. Zowel jonge als oude gebouwen, waaronder monumenten. De jonge gebouwen zijn voor een deel al aangesloten op een warmtenet met WKO. Voor de oude gebouwen is de warmteoptie nog onduidelijk, daarom hybride warmtepompen als tussenoplossing en uiteindelijk warmtenetten,
 warmtepompen of een mix.</t>
  </si>
  <si>
    <t>Duttendel</t>
  </si>
  <si>
    <t>Vooroorlogse buurt waar huizen en gebouwen ver van elkaar af staan. Door de ouderdom van de buurt zijn alle warmteopties ingewikkeld en is de warmteoptie nog onduidelijk. Daarom kiezen we voor de hybride warmtepomp als tussenoplossing. Uiteindelijk kunnen hier warmtenetten komen, warmtepompen, of een mix.
 Grondwater is hier beschermd. We houden daarmee rekening als we energie uit de
 grond halen.</t>
  </si>
  <si>
    <t>Duinzigt</t>
  </si>
  <si>
    <t>Erasmus Veld</t>
  </si>
  <si>
    <t>Jonge buurt waar huizen en gebouwen ver van elkaar af staan en weinig huizen van woningcorporaties. Een paar gebouwen zijn aangesloten op een bestaand warmtenet. Warmtepompen zijn logisch voor de jonge gebouwen. Voor een paar naoorlogse
 gebouwen naast Moerwijk kan aansluiting op een warmtenet ook logisch zijn.</t>
  </si>
  <si>
    <t>Geuzenkwartier</t>
  </si>
  <si>
    <t>Vooroorlogse buurt waar huizen en gebouwen dicht op elkaar staan en weinig ruimte in de grond voor nieuwe kabels en leidingen. Door de ouderdom van de buurt zijn alle warmteopties ingewikkeld en is de warmteoptie nog onduidelijk. Daarom is de hybride warmtepomp een oplossing. Hier kunnen warmtenetten komen, warmtepompen, of
 een mix.</t>
  </si>
  <si>
    <t>Groente- en Fruitmarkt</t>
  </si>
  <si>
    <t>Grotendeels naoorlogse buurt waar huizen en gebouwen dicht op elkaar staan.
 Weinig huizen van woningcorporaties, maar wel in de buurt van bestaand warmtenet.</t>
  </si>
  <si>
    <t>Eykenduynen</t>
  </si>
  <si>
    <t>Haagse Bos</t>
  </si>
  <si>
    <t>In buurten met bijna geen gebouwen, zoals het Haagse Bos, zijn warmtepompen het
 meest logisch.</t>
  </si>
  <si>
    <t>Heesterbuurt</t>
  </si>
  <si>
    <t>Hoge Veld</t>
  </si>
  <si>
    <t>Houtwijk</t>
  </si>
  <si>
    <t>Grotendeels naoorlogse buurt met weinig ruimte in de grond voor nieuwe kabels en leidingen waar huizen en gebouwen dicht op elkaar staan en veel huizen van woningcorporaties. Een paar kantoren en vooroorlogse gebouwen. Bestaand
 warmtenet is dichtbij.</t>
  </si>
  <si>
    <t>Huygenspark</t>
  </si>
  <si>
    <t>Zeer gemengde buurt van kantoren, naoorlogse flats en vooroorlogse gebouwen. Er zijn een paar bestaande warmtenetaansluitingen en veel huizen van
 woningcorporaties.</t>
  </si>
  <si>
    <t>Kerketuinen en Zichtenburg</t>
  </si>
  <si>
    <t>Kijkduin</t>
  </si>
  <si>
    <t>Zeer gemengde buurt. Vanwege de grote afstand tussen de huizen en gebouwen zijn warmtepompen hier logisch. Aansluitingen op een warmtenet voor gebouwen langs
 de Zandzeggelaan zijn ook logisch als er dichtbij een warmtenet komt.</t>
  </si>
  <si>
    <t>Kom Loosduinen</t>
  </si>
  <si>
    <t>Buurt die voor de helft bestaat uit vooroorlogse gebouwen en monumenten, en voor de helft uit naoorlogse huizen en gebouwen die dicht op elkaar staan en met weinig ruimte in de grond voor nieuwe kabels en leidingen. Veel huizen van
 woningcorporaties en een paar kantoren.</t>
  </si>
  <si>
    <t>Kampen</t>
  </si>
  <si>
    <t>Koningsplein en omgeving</t>
  </si>
  <si>
    <t>Vooroorlogse buurt waar huizen en gebouwen dicht op elkaar staan en weinig ruimte in de grond voor nieuwe kabels en leidingen. Door de ouderdom van de buurt zijn alle warmteopties ingewikkeld en is de warmteoptie nog onduidelijk. Duurzaam Den Haag
 is in deze wijk actief met het onderzoeken en uitwerken van mogelijke warmteopties.</t>
  </si>
  <si>
    <t>Kerketuinen/Zichtenburg</t>
  </si>
  <si>
    <t>Kortenbos</t>
  </si>
  <si>
    <t>Zeer gemengde buurt van kantoren, naoorlogse flats en vooroorlogse gebouwen met
 weinig ruimte in de grond voor nieuwe kabels en leidingen. Er zijn een paar bestaande warmtenetaansluitingen en veel huizen van woningcorporaties.</t>
  </si>
  <si>
    <t>Kraayenstein (Splitsing van
 Kraayenstein)</t>
  </si>
  <si>
    <t>Naoorlogse buurt waar huizen en gebouwen dicht op elkaar staan met weinig ruimte
 in de grond voor nieuwe kabels en leidingen en veel huizen van woningcorporaties.</t>
  </si>
  <si>
    <t>Laakhaven-Oost</t>
  </si>
  <si>
    <t>In deze buurt is de komende jaren veel sloop en nieuwbouw. Een deel van de gebouwen is al aangesloten op een warmtenet. Nieuwbouw krijgt waarschijnlijk een
 mix van warmtepompen en warmtenetten met WKO.</t>
  </si>
  <si>
    <t>Koningsplein eo</t>
  </si>
  <si>
    <t>Laakhaven-West</t>
  </si>
  <si>
    <t>Laakkwartier-Oost</t>
  </si>
  <si>
    <t>Vooroorlogse buurt waar huizen en gebouwen dicht op elkaar staan en weinig huizen van woningcorporaties. Door de ouderdom van de buurt zijn alle warmteopties ingewikkeld en is de warmteoptie nog onduidelijk. Daarom is de hybride warmtepomp
 een oplossing. Hier kunnen warmtenetten komen, warmtepompen, of een mix.</t>
  </si>
  <si>
    <t>Kraayenstein &amp; Vroondaal</t>
  </si>
  <si>
    <t>Laakkwartier-West</t>
  </si>
  <si>
    <t>Lage Veld</t>
  </si>
  <si>
    <t>Jonge buurt waar huizen en gebouwen ver van elkaar af staan met weinig huizen van
 woningcorporaties en met weinig ruimte in de grond voor nieuwe kabels en leidingen.</t>
  </si>
  <si>
    <t>Leyenburg</t>
  </si>
  <si>
    <t>Gemengde buurt van kantoren, naoorlogse flats en vooroorlogse gebouwen met weinig ruimte in de grond voor nieuwe kabels en leidingen. Er zijn een paar
 aansluitingen op een bestaand warmtenet en weinig huizen van woningcorporaties.</t>
  </si>
  <si>
    <t>Mariahoeve ( Samenvoeging van Kampen, Burgen en
 Horsten, Landen en Marlot)</t>
  </si>
  <si>
    <t>Voor deze buurt heeft de gemeente al een Wijkenergieplan gemaakt. Op Marlot na is Mariahoeve een naoorlogse buurt waar huizen en gebouwen dicht op elkaar staan en
 waar veel huizen van woningcorporaties zijn.</t>
  </si>
  <si>
    <t>Moerwijk-Noord</t>
  </si>
  <si>
    <t>Grotendeels naoorlogse buurt waar huizen en gebouwen dicht op elkaar staan met
 veel huizen van woningcorporaties.</t>
  </si>
  <si>
    <t>Moerwijk-Oost</t>
  </si>
  <si>
    <t>Naoorlogse buurt waar huizen en gebouwen dicht op elkaar staan met veel huizen van woningcorporaties. Lokaal onderzoek in opdracht van Duurzaam Den Haag toont
 aan dat een warmtenet in Moerwijk-Oost een logische warmteoptie is.</t>
  </si>
  <si>
    <t>Landen</t>
  </si>
  <si>
    <t>Moerwijk-West</t>
  </si>
  <si>
    <t>Naoorlogse buurt waar huizen en gebouwen dicht op elkaar staan met veel huizen
 van woningcorporaties.</t>
  </si>
  <si>
    <t>Moerwijk-Zuid</t>
  </si>
  <si>
    <t>Marlot</t>
  </si>
  <si>
    <t>Morgenstond-Oost</t>
  </si>
  <si>
    <t>Naoorlogse buurt waar huizen en gebouwen dicht op elkaar staan met veel huizen van woningcorporaties. In deze wijk zijn huizen aangesloten op de aardwarmtebron
 aan de Leyweg.</t>
  </si>
  <si>
    <t>Morgenstond-West</t>
  </si>
  <si>
    <t>Morgenstond-Zuid</t>
  </si>
  <si>
    <t>Morgenweide</t>
  </si>
  <si>
    <t>Nieuw Waldeck</t>
  </si>
  <si>
    <t>Naoorlogse buurt waar huizen en gebouwen dicht op elkaar staan en weinig ruimte in de grond voor nieuwe kabels en leidingen en veel huizen van woningcorporaties.
 Maar er is ook een groot blok vooroorlogse gebouwen. Er zijn veel huizen van
 woningcorporaties.</t>
  </si>
  <si>
    <t>Noordpolderbuurt</t>
  </si>
  <si>
    <t>Gemengde buurt van vooroorlogs en naoorlogse gebouwen die dicht op elkaar staan. Er zijn veel huizen van woningcorporaties. Lokaal onderzoek in opdracht van Duurzaam Den Haag wijst uit dat een warmtenet in Noordpolderbuurt een logische
 oplossing is.</t>
  </si>
  <si>
    <t>Ockenburgh</t>
  </si>
  <si>
    <t>Buitengebied met veel jonge gebouwen en vakantiewoningen. Grondwater is hier
 beschermd. We houden daarmee rekening als we energie uit de grond halen.</t>
  </si>
  <si>
    <t>Oostbroek-Noord</t>
  </si>
  <si>
    <t>Vooroorlogse buurt waar huizen en gebouwen dicht op elkaar staan en weinig huizen van woningcorporaties zijn. Door de ouderdom van de buurt zijn alle warmteopties ingewikkeld en is de warmteoptie nog onduidelijk. Daarom is de hybride warmtepomp
 een oplossing. Hier kunnen warmtenetten komen, warmtepompen, of een mix.</t>
  </si>
  <si>
    <t>Oostbroek-Zuid</t>
  </si>
  <si>
    <t>Nassaubuurt</t>
  </si>
  <si>
    <t>Oostduinen</t>
  </si>
  <si>
    <t>Buitengebied waar de huizen en gebouwen ver van elkaar af staan. Grondwater is
 hier beschermd. We houden daarmee rekening als we energie uit de grond halen.</t>
  </si>
  <si>
    <t>Oud Scheveningen</t>
  </si>
  <si>
    <t>Parkbuurt oosteinde</t>
  </si>
  <si>
    <t>Jonge buurt waar huizen en gebouwen ver van elkaar af staan en weinig huizen van
 woningcorporaties en weinig ruimte in de grond voor nieuwe kabels en leidingen.</t>
  </si>
  <si>
    <t>Rietbuurt</t>
  </si>
  <si>
    <t>Jonge buurt waar huizen en gebouwen ver van elkaar af staan met weinig ruimte in
 de grond voor nieuwe kabels en leidingen en weinig huizen van woningcorporaties.</t>
  </si>
  <si>
    <t>Rijslag</t>
  </si>
  <si>
    <t>Rivierenbuurt-Noord (Deel van Rivierenbuurt-Noord)</t>
  </si>
  <si>
    <t>Zeer gemengde buurt van kantoren, naoorlogse flats en vooroorlogse gebouwen. Een paar bestaande warmtenetaansluitingen, veel huizen van woningcorporaties en
 weinig ruimte in de grond voor nieuwe kabels en leidingen.</t>
  </si>
  <si>
    <t>Rivierenbuurt-Zuid</t>
  </si>
  <si>
    <t>Grotendeels vooroorlogse buurt waar huizen en gebouwen dicht op elkaar staan.
 Bestaand warmtenet in de buurt met een paar aansluitingen.</t>
  </si>
  <si>
    <t>Rond de Energiecentrale</t>
  </si>
  <si>
    <t>Gemengde buurt van vooroorlogse gebouwen en jonge gebouwen die dicht op elkaar staan. Er is een bestaand warmtenet waar een deel van de jonge gebouwen op is aangesloten. Voor de vooroorlogse bouw is aansluiting op het warmtenet een optie, maar dat is ingewikkeld door weinig ruimte in de grond voor nieuwe kabels en leidingen de ouderdom van de gebouwen. In deze buurt ligt de energiecentrale van Uniper waar ook veel warmte van het Haagse warmtenet vandaan komt, waar mogelijk restwarmte uit de regio wordt aangevoerd, en waar mogelijk een
 aardwarmtebron wordt gerealiseerd.</t>
  </si>
  <si>
    <t>Parkbuurt Oosteinde</t>
  </si>
  <si>
    <t>Rosenburg</t>
  </si>
  <si>
    <t>Naoorlogse buurt met kantoren, vooroorlogse gebouwen en flats van
 woningcorporaties. Bestaand warmtenet in de buurt met een paar aansluitingen.</t>
  </si>
  <si>
    <t>Rustenburg</t>
  </si>
  <si>
    <t>Vooroorlogse buurt waar huizen en gebouwen dicht op elkaar staan met weinig huizen van woningcorporaties. Door de ouderdom van de buurt zijn alle warmteopties ingewikkeld en is de warmteoptie nog onduidelijk. Daarom is de hybride warmtepomp
 een oplossing. Hier kunnen warmtenetten komen, warmtepompen, of een mix.</t>
  </si>
  <si>
    <t>Scheveningen Badplaats</t>
  </si>
  <si>
    <t>Rivierenbuurt-Noord</t>
  </si>
  <si>
    <t>Schildersbuurt-Noord</t>
  </si>
  <si>
    <t>Grotendeels naoorlogse buurt waar huizen en gebouwen dicht op elkaar staan met weinig ruimte in de grond voor nieuwe kabels en leidingen en veel huizen van
 woningcorporaties. Warmtenet in de buurt.</t>
  </si>
  <si>
    <t>Schildersbuurt-Oost</t>
  </si>
  <si>
    <t>Grotendeels naoorlogse buurt waar huizen en gebouwen dicht op elkaar staan met weinig ruimte in de grond voor nieuwe kabels en leidingen en zeer veel huizen van
 woningcorporaties. Warmtenet in de buurt.</t>
  </si>
  <si>
    <t>Schildersbuurt-West</t>
  </si>
  <si>
    <t>Singels (Een deel van Singels)</t>
  </si>
  <si>
    <t>Jonge buurt en weinig huizen van woningcorporaties waardoor warmtepompen logisch zijn. Maar in de buurt ligt ook een warmtenet. Aansluiting op het warmtenet is daarom ook een optie. Dit hangt onder andere af van de ruimte op het bestaande
 warmtenet en het kostenverschil tussen warmtepompen en het warmtenet.</t>
  </si>
  <si>
    <t>Spoorwijk</t>
  </si>
  <si>
    <t>Gemengde buurt van vooroorlogs en naoorlogse gebouwen waar huizen en gebouwen dicht op elkaar staan met weinig ruimte in de grond voor nieuwe kabels en leidingen. De naoorlogse gebouwen hebben al grotendeels warmtepompen. Veel huizen van woningcorporaties. Vlamloos Spoorwijk was één van de eerste buurten
 van Den Haag die energie uit de bodem haalde.</t>
  </si>
  <si>
    <t>Stadhoudersplantsoen</t>
  </si>
  <si>
    <t>Buurt die voor de helft bestaat uit vooroorlogse gebouwen in die dicht op elkaar staan met weinig ruimte in de grond voor nieuwe kabels en leidingen en een deel naoorlogse flats en kantoren. Er zijn weinig huizen van woningcorporaties. Door de ouderdom van de buurt zijn alle warmteopties ingewikkeld en is de warmteoptie nog onduidelijk. Daarom is de hybride warmtepomp een oplossing. Hier kunnen
 warmtenetten komen, warmtepompen, of een mix.</t>
  </si>
  <si>
    <t>Statenkwartier</t>
  </si>
  <si>
    <t>Vooroorlogse buurt waar huizen en gebouwen dicht op elkaar staan met weinig ruimte in de grond voor nieuwe kabels en leidingen. Er is een bewonersorganisatie actief die mogelijkheden van een warmtenet onderzoekt. Door de ouderdom van de buurt zijn alle warmteopties ingewikkeld en is de warmteoptie nog onduidelijk. Daarom is de hybride warmtepomp een oplossing. Hier kunnen warmtenetten komen,
 warmtepompen, of een mix.</t>
  </si>
  <si>
    <t>Sweelinckplein en omgeving</t>
  </si>
  <si>
    <t>Tedingerbroek</t>
  </si>
  <si>
    <t>Buurt met vrijwel geen bebouwing. Deze buurt is een kansrijke locatie voor een
 aardwarmtebron.</t>
  </si>
  <si>
    <t>Singels</t>
  </si>
  <si>
    <t>Transvaalkwartier-Midden</t>
  </si>
  <si>
    <t>Gemengde buurt van vooroorlogse en naoorlogse gebouwen waar huizen en
 gebouwen dicht op elkaar staan met veel huizen van woningcorporaties.</t>
  </si>
  <si>
    <t>Transvaalkwartier-Noord</t>
  </si>
  <si>
    <t>Transvaalkwartier-Zuid</t>
  </si>
  <si>
    <t>Uilebomen (Deel van Uilebomen)</t>
  </si>
  <si>
    <t>Grotendeels vooroorlogse buurt waar huizen en gebouwen dicht op elkaar staan met weinig ruimte in de grond voor nieuwe kabels en leidingen. Bestaand warmtenet in de buurt met een paar aansluitingen. Overheden werken hier samen om hun gebouwen
 te verduurzamen in het project EnergieRijk Den Haag.</t>
  </si>
  <si>
    <t>Sweelinckplein eo</t>
  </si>
  <si>
    <t>Valkenboskwartier</t>
  </si>
  <si>
    <t>Vooroorlogse buurt waar huizen en gebouwen dicht op elkaar staan met weinig ruimte in de grond voor nieuwe kabels en leidingen. Door de ouderdom van de buurt zijn alle warmteopties ingewikkeld en is de warmteoptie nog onduidelijk. Daarom is de hybride warmtepomp een oplossing. Hier kunnen warmtenetten komen, warmtepompen, of een mix. Duurzaam Den Haag onderzoekt in deze buurt de mogelijkheden van een
 warmtenet.</t>
  </si>
  <si>
    <t>Van Stolkpark en Scheveningse Bosjes</t>
  </si>
  <si>
    <t>Vooroorlogse buurt waar huizen en gebouwen ver van elkaar af staan met weinig ruimte in de grond voor nieuwe kabels en leidingen. Door de ouderdom van de buurt zijn alle warmteopties ingewikkeld en is de warmteoptie nog onduidelijk. Daarom is de hybride warmtepomp een oplossing. Hier kunnen warmtenetten komen,
 warmtepompen, of een mix.</t>
  </si>
  <si>
    <t>Visserijbuurt</t>
  </si>
  <si>
    <t>Vooroorlogse buurt waar huizen en gebouwen dicht op elkaar staan met weinig ruimte in de grond voor nieuwe kabels en leidingen. Door de ouderdom van de buurt zijn alle warmteopties ingewikkeld en is de warmteoptie nog onduidelijk. Daarom is de hybride warmtepomp een oplossing. Hier kunnen warmtenetten komen, warmtepompen, of een mix. In deze buurt is een groep van naoorlogs flats van de woningcorporatie rond de Sleepnetstraat. Hier is een lokaal warmtenet waarschijnlijk de meest logische
 optie.</t>
  </si>
  <si>
    <t>Vissershaven</t>
  </si>
  <si>
    <t>Gemengde buurt van vooroorlogse gebouwen, nieuwbouw en kantoren. Door de ouderdom van de buurt zijn alle warmteopties ingewikkeld en is de warmteoptie nog onduidelijk. Daarom is de hybride warmtepomp een oplossing. Hier kunnen warmtenetten komen, warmtepompen, of een mix. Er zijn mogelijk kansen voor lokale
 restwarmte van de bedrijven die vis verwerken.</t>
  </si>
  <si>
    <t>Vliegeniersbuurt</t>
  </si>
  <si>
    <t>In deze buurt is een bedrijventerrein. Een mix van warmtenetten en warmtepompen is hier logisch. Er zijn al bestaande aansluitingen op het warmtenet. Aansluiting op een
 toekomstige aardwarmtebron in Ypenburg is kansrijk.</t>
  </si>
  <si>
    <t>Uilebomen</t>
  </si>
  <si>
    <t>Vlietzoom-Oost</t>
  </si>
  <si>
    <t>Buitengebied met verschillende bouwjaren en een klein bedrijventerrein.</t>
  </si>
  <si>
    <t>Uilennest</t>
  </si>
  <si>
    <t>Vlietzoom-West</t>
  </si>
  <si>
    <t>v Hoytemastraat eo</t>
  </si>
  <si>
    <t>Vogelwijk</t>
  </si>
  <si>
    <t>Vooroorlogse buurt waar huizen en gebouwen ver van elkaar af staan met weinig ruimte in de grond voor nieuwe kabels en leidingen. Uit onderzoek van de gemeente blijkt dat een warmtenet hier goedkoper is dan warmtepompen. Een warmtenet wordt hier mogelijk kansrijk genoeg als gebouweigenaren tegelijk willen aansluiten op een
 warmtenet. Hybride warmtepompen zijn een oplossing.</t>
  </si>
  <si>
    <t>v Stolkpark/Schev Bosjes</t>
  </si>
  <si>
    <t>Voorhout (Deel van Voorhout)</t>
  </si>
  <si>
    <t>Gemengde buurt van kantoren, naoorlogse flats en vooroorlogse gebouwen met weinig ruimte in de grond voor nieuwe kabels en leidingen. Een paar bestaande warmtenetaansluitingen, weinig huizen van woningcorporaties. Overheden werken
 hier samen om hun gebouwen te verduurzamen in het project EnergieRijk Den Haag.</t>
  </si>
  <si>
    <t>Vrederust (Dreven en Gaarden en een deel van Zijden, Steden en Zichten)</t>
  </si>
  <si>
    <t>In deze buurt is de komende jaren veel sloop en nieuwbouw, waarbij de afstand tussen de gebouwen afneemt en er veel nieuwe huizen bij komen Een groot deel van de bestaande gebouwen en huizen blijven ook staan. Dat zijn naoorlogse, flats, grotendeels van woningcorporaties. Voor de bestaande gebouwen is het warmtenet een logische warmteoptie. De nieuwbouw wordt waarschijnlijk een mix van warmtepompen en warmtenetten met WKO. Er zijn al een paar gebouwen
 aangesloten op de aardwarmtebron aan de Leyweg.</t>
  </si>
  <si>
    <t>Venen/Oorden/Raden</t>
  </si>
  <si>
    <t>Vroondaal (Splitsing van
 Kraayenstein)</t>
  </si>
  <si>
    <t>Buitengebied met grotendeels jonge huizen die ver van elkaar af staan.</t>
  </si>
  <si>
    <t>Vruchtenbuurt (Samenvoeging van Vruchtenbuurt en Eykenduinen)</t>
  </si>
  <si>
    <t>Vooroorlogse buurt waar huizen en gebouwen dicht op elkaar staan met weinig ruimte in de grond voor nieuwe kabels en leidingen. In deze wijk is de Groene Mient gebouwd, een volledig duurzaam, ecologisch woonproject. In de buurt is een bewonersorganisatie actief die de mogelijkheden van een warmtenet heeft onderzocht. Daaruit blijkt dat er een bron beschikbaar is en dat een warmtenet kansrijk is. Voor een warmtenet sluiten bij voorkeur veel gebouweigenaren tegelijkertijd. De hybride warmtepomp is een oplossing. Hier kunnen warmtenetten
 komen, warmtepompen, of een mix.</t>
  </si>
  <si>
    <t>Waldeck-Noord</t>
  </si>
  <si>
    <t>Naoorlogse buurt waar huizen en gebouwen dicht op elkaar staan met weinig ruimte
 in de grond voor nieuwe kabels en leidingen. Weinig huizen van woningcorporaties.</t>
  </si>
  <si>
    <t>Waldeck-Zuid</t>
  </si>
  <si>
    <t>Naoorlogse buurt waar huizen en gebouwen dicht op elkaar staan en weinig ruimte in
 de grond voor nieuwe kabels en leidingen en veel huizen van woningcorporaties.</t>
  </si>
  <si>
    <t>Waterbuurt (Waterbuurt en
 een deel van Singels)</t>
  </si>
  <si>
    <t>Westbroekpark</t>
  </si>
  <si>
    <t>Vooroorlogse buurt waar huizen en gebouwen ver van elkaar af staan met weinig ruimte in de grond voor nieuwe kabels en leidingen. Door de ouderdom van de buurt zijn alle warmteopties ingewikkeld en is de warmteoptie nog onduidelijk. Daarom is de hybride warmtepomp een oplossing. Hier kunnen warmtenetten komen, warmtepompen, of een mix. Grondwater is hier beschermd. We houden daarmee
 rekening als we energie uit de grond halen.</t>
  </si>
  <si>
    <t>Willemspark</t>
  </si>
  <si>
    <t>Vooroorlogse buurt waar huizen en gebouwen dicht op elkaar staan met weinig ruimte in de grond voor nieuwe kabels en leidingen. Bestaand warmtenet in de buurt met een paar aansluitingen. Voor overige gebouwen is aansluiting op het bestaande warmtenet een optie, maar ingewikkeld vanwege weinig ruimte in de grond voor
 nieuwe kabels en leidingen en ouderdom van gebouwen. Daarom is de hybride warmtepomp een oplossing. Uiteindelijk kunnen hier warmtenetten komen,
 warmtepompen, of een mix.</t>
  </si>
  <si>
    <t>Voorhout</t>
  </si>
  <si>
    <t>Zeeheldenkwartier</t>
  </si>
  <si>
    <t>Grotendeels vooroorlogse buurt waar huizen en gebouwen dicht op elkaar staan met weinig ruimte in de grond voor nieuwe kabels en leidingen. Er zijn veel huizen van woningcorporaties en een bestaand warmtenet met een paar aansluitingen. Door de ouderdom van de buurt zijn alle warmteopties ingewikkeld en is de warmteoptie nog onduidelijk. Daarom is de hybride warmtepomp een oplossing. Hier kunnen
 warmtenetten komen, warmtepompen, of een mix.</t>
  </si>
  <si>
    <t>Vruchtenbuurt</t>
  </si>
  <si>
    <t>Zonneveld</t>
  </si>
  <si>
    <t>Jonge buurt waar huizen en gebouwen ver van elkaar af staan en weinig huizen van
 woningcorporaties zijn en weinig ruimte in de grond voor nieuwe kabels en leidingen.</t>
  </si>
  <si>
    <t>Waalsdorp</t>
  </si>
  <si>
    <t>Zorgvliet</t>
  </si>
  <si>
    <t>Gemengde buurt met vooroorlogse gebouwen waar huizen en gebouwen ver van elkaar af staan. Een paar naoorlogse kantoren zijn al aangesloten op een warmtenet.</t>
  </si>
  <si>
    <t>Zuiderpark</t>
  </si>
  <si>
    <t>In buurten met bijna geen gebouwen, zoals het Zuiderpark, zijn warmtepompen het
 meest logisch. Het Sportcomplex in het Zuiderpark is op een duurzame manier gebouwd.</t>
  </si>
  <si>
    <t>Zuidwal</t>
  </si>
  <si>
    <t>Zeer gemengde buurt van kantoren, naoorlogse flats en vooroorlogse gebouwen met weinig ruimte in de grond voor nieuwe kabels en leidingen. Er zijn een paar
 bestaande warmtenetaansluitingen en veel huizen van woningcorporaties.</t>
  </si>
  <si>
    <t>Waterbuurt</t>
  </si>
  <si>
    <t>Zijden/Steden/Zichten</t>
  </si>
  <si>
    <t>Zonne Veld</t>
  </si>
  <si>
    <t>BUILDING STOCK - OVERVIEW OF PARAMETERS</t>
  </si>
  <si>
    <t>BUILDING STOCK GROWTH (MODELLED AS GROWTH OF POST-2003 BUILDING TYPES) PER SCENARIO</t>
  </si>
  <si>
    <t>Residential buildings (new buildings only)</t>
  </si>
  <si>
    <t>Office buildings (old buildings only)</t>
  </si>
  <si>
    <t>2030</t>
  </si>
  <si>
    <t>RESIDENTIAL BUILDING STOCK RESEARCH</t>
  </si>
  <si>
    <t>HOUSEHOLD PROGNOSIS - THE HAGUE 2020-2050</t>
  </si>
  <si>
    <t>SOURCE - doc</t>
  </si>
  <si>
    <t>PBL/CBS Regionale bevolkings- en huishoudensprognose 2019–2050</t>
  </si>
  <si>
    <t>SOURCE -statline</t>
  </si>
  <si>
    <r>
      <rPr>
        <u/>
        <sz val="10"/>
        <color rgb="FF1155CC"/>
        <rFont val="Arial"/>
        <family val="2"/>
      </rPr>
      <t>StatLine</t>
    </r>
    <r>
      <rPr>
        <sz val="10"/>
        <color rgb="FF000000"/>
        <rFont val="Arial"/>
        <family val="2"/>
      </rPr>
      <t>, CBS</t>
    </r>
  </si>
  <si>
    <t>OLD vs. NEW RESIDENTIAL BUILDINGS IN STOCK</t>
  </si>
  <si>
    <t>SUMMARY OF RAW DATA</t>
  </si>
  <si>
    <t>Age class</t>
  </si>
  <si>
    <t>2020  floor space (km2)</t>
  </si>
  <si>
    <t>Year</t>
  </si>
  <si>
    <t>RESIDENTIAL BUILDING STOCK GROWTH PER SCENARIO</t>
  </si>
  <si>
    <t>New (≥ 2003)</t>
  </si>
  <si>
    <t>Amount of households (Centraal Bureau voor de Statistiek, 2021)</t>
  </si>
  <si>
    <t>Growth of total building stock</t>
  </si>
  <si>
    <t>Growth of post-2003 building stock</t>
  </si>
  <si>
    <t>Floor space of pre-2003 buildings (km2)</t>
  </si>
  <si>
    <t>Floor space of post-2003 buildings (km2)</t>
  </si>
  <si>
    <t>Old (&lt;2003)</t>
  </si>
  <si>
    <t>Lower estimate</t>
  </si>
  <si>
    <t>2020</t>
  </si>
  <si>
    <t>Prognosis</t>
  </si>
  <si>
    <t>Upper estimate</t>
  </si>
  <si>
    <t>SHARE OF  POST-2003 RESIDENTIAL BUILDINGS IN 2020 STOCK</t>
  </si>
  <si>
    <t>Household growth (2020 - )</t>
  </si>
  <si>
    <t>Household type</t>
  </si>
  <si>
    <t>Increase compared to 2020</t>
  </si>
  <si>
    <t>PROGNOSIS</t>
  </si>
  <si>
    <t>LOWER BOUNDARY 67% CONFIDENCE INTERVAL</t>
  </si>
  <si>
    <t>UPPER BOUNDARY 67% CONFIDENCE INTERVAL</t>
  </si>
  <si>
    <t>UNCERTAINTY IN GROWTH PERCENTAGE</t>
  </si>
  <si>
    <t>Couple</t>
  </si>
  <si>
    <t>One-parent</t>
  </si>
  <si>
    <t>Multi-person</t>
  </si>
  <si>
    <t>Single</t>
  </si>
  <si>
    <t>TOTAL</t>
  </si>
  <si>
    <t>DIFFERENCES</t>
  </si>
  <si>
    <t>Low</t>
  </si>
  <si>
    <t>Medium</t>
  </si>
  <si>
    <t>High</t>
  </si>
  <si>
    <t>OFFICE BUILDING STOCK RESEARCH</t>
  </si>
  <si>
    <t>OFFICE PROGNOSIS - THE HAGUE 2020-2050</t>
  </si>
  <si>
    <t>SOURCE</t>
  </si>
  <si>
    <t>OFFICE BUILDING STOCK GROWTH PER SCENARIO</t>
  </si>
  <si>
    <t>MAPPING TO MODEL SCENARIOS</t>
  </si>
  <si>
    <t>OFFICE GROWTH RATES FROM SOURCE LITERATURE</t>
  </si>
  <si>
    <t>Growth of office building stock, compared to 2020</t>
  </si>
  <si>
    <t>Growth of pre-2003 building stock</t>
  </si>
  <si>
    <t>OLD vs. NEW OFFICE BUILDINGS IN STOCK</t>
  </si>
  <si>
    <t>Model scenario</t>
  </si>
  <si>
    <t>Growth of office floor space, compared to 2020</t>
  </si>
  <si>
    <t>Rationale</t>
  </si>
  <si>
    <t>Scenario in source literature</t>
  </si>
  <si>
    <t>Growth of office space demand, compared to 2016</t>
  </si>
  <si>
    <t>Growth of office space demand, compared to 2020</t>
  </si>
  <si>
    <t>Average of the Low and High 2030 scenarios by CBS, with 10% additional shrinkage to account for the post-COVID hybrid working culture</t>
  </si>
  <si>
    <t>2030 - Low</t>
  </si>
  <si>
    <t>Low 2050 scenario by CBS, with 10% additional shrinkage to account for the post-COVID hybrid working culture</t>
  </si>
  <si>
    <t>2030 - High</t>
  </si>
  <si>
    <t>Average of the Low and High 2050 scenarios by CBS, with 10% additional shrinkage to account for the post-COVID hybrid working culture</t>
  </si>
  <si>
    <t>2050 - Low</t>
  </si>
  <si>
    <t>High 2050 scenario by CBS, with 10% additional shrinkage to account for the post-COVID hybrid working culture</t>
  </si>
  <si>
    <t>2050 - High</t>
  </si>
  <si>
    <t>TOTAL POPULATION AND GDP GROWTH - THE NETHERLANDS 2015-2050</t>
  </si>
  <si>
    <t>Nederland in 2030 en 2050: twee referentiescenario's</t>
  </si>
  <si>
    <t>Population growth</t>
  </si>
  <si>
    <t>GDP growth</t>
  </si>
  <si>
    <t>GDP per capita - growth</t>
  </si>
  <si>
    <t>CBD/PBL Prognosis</t>
  </si>
  <si>
    <t>2030: Low</t>
  </si>
  <si>
    <t>2030: High</t>
  </si>
  <si>
    <t>2050: Low</t>
  </si>
  <si>
    <t>2050: High</t>
  </si>
  <si>
    <t>Derived values used in model</t>
  </si>
  <si>
    <t>2050: Medium</t>
  </si>
  <si>
    <t>RAW DATA</t>
  </si>
  <si>
    <t xml:space="preserve">Source: PRODCOM </t>
  </si>
  <si>
    <t>DECL_LAB</t>
  </si>
  <si>
    <t>PERIOD_LAB</t>
  </si>
  <si>
    <t>PRCCODE_LAB</t>
  </si>
  <si>
    <t>INDICATORS_LAB</t>
  </si>
  <si>
    <t>INDICATOR_VALUE</t>
  </si>
  <si>
    <t>SUM of INDICATOR_VALUE</t>
  </si>
  <si>
    <t>Consumption of air conditioners</t>
  </si>
  <si>
    <t>Netherlands</t>
  </si>
  <si>
    <t>Jan.-Dec. 2002</t>
  </si>
  <si>
    <t>Window or wall air conditioning systems, self-contained or split-systems</t>
  </si>
  <si>
    <t>IMPVAL</t>
  </si>
  <si>
    <t>EXPVAL</t>
  </si>
  <si>
    <t>PRODVAL</t>
  </si>
  <si>
    <t>CONSUMPTION</t>
  </si>
  <si>
    <t>2002 - 2016</t>
  </si>
  <si>
    <t>2016 - 2021</t>
  </si>
  <si>
    <t>QNTUNIT</t>
  </si>
  <si>
    <t>p/st</t>
  </si>
  <si>
    <t>Jan.-Dec. 2003</t>
  </si>
  <si>
    <t>Jan.-Dec. 2004</t>
  </si>
  <si>
    <t>Jan.-Dec. 2005</t>
  </si>
  <si>
    <t>Jan.-Dec. 2006</t>
  </si>
  <si>
    <t>Jan.-Dec. 2007</t>
  </si>
  <si>
    <t>PRODQNT</t>
  </si>
  <si>
    <t>Jan.-Dec. 2008</t>
  </si>
  <si>
    <t>Jan.-Dec. 2009</t>
  </si>
  <si>
    <t>Jan.-Dec. 2010</t>
  </si>
  <si>
    <t>Jan.-Dec. 2011</t>
  </si>
  <si>
    <t>Jan.-Dec. 2012</t>
  </si>
  <si>
    <t>Jan.-Dec. 2013</t>
  </si>
  <si>
    <t>Jan.-Dec. 2014</t>
  </si>
  <si>
    <t>Jan.-Dec. 2015</t>
  </si>
  <si>
    <t>Jan.-Dec. 2016</t>
  </si>
  <si>
    <t>Jan.-Dec. 2017</t>
  </si>
  <si>
    <t>Jan.-Dec. 2018</t>
  </si>
  <si>
    <t>Jan.-Dec. 2019</t>
  </si>
  <si>
    <t>Jan.-Dec. 2020</t>
  </si>
  <si>
    <t>Jan.-Dec. 2021</t>
  </si>
  <si>
    <t>Jan.-Dec. 2022</t>
  </si>
  <si>
    <t>CDM SCENARIO DELTAS</t>
  </si>
  <si>
    <t>CALCULATED VALUES FROM KNMI</t>
  </si>
  <si>
    <t>KNMI DELTA (FROM KNMI '14 CLIMATE SCENARIOS)</t>
  </si>
  <si>
    <t>10-YEAR RELATIVE INCREASE (CALCULATED)</t>
  </si>
  <si>
    <t>10-YEAR ABSOLUTE INCREASE (CALCULATED)</t>
  </si>
  <si>
    <t>CDM DELTA BASED ON KNMI PROJECTIONS (CALCULATED)</t>
  </si>
  <si>
    <t>Method</t>
  </si>
  <si>
    <t>KNMI SCENARIOS &gt;</t>
  </si>
  <si>
    <t>Variable name</t>
  </si>
  <si>
    <t>KNMI model reference value (1981-2010)</t>
  </si>
  <si>
    <t>Note</t>
  </si>
  <si>
    <t>Gl</t>
  </si>
  <si>
    <t>Gh</t>
  </si>
  <si>
    <t>Wl</t>
  </si>
  <si>
    <t>Wh</t>
  </si>
  <si>
    <t>Type</t>
  </si>
  <si>
    <t>Annual average air temperature</t>
  </si>
  <si>
    <t>°C</t>
  </si>
  <si>
    <t>Climate signal 2021: increases 0.4 °C per decade</t>
  </si>
  <si>
    <t>Add delta to time series (only for subsurface temperature)</t>
  </si>
  <si>
    <t>Absolute (°C)</t>
  </si>
  <si>
    <t>Average air temperature  - spring</t>
  </si>
  <si>
    <t>Add delta to time series</t>
  </si>
  <si>
    <t>Average air temperature  - summer</t>
  </si>
  <si>
    <t>Average air temperature  - autumn</t>
  </si>
  <si>
    <t>Average air temperature  - winter</t>
  </si>
  <si>
    <t>Subsurface temperature</t>
  </si>
  <si>
    <t>No direct KNMI data available. After analysis of air-subsurface temperature correlation, air temperature growth is determined to be a suitable proxy</t>
  </si>
  <si>
    <t>Add delta to T_sub_C</t>
  </si>
  <si>
    <t>UHI - day</t>
  </si>
  <si>
    <t>No direct KNMI data available. Based on qualitative research. Refers to 2020.</t>
  </si>
  <si>
    <t>UHI - night</t>
  </si>
  <si>
    <t>Annual average solar radiation</t>
  </si>
  <si>
    <t>kJ/m2</t>
  </si>
  <si>
    <t>Multiply time series with delta</t>
  </si>
  <si>
    <t>Relative (% increase compared to CDM reference period)</t>
  </si>
  <si>
    <t>Solar radiation - summer</t>
  </si>
  <si>
    <t>Climate signal 2021: Increase 3% every decade</t>
  </si>
  <si>
    <t>Amount of summery days (&gt;25°C)</t>
  </si>
  <si>
    <t>count</t>
  </si>
  <si>
    <t>Check if similar count increase appears after inputting temperature changes in time series.</t>
  </si>
  <si>
    <t>REFERENCE PERIODS</t>
  </si>
  <si>
    <t>Model</t>
  </si>
  <si>
    <t>Start year</t>
  </si>
  <si>
    <t>End year</t>
  </si>
  <si>
    <t>Center of reference period</t>
  </si>
  <si>
    <t>KNMI</t>
  </si>
  <si>
    <t>CDM</t>
  </si>
  <si>
    <t>SEASONAL DIVIDE</t>
  </si>
  <si>
    <t>Season</t>
  </si>
  <si>
    <t>Start month</t>
  </si>
  <si>
    <t>End month</t>
  </si>
  <si>
    <t>Winter</t>
  </si>
  <si>
    <t>Spring</t>
  </si>
  <si>
    <t>Summer</t>
  </si>
  <si>
    <t>Autumn</t>
  </si>
  <si>
    <t>CARBON INTENSITIES OF THE DUTCH GRID</t>
  </si>
  <si>
    <t>SCENARIO MAPPING - BERENSCHOT PROJECTIONS TO MODEL</t>
  </si>
  <si>
    <t>Carbon intensity (g CO2eq/kWh)</t>
  </si>
  <si>
    <t>Source scenario name</t>
  </si>
  <si>
    <t>Source literature</t>
  </si>
  <si>
    <t>SQ (2020)</t>
  </si>
  <si>
    <t>CE Delft</t>
  </si>
  <si>
    <t>Climate and Energy Outlook for Netherlands 2030</t>
  </si>
  <si>
    <t>Klimaat- en Energieverkenning 2021</t>
  </si>
  <si>
    <t>2050 International</t>
  </si>
  <si>
    <t>Klimaatneutrale energiescenario’s 2050</t>
  </si>
  <si>
    <t>2050 Regional</t>
  </si>
  <si>
    <t>Assume no progress since 2030</t>
  </si>
  <si>
    <t>Sources</t>
  </si>
  <si>
    <t>Tables accesssed through</t>
  </si>
  <si>
    <t>Energy Transition Model</t>
  </si>
  <si>
    <t>Total production (PJ)</t>
  </si>
  <si>
    <t>Shares of total electricity mix</t>
  </si>
  <si>
    <t>Carbon intensities (g CO2eq/ kWh of grid electricity)</t>
  </si>
  <si>
    <t>Electricity source</t>
  </si>
  <si>
    <t>2050 National</t>
  </si>
  <si>
    <t>2050 European</t>
  </si>
  <si>
    <t>Emission factor (kg CO2eq/kWh)</t>
  </si>
  <si>
    <t>Biogas</t>
  </si>
  <si>
    <t>Coal gas</t>
  </si>
  <si>
    <t>Hydroelectric</t>
  </si>
  <si>
    <t>Hydrogen</t>
  </si>
  <si>
    <t>Imported electricity</t>
  </si>
  <si>
    <t>Natural gas</t>
  </si>
  <si>
    <t>Nuclear</t>
  </si>
  <si>
    <t>Residual waste</t>
  </si>
  <si>
    <t>Solid biomass</t>
  </si>
  <si>
    <t>Solar PV</t>
  </si>
  <si>
    <t>Solar PV (open ground)</t>
  </si>
  <si>
    <t>Solar PV (roof-panel)</t>
  </si>
  <si>
    <t>Wind</t>
  </si>
  <si>
    <t>Wind (offshore)</t>
  </si>
  <si>
    <t>Wind (onshore)</t>
  </si>
  <si>
    <t>EMISSION FACTORS OF ELECTRICITY PRODUCTION, BY SOURCE</t>
  </si>
  <si>
    <t>EMISSION FACTOR ASSIGNMENT</t>
  </si>
  <si>
    <t>Source:</t>
  </si>
  <si>
    <t>Ecoinvent 3.8</t>
  </si>
  <si>
    <t>Ecoinvent product</t>
  </si>
  <si>
    <t>Notes</t>
  </si>
  <si>
    <t>Activity Name</t>
  </si>
  <si>
    <t>Reference Product Name</t>
  </si>
  <si>
    <t>Geography</t>
  </si>
  <si>
    <t xml:space="preserve">ReCiPe Midpoint (H) V1.13 climate change GWP100 kg CO2-Eq Carbon footprint </t>
  </si>
  <si>
    <t>Electricity, high voltage, from heat and power co-generation, biogas, gas engine (NL)</t>
  </si>
  <si>
    <t>natural gas, burned in gas turbine, for compressor station</t>
  </si>
  <si>
    <t>electricity, medium voltage</t>
  </si>
  <si>
    <t>NL</t>
  </si>
  <si>
    <t>Electricity, high voltage, from treatment of coal gas, in power plant (NL)</t>
  </si>
  <si>
    <t>electricity production, wind, &lt;1MW turbine, onshore</t>
  </si>
  <si>
    <t>electricity, high voltage</t>
  </si>
  <si>
    <t>Electricity, high voltage, from electricity production, hydro, run-of-river (NL)</t>
  </si>
  <si>
    <t>electricity, high voltage, import from GB</t>
  </si>
  <si>
    <t>Green (wind-powered EU), from Green (wind-powered EU) (EU28)</t>
  </si>
  <si>
    <t xml:space="preserve">Hydrogen-based electricity is only used in the 2050 mixes, hence an all-green production method is assumed. </t>
  </si>
  <si>
    <t>electricity production, natural gas, conventional power plant</t>
  </si>
  <si>
    <t>The average emission factor of the  Dutch grid is used as a proxy</t>
  </si>
  <si>
    <t>electricity production, wind, 1-3MW turbine, offshore</t>
  </si>
  <si>
    <t>Electricity, high voltage, from electricity production, natural gas, conventional power plant (NL)</t>
  </si>
  <si>
    <t>electricity, high voltage, import from DE</t>
  </si>
  <si>
    <t>Electricity, high voltage, from electricity production, nuclear, pressure water reactor (NL)</t>
  </si>
  <si>
    <t>treatment of coal gas, in power plant</t>
  </si>
  <si>
    <t>Electricity, medium voltage, from electricity, from municipal waste incineration to generic market for electricity, medium voltage (NL)</t>
  </si>
  <si>
    <t>electricity, high voltage, import from BE</t>
  </si>
  <si>
    <t>Electricity, low voltage, from electricity production, photovoltaic, 3kWp slanted-roof installation, single-Si, panel, mounted (NL)</t>
  </si>
  <si>
    <t>electricity production, oil</t>
  </si>
  <si>
    <t>Electricity, low voltage, from electricity production, photovoltaic, 570kWp open ground installation, multi-Si (NL)</t>
  </si>
  <si>
    <t>All roof-installed solar panels are assumed to be Mono-Si.</t>
  </si>
  <si>
    <t>electricity production, natural gas, combined cycle power plant</t>
  </si>
  <si>
    <t>No emission factors for biomass available, biogas is taken as proxy</t>
  </si>
  <si>
    <t>electricity voltage transformation from medium to low voltage</t>
  </si>
  <si>
    <t>electricity, low voltage</t>
  </si>
  <si>
    <t>Electricity, high voltage, from electricity production, wind, 1-3MW turbine, onshore (NL)</t>
  </si>
  <si>
    <t>All on-land wind-turbines are assumed to be in the 1-3 MW category.</t>
  </si>
  <si>
    <t>heat and power co-generation, wood chips, 6667 kW, state-of-the-art 2014</t>
  </si>
  <si>
    <t>Electricity, high voltage, from electricity production, wind, 1-3MW turbine, offshore (NL)</t>
  </si>
  <si>
    <t>electricity production, hydro, run-of-river</t>
  </si>
  <si>
    <t>electricity production, wind, 1-3MW turbine, onshore</t>
  </si>
  <si>
    <t>electricity voltage transformation from high to medium voltage</t>
  </si>
  <si>
    <t>HYDROGEN PRODUCTION</t>
  </si>
  <si>
    <t>electricity production, photovoltaic, 3kWp slanted-roof installation, multi-Si, panel, mounted</t>
  </si>
  <si>
    <t>Source: (TNO, 2021)</t>
  </si>
  <si>
    <t>RESIDENTIAL ENERGY DEMAND PROJECTIONS (PJ)</t>
  </si>
  <si>
    <t>market for electricity, high voltage</t>
  </si>
  <si>
    <t>Production method</t>
  </si>
  <si>
    <t>Alternative name</t>
  </si>
  <si>
    <t>Life-cycle carbon footprint (kg CO2eq/MJ)</t>
  </si>
  <si>
    <t>Energy application</t>
  </si>
  <si>
    <t>electricity production, natural gas, 10MW</t>
  </si>
  <si>
    <t>SMR</t>
  </si>
  <si>
    <t>Gray</t>
  </si>
  <si>
    <t>Cooling</t>
  </si>
  <si>
    <t>electricity, from municipal waste incineration to generic market for electricity, medium voltage</t>
  </si>
  <si>
    <t xml:space="preserve">SMR CCS </t>
  </si>
  <si>
    <t>Blue</t>
  </si>
  <si>
    <t>Lighting</t>
  </si>
  <si>
    <t>electricity production, nuclear, pressure water reactor</t>
  </si>
  <si>
    <t>Alkaline offshore</t>
  </si>
  <si>
    <t>Green</t>
  </si>
  <si>
    <t>Cooking</t>
  </si>
  <si>
    <t>electricity production, wind, &gt;3MW turbine, onshore</t>
  </si>
  <si>
    <t>Appliances</t>
  </si>
  <si>
    <t>heat and power co-generation, natural gas, conventional power plant, 100MW electrical</t>
  </si>
  <si>
    <t>ELECTRICITY FROM HYDROGEN</t>
  </si>
  <si>
    <t>Hot water</t>
  </si>
  <si>
    <t>electricity, high voltage, import from NO</t>
  </si>
  <si>
    <t>Source: (Bicer et al., 2018)</t>
  </si>
  <si>
    <t>Heat</t>
  </si>
  <si>
    <t>electricity production, photovoltaic, 3kWp slanted-roof installation, single-Si, panel, mounted</t>
  </si>
  <si>
    <t>Hydrogen production method</t>
  </si>
  <si>
    <t>Life-cycle carbon footprint (kg CO2eq/kWh)</t>
  </si>
  <si>
    <t>Subtotal electricity</t>
  </si>
  <si>
    <t>electricity production, photovoltaic, 570kWp open ground installation, multi-Si</t>
  </si>
  <si>
    <t>Green (wind-powered EU)</t>
  </si>
  <si>
    <t>Subtotal heat</t>
  </si>
  <si>
    <t>market for electricity, medium voltage</t>
  </si>
  <si>
    <t>Gray (SMR)</t>
  </si>
  <si>
    <t>heat and power co-generation, hard coal</t>
  </si>
  <si>
    <t>Change electricity</t>
  </si>
  <si>
    <t>treatment of municipal solid waste, incineration</t>
  </si>
  <si>
    <t>electricity, for reuse in municipal waste incineration only</t>
  </si>
  <si>
    <t>VALUES USED IN MODEL</t>
  </si>
  <si>
    <t>Change heat</t>
  </si>
  <si>
    <t>heat and power co-generation, biogas, gas engine</t>
  </si>
  <si>
    <t>Scenario year</t>
  </si>
  <si>
    <t>Production mix</t>
  </si>
  <si>
    <t>Change total</t>
  </si>
  <si>
    <t>electricity production, hard coal</t>
  </si>
  <si>
    <t>100% gray</t>
  </si>
  <si>
    <t>treatment of blast furnace gas, in power plant</t>
  </si>
  <si>
    <t>50% gray, 50% green</t>
  </si>
  <si>
    <t>heat and power co-generation, natural gas, combined cycle power plant, 400MW electrical</t>
  </si>
  <si>
    <t>100% green</t>
  </si>
  <si>
    <t>market for electricity, low voltage</t>
  </si>
  <si>
    <t>heat and power co-generation, oil</t>
  </si>
  <si>
    <t>market for electricity, for reuse in municipal waste incineration only</t>
  </si>
  <si>
    <t>electricity, high voltage, production mix</t>
  </si>
  <si>
    <t/>
  </si>
  <si>
    <t>Introduction</t>
  </si>
  <si>
    <r>
      <t xml:space="preserve">This spreadsheet comprises the detailed research calculations supporting a MSc thesis in Industrial Ecology, focusing on residential and office cooling and their environmental impacts in The Hague, The Netherlands. Authored by Simon van Lierde and supervised by Dr. Ir. Peter Luscuere and Dr. Benjamin Sprecher, this spreadsheet was published at </t>
    </r>
    <r>
      <rPr>
        <u/>
        <sz val="10"/>
        <color theme="10"/>
        <rFont val="Arial"/>
        <family val="2"/>
        <scheme val="minor"/>
      </rPr>
      <t>https://zenodo.org/records/8344581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</si>
</sst>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0"/>
    <numFmt numFmtId="165" formatCode="#,##0.0"/>
    <numFmt numFmtId="166" formatCode="[$€]#,##0"/>
    <numFmt numFmtId="167" formatCode="0.000"/>
    <numFmt numFmtId="168" formatCode="#,##0.00000"/>
    <numFmt numFmtId="169" formatCode="0.0%"/>
    <numFmt numFmtId="170" formatCode="0.000000%"/>
    <numFmt numFmtId="171" formatCode="0.0E+00"/>
    <numFmt numFmtId="172" formatCode="0.0000%"/>
  </numFmts>
  <fonts count="38">
    <font>
      <sz val="10"/>
      <color rgb="FF000000"/>
      <name val="Arial"/>
      <scheme val="minor"/>
    </font>
    <font>
      <b/>
      <sz val="10"/>
      <color rgb="FFFFFFFF"/>
      <name val="Arial"/>
      <family val="2"/>
      <scheme val="minor"/>
    </font>
    <font>
      <sz val="10"/>
      <color theme="1"/>
      <name val="Arial"/>
      <family val="2"/>
      <scheme val="minor"/>
    </font>
    <font>
      <b/>
      <sz val="10"/>
      <color theme="1"/>
      <name val="Arial"/>
      <family val="2"/>
      <scheme val="minor"/>
    </font>
    <font>
      <sz val="10"/>
      <color theme="1"/>
      <name val="Arial"/>
      <family val="2"/>
      <scheme val="minor"/>
    </font>
    <font>
      <i/>
      <sz val="11"/>
      <color theme="1"/>
      <name val="Arial"/>
      <family val="2"/>
      <scheme val="minor"/>
    </font>
    <font>
      <b/>
      <sz val="10"/>
      <color rgb="FFFFFFFF"/>
      <name val="Arial"/>
      <family val="2"/>
    </font>
    <font>
      <u/>
      <sz val="11"/>
      <color rgb="FF0000FF"/>
      <name val="Calibri"/>
      <family val="2"/>
    </font>
    <font>
      <sz val="10"/>
      <color theme="1"/>
      <name val="Arial"/>
      <family val="2"/>
    </font>
    <font>
      <u/>
      <sz val="10"/>
      <color rgb="FF0000FF"/>
      <name val="Arial"/>
      <family val="2"/>
    </font>
    <font>
      <i/>
      <sz val="10"/>
      <color theme="1"/>
      <name val="Arial"/>
      <family val="2"/>
      <scheme val="minor"/>
    </font>
    <font>
      <u/>
      <sz val="10"/>
      <color rgb="FF0000FF"/>
      <name val="Arial"/>
      <family val="2"/>
    </font>
    <font>
      <b/>
      <u/>
      <sz val="10"/>
      <color rgb="FFFFFFFF"/>
      <name val="Arial"/>
      <family val="2"/>
    </font>
    <font>
      <sz val="9"/>
      <color rgb="FF000000"/>
      <name val="&quot;Akko Regular W01&quot;"/>
    </font>
    <font>
      <b/>
      <u/>
      <sz val="10"/>
      <color rgb="FFFFFFFF"/>
      <name val="Arial"/>
      <family val="2"/>
    </font>
    <font>
      <b/>
      <sz val="9"/>
      <color rgb="FFFFFFFF"/>
      <name val="Arial"/>
      <family val="2"/>
    </font>
    <font>
      <sz val="10"/>
      <color rgb="FF000000"/>
      <name val="Arial"/>
      <family val="2"/>
    </font>
    <font>
      <sz val="10"/>
      <color rgb="FF000000"/>
      <name val="Arial"/>
      <family val="2"/>
      <scheme val="minor"/>
    </font>
    <font>
      <b/>
      <sz val="10"/>
      <color rgb="FF333333"/>
      <name val="&quot;Helvetica Neue&quot;"/>
    </font>
    <font>
      <sz val="10"/>
      <color rgb="FF333333"/>
      <name val="&quot;Helvetica Neue&quot;"/>
    </font>
    <font>
      <sz val="12"/>
      <color rgb="FF000000"/>
      <name val="&quot;Times New Roman&quot;"/>
    </font>
    <font>
      <i/>
      <sz val="12"/>
      <color theme="1"/>
      <name val="Arial"/>
      <family val="2"/>
    </font>
    <font>
      <i/>
      <sz val="12"/>
      <color theme="1"/>
      <name val="Arial"/>
      <family val="2"/>
      <scheme val="minor"/>
    </font>
    <font>
      <b/>
      <sz val="10"/>
      <color theme="1"/>
      <name val="Arial"/>
      <family val="2"/>
    </font>
    <font>
      <u/>
      <sz val="10"/>
      <color rgb="FF0000FF"/>
      <name val="Arial"/>
      <family val="2"/>
    </font>
    <font>
      <b/>
      <sz val="10"/>
      <color rgb="FFFFFFFF"/>
      <name val="Arial"/>
      <family val="2"/>
      <scheme val="minor"/>
    </font>
    <font>
      <sz val="11"/>
      <color rgb="FF000000"/>
      <name val="Calibri"/>
      <family val="2"/>
    </font>
    <font>
      <sz val="10"/>
      <color rgb="FFFFFFFF"/>
      <name val="Arial"/>
      <family val="2"/>
      <scheme val="minor"/>
    </font>
    <font>
      <b/>
      <sz val="10"/>
      <color rgb="FF000000"/>
      <name val="Arial"/>
      <family val="2"/>
      <scheme val="minor"/>
    </font>
    <font>
      <u/>
      <sz val="10"/>
      <color rgb="FF0000FF"/>
      <name val="Arial"/>
      <family val="2"/>
    </font>
    <font>
      <sz val="12"/>
      <color theme="1"/>
      <name val="Arial"/>
      <family val="2"/>
      <scheme val="minor"/>
    </font>
    <font>
      <u/>
      <sz val="10"/>
      <color rgb="FF1155CC"/>
      <name val="Arial"/>
      <family val="2"/>
    </font>
    <font>
      <u/>
      <sz val="10"/>
      <color rgb="FF1155CC"/>
      <name val="Arial"/>
      <family val="2"/>
    </font>
    <font>
      <u/>
      <sz val="10"/>
      <color rgb="FF1155CC"/>
      <name val="Arial"/>
      <family val="2"/>
    </font>
    <font>
      <u/>
      <sz val="10"/>
      <color rgb="FF0000FF"/>
      <name val="Arial"/>
      <family val="2"/>
    </font>
    <font>
      <sz val="10"/>
      <color rgb="FF000000"/>
      <name val="Arial"/>
      <family val="2"/>
      <scheme val="minor"/>
    </font>
    <font>
      <u/>
      <sz val="10"/>
      <color theme="10"/>
      <name val="Arial"/>
      <family val="2"/>
      <scheme val="minor"/>
    </font>
    <font>
      <b/>
      <sz val="14"/>
      <color rgb="FF000000"/>
      <name val="Arial"/>
      <family val="2"/>
      <scheme val="minor"/>
    </font>
  </fonts>
  <fills count="25">
    <fill>
      <patternFill patternType="none"/>
    </fill>
    <fill>
      <patternFill patternType="gray125"/>
    </fill>
    <fill>
      <patternFill patternType="solid">
        <fgColor rgb="FF3C78D8"/>
        <bgColor rgb="FF3C78D8"/>
      </patternFill>
    </fill>
    <fill>
      <patternFill patternType="solid">
        <fgColor rgb="FF76A5AF"/>
        <bgColor rgb="FF76A5AF"/>
      </patternFill>
    </fill>
    <fill>
      <patternFill patternType="solid">
        <fgColor rgb="FF8E7CC3"/>
        <bgColor rgb="FF8E7CC3"/>
      </patternFill>
    </fill>
    <fill>
      <patternFill patternType="solid">
        <fgColor rgb="FF6D9EEB"/>
        <bgColor rgb="FF6D9EEB"/>
      </patternFill>
    </fill>
    <fill>
      <patternFill patternType="solid">
        <fgColor rgb="FFFFFFFF"/>
        <bgColor rgb="FFFFFFFF"/>
      </patternFill>
    </fill>
    <fill>
      <patternFill patternType="solid">
        <fgColor rgb="FF5B95F9"/>
        <bgColor rgb="FF5B95F9"/>
      </patternFill>
    </fill>
    <fill>
      <patternFill patternType="solid">
        <fgColor rgb="FFE8F0FE"/>
        <bgColor rgb="FFE8F0FE"/>
      </patternFill>
    </fill>
    <fill>
      <patternFill patternType="solid">
        <fgColor rgb="FF4471C4"/>
        <bgColor rgb="FF4471C4"/>
      </patternFill>
    </fill>
    <fill>
      <patternFill patternType="solid">
        <fgColor rgb="FFDCDCDC"/>
        <bgColor rgb="FFDCDCDC"/>
      </patternFill>
    </fill>
    <fill>
      <patternFill patternType="solid">
        <fgColor rgb="FFD9E1F3"/>
        <bgColor rgb="FFD9E1F3"/>
      </patternFill>
    </fill>
    <fill>
      <patternFill patternType="solid">
        <fgColor rgb="FFCFE2F3"/>
        <bgColor rgb="FFCFE2F3"/>
      </patternFill>
    </fill>
    <fill>
      <patternFill patternType="solid">
        <fgColor rgb="FFEA9999"/>
        <bgColor rgb="FFEA9999"/>
      </patternFill>
    </fill>
    <fill>
      <patternFill patternType="solid">
        <fgColor rgb="FF9FC5E8"/>
        <bgColor rgb="FF9FC5E8"/>
      </patternFill>
    </fill>
    <fill>
      <patternFill patternType="solid">
        <fgColor rgb="FFA4C2F4"/>
        <bgColor rgb="FFA4C2F4"/>
      </patternFill>
    </fill>
    <fill>
      <patternFill patternType="solid">
        <fgColor rgb="FFC9DAF8"/>
        <bgColor rgb="FFC9DAF8"/>
      </patternFill>
    </fill>
    <fill>
      <patternFill patternType="solid">
        <fgColor rgb="FFD5A6BD"/>
        <bgColor rgb="FFD5A6BD"/>
      </patternFill>
    </fill>
    <fill>
      <patternFill patternType="solid">
        <fgColor rgb="FFD9D2E9"/>
        <bgColor rgb="FFD9D2E9"/>
      </patternFill>
    </fill>
    <fill>
      <patternFill patternType="solid">
        <fgColor rgb="FFB4A7D6"/>
        <bgColor rgb="FFB4A7D6"/>
      </patternFill>
    </fill>
    <fill>
      <patternFill patternType="solid">
        <fgColor rgb="FFB6D7A8"/>
        <bgColor rgb="FFB6D7A8"/>
      </patternFill>
    </fill>
    <fill>
      <patternFill patternType="solid">
        <fgColor rgb="FFFFF2CC"/>
        <bgColor rgb="FFFFF2CC"/>
      </patternFill>
    </fill>
    <fill>
      <patternFill patternType="solid">
        <fgColor rgb="FFF9CB9C"/>
        <bgColor rgb="FFF9CB9C"/>
      </patternFill>
    </fill>
    <fill>
      <patternFill patternType="solid">
        <fgColor rgb="FF674EA7"/>
        <bgColor rgb="FF674EA7"/>
      </patternFill>
    </fill>
    <fill>
      <patternFill patternType="solid">
        <fgColor rgb="FFF5F5F5"/>
        <bgColor rgb="FFF5F5F5"/>
      </patternFill>
    </fill>
  </fills>
  <borders count="17">
    <border>
      <left/>
      <right/>
      <top/>
      <bottom/>
      <diagonal/>
    </border>
    <border>
      <left/>
      <right/>
      <top/>
      <bottom/>
      <diagonal/>
    </border>
    <border>
      <left/>
      <right style="thin">
        <color rgb="FF000000"/>
      </right>
      <top/>
      <bottom/>
      <diagonal/>
    </border>
    <border>
      <left/>
      <right/>
      <top style="thin">
        <color rgb="FF00000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9" fontId="17" fillId="0" borderId="0" applyFont="0" applyFill="0" applyBorder="0" applyAlignment="0" applyProtection="0"/>
  </cellStyleXfs>
  <cellXfs count="241">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9" fontId="2" fillId="0" borderId="0" xfId="0" applyNumberFormat="1" applyFont="1"/>
    <xf numFmtId="3" fontId="2" fillId="0" borderId="0" xfId="0" applyNumberFormat="1" applyFont="1"/>
    <xf numFmtId="0" fontId="1" fillId="2" borderId="0" xfId="0" applyFont="1" applyFill="1"/>
    <xf numFmtId="0" fontId="4" fillId="0" borderId="0" xfId="0" applyFont="1"/>
    <xf numFmtId="0" fontId="5" fillId="0" borderId="0" xfId="0" applyFont="1"/>
    <xf numFmtId="0" fontId="1" fillId="3" borderId="0" xfId="0" applyFont="1" applyFill="1"/>
    <xf numFmtId="164" fontId="1" fillId="4" borderId="0" xfId="0" applyNumberFormat="1" applyFont="1" applyFill="1"/>
    <xf numFmtId="0" fontId="1" fillId="4" borderId="0" xfId="0" applyFont="1" applyFill="1"/>
    <xf numFmtId="0" fontId="1" fillId="5" borderId="0" xfId="0" applyFont="1" applyFill="1"/>
    <xf numFmtId="0" fontId="6" fillId="5" borderId="1" xfId="0" applyFont="1" applyFill="1" applyBorder="1"/>
    <xf numFmtId="0" fontId="6" fillId="5" borderId="0" xfId="0" applyFont="1" applyFill="1"/>
    <xf numFmtId="164" fontId="6" fillId="3" borderId="0" xfId="0" applyNumberFormat="1" applyFont="1" applyFill="1"/>
    <xf numFmtId="0" fontId="6" fillId="3" borderId="0" xfId="0" applyFont="1" applyFill="1"/>
    <xf numFmtId="164" fontId="1" fillId="0" borderId="0" xfId="0" applyNumberFormat="1" applyFont="1"/>
    <xf numFmtId="0" fontId="6" fillId="4" borderId="0" xfId="0" applyFont="1" applyFill="1"/>
    <xf numFmtId="0" fontId="7" fillId="0" borderId="0" xfId="0" applyFont="1" applyAlignment="1">
      <alignment horizontal="left"/>
    </xf>
    <xf numFmtId="164" fontId="2" fillId="0" borderId="0" xfId="0" applyNumberFormat="1" applyFont="1"/>
    <xf numFmtId="1" fontId="2" fillId="0" borderId="0" xfId="0" applyNumberFormat="1" applyFont="1"/>
    <xf numFmtId="165" fontId="2" fillId="0" borderId="0" xfId="0" applyNumberFormat="1" applyFont="1"/>
    <xf numFmtId="166" fontId="2" fillId="0" borderId="0" xfId="0" applyNumberFormat="1" applyFont="1"/>
    <xf numFmtId="4" fontId="2" fillId="0" borderId="0" xfId="0" applyNumberFormat="1" applyFont="1"/>
    <xf numFmtId="167" fontId="8" fillId="6" borderId="0" xfId="0" applyNumberFormat="1" applyFont="1" applyFill="1" applyAlignment="1">
      <alignment horizontal="right"/>
    </xf>
    <xf numFmtId="167" fontId="2" fillId="0" borderId="0" xfId="0" applyNumberFormat="1" applyFont="1"/>
    <xf numFmtId="11" fontId="8" fillId="6" borderId="0" xfId="0" applyNumberFormat="1" applyFont="1" applyFill="1" applyAlignment="1">
      <alignment horizontal="right"/>
    </xf>
    <xf numFmtId="3" fontId="8" fillId="6" borderId="0" xfId="0" applyNumberFormat="1" applyFont="1" applyFill="1" applyAlignment="1">
      <alignment horizontal="right"/>
    </xf>
    <xf numFmtId="168" fontId="2" fillId="0" borderId="0" xfId="0" applyNumberFormat="1" applyFont="1"/>
    <xf numFmtId="0" fontId="1" fillId="0" borderId="2" xfId="0" applyFont="1" applyBorder="1"/>
    <xf numFmtId="9" fontId="2" fillId="0" borderId="2" xfId="0" applyNumberFormat="1" applyFont="1" applyBorder="1"/>
    <xf numFmtId="0" fontId="9" fillId="0" borderId="0" xfId="0" applyFont="1"/>
    <xf numFmtId="169" fontId="2" fillId="0" borderId="0" xfId="0" applyNumberFormat="1" applyFont="1"/>
    <xf numFmtId="0" fontId="10" fillId="0" borderId="0" xfId="0" applyFont="1"/>
    <xf numFmtId="0" fontId="2" fillId="0" borderId="0" xfId="0" applyFont="1" applyAlignment="1">
      <alignment horizontal="left"/>
    </xf>
    <xf numFmtId="170" fontId="2" fillId="0" borderId="0" xfId="0" applyNumberFormat="1" applyFont="1"/>
    <xf numFmtId="10" fontId="2" fillId="0" borderId="0" xfId="0" applyNumberFormat="1" applyFont="1"/>
    <xf numFmtId="0" fontId="11" fillId="0" borderId="0" xfId="0" applyFont="1"/>
    <xf numFmtId="0" fontId="12" fillId="0" borderId="0" xfId="0" applyFont="1"/>
    <xf numFmtId="2" fontId="2" fillId="0" borderId="0" xfId="0" applyNumberFormat="1" applyFont="1"/>
    <xf numFmtId="0" fontId="13" fillId="6" borderId="0" xfId="0" applyFont="1" applyFill="1" applyAlignment="1">
      <alignment horizontal="right"/>
    </xf>
    <xf numFmtId="0" fontId="14" fillId="0" borderId="0" xfId="0" applyFont="1"/>
    <xf numFmtId="0" fontId="15" fillId="0" borderId="0" xfId="0" applyFont="1" applyAlignment="1">
      <alignment horizontal="right"/>
    </xf>
    <xf numFmtId="9" fontId="3" fillId="0" borderId="0" xfId="0" applyNumberFormat="1" applyFont="1"/>
    <xf numFmtId="0" fontId="6" fillId="7" borderId="1" xfId="0" applyFont="1" applyFill="1" applyBorder="1"/>
    <xf numFmtId="0" fontId="6" fillId="7" borderId="0" xfId="0" applyFont="1" applyFill="1"/>
    <xf numFmtId="0" fontId="8" fillId="6" borderId="0" xfId="0" applyFont="1" applyFill="1" applyAlignment="1">
      <alignment horizontal="left"/>
    </xf>
    <xf numFmtId="164" fontId="8" fillId="6" borderId="0" xfId="0" applyNumberFormat="1" applyFont="1" applyFill="1" applyAlignment="1">
      <alignment horizontal="left"/>
    </xf>
    <xf numFmtId="0" fontId="8" fillId="8" borderId="0" xfId="0" applyFont="1" applyFill="1" applyAlignment="1">
      <alignment horizontal="left"/>
    </xf>
    <xf numFmtId="164" fontId="8" fillId="8" borderId="0" xfId="0" applyNumberFormat="1" applyFont="1" applyFill="1" applyAlignment="1">
      <alignment horizontal="left"/>
    </xf>
    <xf numFmtId="1" fontId="1" fillId="4" borderId="0" xfId="0" applyNumberFormat="1" applyFont="1" applyFill="1"/>
    <xf numFmtId="0" fontId="8" fillId="6" borderId="0" xfId="0" applyFont="1" applyFill="1" applyAlignment="1">
      <alignment horizontal="right"/>
    </xf>
    <xf numFmtId="1" fontId="8" fillId="6" borderId="0" xfId="0" applyNumberFormat="1" applyFont="1" applyFill="1" applyAlignment="1">
      <alignment horizontal="right"/>
    </xf>
    <xf numFmtId="0" fontId="16" fillId="6" borderId="0" xfId="0" applyFont="1" applyFill="1" applyAlignment="1">
      <alignment horizontal="left"/>
    </xf>
    <xf numFmtId="0" fontId="8" fillId="8" borderId="0" xfId="0" applyFont="1" applyFill="1" applyAlignment="1">
      <alignment horizontal="right"/>
    </xf>
    <xf numFmtId="1" fontId="8" fillId="8" borderId="0" xfId="0" applyNumberFormat="1" applyFont="1" applyFill="1" applyAlignment="1">
      <alignment horizontal="right"/>
    </xf>
    <xf numFmtId="9" fontId="8" fillId="6" borderId="0" xfId="0" applyNumberFormat="1" applyFont="1" applyFill="1" applyAlignment="1">
      <alignment horizontal="right"/>
    </xf>
    <xf numFmtId="0" fontId="17" fillId="0" borderId="0" xfId="0" applyFont="1"/>
    <xf numFmtId="0" fontId="16" fillId="8" borderId="0" xfId="0" applyFont="1" applyFill="1" applyAlignment="1">
      <alignment horizontal="left"/>
    </xf>
    <xf numFmtId="0" fontId="6" fillId="2" borderId="0" xfId="0" applyFont="1" applyFill="1"/>
    <xf numFmtId="0" fontId="8" fillId="2" borderId="0" xfId="0" applyFont="1" applyFill="1"/>
    <xf numFmtId="0" fontId="6" fillId="7" borderId="0" xfId="0" applyFont="1" applyFill="1" applyAlignment="1">
      <alignment horizontal="center" wrapText="1"/>
    </xf>
    <xf numFmtId="0" fontId="8" fillId="6" borderId="0" xfId="0" applyFont="1" applyFill="1" applyAlignment="1">
      <alignment wrapText="1"/>
    </xf>
    <xf numFmtId="0" fontId="8" fillId="6" borderId="0" xfId="0" applyFont="1" applyFill="1" applyAlignment="1">
      <alignment horizontal="center" vertical="top" wrapText="1"/>
    </xf>
    <xf numFmtId="0" fontId="8" fillId="6" borderId="0" xfId="0" applyFont="1" applyFill="1" applyAlignment="1">
      <alignment horizontal="center"/>
    </xf>
    <xf numFmtId="9" fontId="8" fillId="6" borderId="0" xfId="0" applyNumberFormat="1" applyFont="1" applyFill="1" applyAlignment="1">
      <alignment horizontal="center"/>
    </xf>
    <xf numFmtId="9" fontId="2" fillId="6" borderId="0" xfId="0" applyNumberFormat="1" applyFont="1" applyFill="1"/>
    <xf numFmtId="0" fontId="8" fillId="8" borderId="0" xfId="0" applyFont="1" applyFill="1" applyAlignment="1">
      <alignment wrapText="1"/>
    </xf>
    <xf numFmtId="0" fontId="8" fillId="8" borderId="0" xfId="0" applyFont="1" applyFill="1" applyAlignment="1">
      <alignment horizontal="center" vertical="top" wrapText="1"/>
    </xf>
    <xf numFmtId="0" fontId="8" fillId="8" borderId="0" xfId="0" applyFont="1" applyFill="1" applyAlignment="1">
      <alignment horizontal="center"/>
    </xf>
    <xf numFmtId="9" fontId="8" fillId="8" borderId="0" xfId="0" applyNumberFormat="1" applyFont="1" applyFill="1" applyAlignment="1">
      <alignment horizontal="center"/>
    </xf>
    <xf numFmtId="9" fontId="2" fillId="8" borderId="0" xfId="0" applyNumberFormat="1" applyFont="1" applyFill="1"/>
    <xf numFmtId="0" fontId="8" fillId="6" borderId="0" xfId="0" applyFont="1" applyFill="1" applyAlignment="1">
      <alignment horizontal="center" wrapText="1"/>
    </xf>
    <xf numFmtId="0" fontId="18" fillId="6" borderId="0" xfId="0" applyFont="1" applyFill="1"/>
    <xf numFmtId="0" fontId="19" fillId="6" borderId="0" xfId="0" applyFont="1" applyFill="1"/>
    <xf numFmtId="0" fontId="6" fillId="7" borderId="0" xfId="0" applyFont="1" applyFill="1" applyAlignment="1">
      <alignment horizontal="left"/>
    </xf>
    <xf numFmtId="0" fontId="20" fillId="0" borderId="0" xfId="0" applyFont="1"/>
    <xf numFmtId="0" fontId="8" fillId="0" borderId="0" xfId="0" applyFont="1"/>
    <xf numFmtId="4" fontId="8" fillId="0" borderId="0" xfId="0" applyNumberFormat="1" applyFont="1"/>
    <xf numFmtId="11" fontId="2" fillId="0" borderId="0" xfId="0" applyNumberFormat="1" applyFont="1"/>
    <xf numFmtId="0" fontId="21" fillId="0" borderId="0" xfId="0" applyFont="1"/>
    <xf numFmtId="0" fontId="22" fillId="0" borderId="0" xfId="0" applyFont="1"/>
    <xf numFmtId="11" fontId="1" fillId="0" borderId="0" xfId="0" applyNumberFormat="1" applyFont="1"/>
    <xf numFmtId="3" fontId="6" fillId="0" borderId="0" xfId="0" applyNumberFormat="1" applyFont="1"/>
    <xf numFmtId="167" fontId="6" fillId="3" borderId="0" xfId="0" applyNumberFormat="1" applyFont="1" applyFill="1"/>
    <xf numFmtId="167" fontId="6" fillId="4" borderId="0" xfId="0" applyNumberFormat="1" applyFont="1" applyFill="1"/>
    <xf numFmtId="167" fontId="6" fillId="0" borderId="0" xfId="0" applyNumberFormat="1" applyFont="1"/>
    <xf numFmtId="0" fontId="6" fillId="0" borderId="0" xfId="0" applyFont="1"/>
    <xf numFmtId="3" fontId="8" fillId="0" borderId="0" xfId="0" applyNumberFormat="1" applyFont="1"/>
    <xf numFmtId="2" fontId="8" fillId="0" borderId="0" xfId="0" applyNumberFormat="1" applyFont="1"/>
    <xf numFmtId="171" fontId="8" fillId="0" borderId="0" xfId="0" applyNumberFormat="1" applyFont="1"/>
    <xf numFmtId="0" fontId="3" fillId="0" borderId="3" xfId="0" applyFont="1" applyBorder="1"/>
    <xf numFmtId="3" fontId="23" fillId="0" borderId="3" xfId="0" applyNumberFormat="1" applyFont="1" applyBorder="1"/>
    <xf numFmtId="2" fontId="23" fillId="0" borderId="3" xfId="0" applyNumberFormat="1" applyFont="1" applyBorder="1"/>
    <xf numFmtId="4" fontId="23" fillId="0" borderId="3" xfId="0" applyNumberFormat="1" applyFont="1" applyBorder="1"/>
    <xf numFmtId="171" fontId="23" fillId="0" borderId="3" xfId="0" applyNumberFormat="1" applyFont="1" applyBorder="1"/>
    <xf numFmtId="0" fontId="2" fillId="0" borderId="3" xfId="0" applyFont="1" applyBorder="1"/>
    <xf numFmtId="3" fontId="2" fillId="0" borderId="3" xfId="0" applyNumberFormat="1" applyFont="1" applyBorder="1"/>
    <xf numFmtId="4" fontId="2" fillId="0" borderId="3" xfId="0" applyNumberFormat="1" applyFont="1" applyBorder="1"/>
    <xf numFmtId="11" fontId="2" fillId="0" borderId="3" xfId="0" applyNumberFormat="1" applyFont="1" applyBorder="1"/>
    <xf numFmtId="11" fontId="8" fillId="0" borderId="0" xfId="0" applyNumberFormat="1" applyFont="1"/>
    <xf numFmtId="10" fontId="8" fillId="0" borderId="0" xfId="0" applyNumberFormat="1" applyFont="1"/>
    <xf numFmtId="11" fontId="24" fillId="0" borderId="0" xfId="0" applyNumberFormat="1" applyFont="1"/>
    <xf numFmtId="11" fontId="23" fillId="0" borderId="0" xfId="0" applyNumberFormat="1" applyFont="1"/>
    <xf numFmtId="11" fontId="3" fillId="0" borderId="0" xfId="0" applyNumberFormat="1" applyFont="1"/>
    <xf numFmtId="11" fontId="6" fillId="7" borderId="0" xfId="0" applyNumberFormat="1" applyFont="1" applyFill="1"/>
    <xf numFmtId="165" fontId="8" fillId="6" borderId="0" xfId="0" applyNumberFormat="1" applyFont="1" applyFill="1" applyAlignment="1">
      <alignment horizontal="right"/>
    </xf>
    <xf numFmtId="0" fontId="8" fillId="6" borderId="0" xfId="0" applyFont="1" applyFill="1"/>
    <xf numFmtId="3" fontId="8" fillId="8" borderId="0" xfId="0" applyNumberFormat="1" applyFont="1" applyFill="1" applyAlignment="1">
      <alignment horizontal="right"/>
    </xf>
    <xf numFmtId="0" fontId="8" fillId="8" borderId="0" xfId="0" applyFont="1" applyFill="1"/>
    <xf numFmtId="0" fontId="23" fillId="0" borderId="0" xfId="0" applyFont="1"/>
    <xf numFmtId="1" fontId="23" fillId="0" borderId="0" xfId="0" applyNumberFormat="1" applyFont="1"/>
    <xf numFmtId="0" fontId="23" fillId="8" borderId="0" xfId="0" applyFont="1" applyFill="1"/>
    <xf numFmtId="1" fontId="23" fillId="8" borderId="0" xfId="0" applyNumberFormat="1" applyFont="1" applyFill="1" applyAlignment="1">
      <alignment horizontal="right"/>
    </xf>
    <xf numFmtId="3" fontId="3" fillId="0" borderId="0" xfId="0" applyNumberFormat="1" applyFont="1"/>
    <xf numFmtId="164" fontId="3" fillId="0" borderId="0" xfId="0" applyNumberFormat="1" applyFont="1"/>
    <xf numFmtId="169" fontId="3" fillId="0" borderId="0" xfId="0" applyNumberFormat="1" applyFont="1"/>
    <xf numFmtId="0" fontId="1" fillId="0" borderId="0" xfId="0" applyFont="1" applyAlignment="1">
      <alignment wrapText="1"/>
    </xf>
    <xf numFmtId="11" fontId="1" fillId="0" borderId="0" xfId="0" applyNumberFormat="1" applyFont="1" applyAlignment="1">
      <alignment wrapText="1"/>
    </xf>
    <xf numFmtId="0" fontId="6" fillId="7" borderId="0" xfId="0" applyFont="1" applyFill="1" applyAlignment="1">
      <alignment wrapText="1"/>
    </xf>
    <xf numFmtId="10" fontId="1" fillId="0" borderId="0" xfId="0" applyNumberFormat="1" applyFont="1"/>
    <xf numFmtId="1" fontId="3" fillId="0" borderId="0" xfId="0" applyNumberFormat="1" applyFont="1"/>
    <xf numFmtId="3" fontId="2" fillId="0" borderId="0" xfId="0" applyNumberFormat="1" applyFont="1" applyAlignment="1">
      <alignment wrapText="1"/>
    </xf>
    <xf numFmtId="172" fontId="2" fillId="0" borderId="0" xfId="0" applyNumberFormat="1" applyFont="1"/>
    <xf numFmtId="11" fontId="2" fillId="0" borderId="0" xfId="0" applyNumberFormat="1" applyFont="1" applyAlignment="1">
      <alignment wrapText="1"/>
    </xf>
    <xf numFmtId="0" fontId="25" fillId="9" borderId="0" xfId="0" applyFont="1" applyFill="1" applyAlignment="1">
      <alignment horizontal="left" vertical="top"/>
    </xf>
    <xf numFmtId="0" fontId="6" fillId="10" borderId="0" xfId="0" applyFont="1" applyFill="1"/>
    <xf numFmtId="0" fontId="4" fillId="11" borderId="0" xfId="0" applyFont="1" applyFill="1" applyAlignment="1">
      <alignment horizontal="left" vertical="top"/>
    </xf>
    <xf numFmtId="0" fontId="8" fillId="10" borderId="0" xfId="0" applyFont="1" applyFill="1"/>
    <xf numFmtId="0" fontId="26" fillId="0" borderId="0" xfId="0" applyFont="1" applyAlignment="1">
      <alignment horizontal="right"/>
    </xf>
    <xf numFmtId="0" fontId="4" fillId="0" borderId="0" xfId="0" applyFont="1" applyAlignment="1">
      <alignment horizontal="left" vertical="top"/>
    </xf>
    <xf numFmtId="0" fontId="26" fillId="0" borderId="0" xfId="0" applyFont="1"/>
    <xf numFmtId="10" fontId="1" fillId="5" borderId="0" xfId="0" applyNumberFormat="1" applyFont="1" applyFill="1"/>
    <xf numFmtId="49" fontId="2" fillId="12" borderId="0" xfId="0" applyNumberFormat="1" applyFont="1" applyFill="1"/>
    <xf numFmtId="9" fontId="2" fillId="12" borderId="0" xfId="0" applyNumberFormat="1" applyFont="1" applyFill="1"/>
    <xf numFmtId="0" fontId="1" fillId="13" borderId="0" xfId="0" applyFont="1" applyFill="1"/>
    <xf numFmtId="3" fontId="27" fillId="13" borderId="0" xfId="0" applyNumberFormat="1" applyFont="1" applyFill="1"/>
    <xf numFmtId="0" fontId="28" fillId="0" borderId="0" xfId="0" applyFont="1"/>
    <xf numFmtId="3" fontId="29" fillId="0" borderId="0" xfId="0" applyNumberFormat="1" applyFont="1"/>
    <xf numFmtId="164" fontId="8" fillId="0" borderId="0" xfId="0" applyNumberFormat="1" applyFont="1" applyAlignment="1">
      <alignment horizontal="right"/>
    </xf>
    <xf numFmtId="3" fontId="2" fillId="12" borderId="0" xfId="0" applyNumberFormat="1" applyFont="1" applyFill="1"/>
    <xf numFmtId="0" fontId="2" fillId="12" borderId="0" xfId="0" applyFont="1" applyFill="1"/>
    <xf numFmtId="1" fontId="2" fillId="12" borderId="0" xfId="0" applyNumberFormat="1" applyFont="1" applyFill="1"/>
    <xf numFmtId="0" fontId="2" fillId="15" borderId="0" xfId="0" applyFont="1" applyFill="1"/>
    <xf numFmtId="9" fontId="2" fillId="16" borderId="0" xfId="0" applyNumberFormat="1" applyFont="1" applyFill="1"/>
    <xf numFmtId="169" fontId="2" fillId="16" borderId="0" xfId="0" applyNumberFormat="1" applyFont="1" applyFill="1"/>
    <xf numFmtId="49" fontId="2" fillId="0" borderId="0" xfId="0" applyNumberFormat="1" applyFont="1"/>
    <xf numFmtId="49" fontId="3" fillId="0" borderId="0" xfId="0" applyNumberFormat="1" applyFont="1"/>
    <xf numFmtId="49" fontId="3" fillId="17" borderId="0" xfId="0" applyNumberFormat="1" applyFont="1" applyFill="1"/>
    <xf numFmtId="49" fontId="3" fillId="18" borderId="0" xfId="0" applyNumberFormat="1" applyFont="1" applyFill="1"/>
    <xf numFmtId="49" fontId="3" fillId="19" borderId="0" xfId="0" applyNumberFormat="1" applyFont="1" applyFill="1"/>
    <xf numFmtId="0" fontId="2" fillId="17" borderId="0" xfId="0" applyFont="1" applyFill="1"/>
    <xf numFmtId="0" fontId="2" fillId="16" borderId="0" xfId="0" applyFont="1" applyFill="1"/>
    <xf numFmtId="0" fontId="2" fillId="20" borderId="0" xfId="0" applyFont="1" applyFill="1"/>
    <xf numFmtId="0" fontId="27" fillId="13" borderId="0" xfId="0" applyFont="1" applyFill="1"/>
    <xf numFmtId="3" fontId="1" fillId="0" borderId="0" xfId="0" applyNumberFormat="1" applyFont="1"/>
    <xf numFmtId="164" fontId="2" fillId="12" borderId="0" xfId="0" applyNumberFormat="1" applyFont="1" applyFill="1"/>
    <xf numFmtId="0" fontId="2" fillId="0" borderId="0" xfId="0" applyFont="1" applyAlignment="1">
      <alignment horizontal="right"/>
    </xf>
    <xf numFmtId="3" fontId="3" fillId="0" borderId="0" xfId="0" applyNumberFormat="1" applyFont="1" applyAlignment="1">
      <alignment horizontal="right"/>
    </xf>
    <xf numFmtId="3" fontId="16" fillId="6" borderId="0" xfId="0" applyNumberFormat="1" applyFont="1" applyFill="1" applyAlignment="1">
      <alignment horizontal="left"/>
    </xf>
    <xf numFmtId="0" fontId="3" fillId="0" borderId="0" xfId="0" applyFont="1" applyAlignment="1">
      <alignment horizontal="right"/>
    </xf>
    <xf numFmtId="14" fontId="2" fillId="0" borderId="0" xfId="0" applyNumberFormat="1" applyFont="1"/>
    <xf numFmtId="0" fontId="2" fillId="21" borderId="0" xfId="0" applyFont="1" applyFill="1"/>
    <xf numFmtId="0" fontId="3" fillId="21" borderId="0" xfId="0" applyFont="1" applyFill="1"/>
    <xf numFmtId="0" fontId="30" fillId="13" borderId="0" xfId="0" applyFont="1" applyFill="1"/>
    <xf numFmtId="0" fontId="30" fillId="14" borderId="0" xfId="0" applyFont="1" applyFill="1"/>
    <xf numFmtId="0" fontId="30" fillId="19" borderId="0" xfId="0" applyFont="1" applyFill="1"/>
    <xf numFmtId="0" fontId="30" fillId="17" borderId="0" xfId="0" applyFont="1" applyFill="1"/>
    <xf numFmtId="0" fontId="30" fillId="20" borderId="0" xfId="0" applyFont="1" applyFill="1"/>
    <xf numFmtId="0" fontId="22" fillId="22" borderId="0" xfId="0" applyFont="1" applyFill="1"/>
    <xf numFmtId="0" fontId="30" fillId="22" borderId="0" xfId="0" applyFont="1" applyFill="1"/>
    <xf numFmtId="0" fontId="3" fillId="13" borderId="0" xfId="0" applyFont="1" applyFill="1"/>
    <xf numFmtId="0" fontId="3" fillId="14" borderId="0" xfId="0" applyFont="1" applyFill="1"/>
    <xf numFmtId="0" fontId="3" fillId="19" borderId="0" xfId="0" applyFont="1" applyFill="1"/>
    <xf numFmtId="0" fontId="3" fillId="17" borderId="0" xfId="0" applyFont="1" applyFill="1"/>
    <xf numFmtId="0" fontId="3" fillId="20" borderId="0" xfId="0" applyFont="1" applyFill="1"/>
    <xf numFmtId="0" fontId="3" fillId="22" borderId="0" xfId="0" applyFont="1" applyFill="1"/>
    <xf numFmtId="2" fontId="6" fillId="7" borderId="0" xfId="0" applyNumberFormat="1" applyFont="1" applyFill="1"/>
    <xf numFmtId="1" fontId="8" fillId="6" borderId="0" xfId="0" applyNumberFormat="1" applyFont="1" applyFill="1" applyAlignment="1">
      <alignment horizontal="left"/>
    </xf>
    <xf numFmtId="0" fontId="31" fillId="6" borderId="0" xfId="0" applyFont="1" applyFill="1"/>
    <xf numFmtId="0" fontId="32" fillId="6" borderId="0" xfId="0" applyFont="1" applyFill="1"/>
    <xf numFmtId="1" fontId="8" fillId="8" borderId="0" xfId="0" applyNumberFormat="1" applyFont="1" applyFill="1" applyAlignment="1">
      <alignment horizontal="left"/>
    </xf>
    <xf numFmtId="0" fontId="33" fillId="8" borderId="0" xfId="0" applyFont="1" applyFill="1"/>
    <xf numFmtId="1" fontId="8" fillId="8" borderId="0" xfId="0" applyNumberFormat="1" applyFont="1" applyFill="1"/>
    <xf numFmtId="1" fontId="8" fillId="6" borderId="0" xfId="0" applyNumberFormat="1" applyFont="1" applyFill="1"/>
    <xf numFmtId="0" fontId="34" fillId="0" borderId="0" xfId="0" applyFont="1"/>
    <xf numFmtId="0" fontId="1" fillId="23" borderId="0" xfId="0" applyFont="1" applyFill="1" applyAlignment="1">
      <alignment horizontal="left"/>
    </xf>
    <xf numFmtId="3" fontId="0" fillId="0" borderId="0" xfId="0" applyNumberFormat="1" applyAlignment="1">
      <alignment horizontal="right"/>
    </xf>
    <xf numFmtId="3" fontId="0" fillId="24" borderId="0" xfId="0" applyNumberFormat="1" applyFill="1" applyAlignment="1">
      <alignment horizontal="right"/>
    </xf>
    <xf numFmtId="0" fontId="2" fillId="5" borderId="0" xfId="0" applyFont="1" applyFill="1" applyAlignment="1">
      <alignment horizontal="left"/>
    </xf>
    <xf numFmtId="3" fontId="0" fillId="5" borderId="0" xfId="0" applyNumberFormat="1" applyFill="1" applyAlignment="1">
      <alignment horizontal="right"/>
    </xf>
    <xf numFmtId="169" fontId="2" fillId="5" borderId="0" xfId="0" applyNumberFormat="1" applyFont="1" applyFill="1"/>
    <xf numFmtId="2" fontId="2" fillId="5" borderId="0" xfId="0" applyNumberFormat="1" applyFont="1" applyFill="1"/>
    <xf numFmtId="0" fontId="2" fillId="15" borderId="0" xfId="0" applyFont="1" applyFill="1" applyAlignment="1">
      <alignment horizontal="left"/>
    </xf>
    <xf numFmtId="3" fontId="4" fillId="15" borderId="0" xfId="0" applyNumberFormat="1" applyFont="1" applyFill="1"/>
    <xf numFmtId="169" fontId="2" fillId="15" borderId="0" xfId="0" applyNumberFormat="1" applyFont="1" applyFill="1"/>
    <xf numFmtId="2" fontId="2" fillId="15" borderId="0" xfId="0" applyNumberFormat="1" applyFont="1" applyFill="1"/>
    <xf numFmtId="0" fontId="3" fillId="6" borderId="3" xfId="0" applyFont="1" applyFill="1" applyBorder="1"/>
    <xf numFmtId="3" fontId="3" fillId="6" borderId="3" xfId="0" applyNumberFormat="1" applyFont="1" applyFill="1" applyBorder="1"/>
    <xf numFmtId="9" fontId="3" fillId="6" borderId="3" xfId="0" applyNumberFormat="1" applyFont="1" applyFill="1" applyBorder="1"/>
    <xf numFmtId="1" fontId="3" fillId="6" borderId="3" xfId="0" applyNumberFormat="1" applyFont="1" applyFill="1" applyBorder="1"/>
    <xf numFmtId="0" fontId="6" fillId="0" borderId="0" xfId="0" applyFont="1" applyAlignment="1">
      <alignment horizontal="left"/>
    </xf>
    <xf numFmtId="9" fontId="6" fillId="0" borderId="0" xfId="0" applyNumberFormat="1" applyFont="1" applyAlignment="1">
      <alignment horizontal="left"/>
    </xf>
    <xf numFmtId="9" fontId="8" fillId="0" borderId="0" xfId="0" applyNumberFormat="1" applyFont="1"/>
    <xf numFmtId="4" fontId="8" fillId="0" borderId="0" xfId="0" applyNumberFormat="1" applyFont="1" applyAlignment="1">
      <alignment horizontal="right"/>
    </xf>
    <xf numFmtId="167" fontId="8" fillId="0" borderId="0" xfId="0" applyNumberFormat="1" applyFont="1" applyAlignment="1">
      <alignment horizontal="right"/>
    </xf>
    <xf numFmtId="0" fontId="0" fillId="0" borderId="4" xfId="0" pivotButton="1" applyBorder="1"/>
    <xf numFmtId="0" fontId="0" fillId="0" borderId="5" xfId="0" applyBorder="1"/>
    <xf numFmtId="0" fontId="0" fillId="0" borderId="6" xfId="0" applyBorder="1"/>
    <xf numFmtId="0" fontId="0" fillId="0" borderId="4" xfId="0" applyBorder="1"/>
    <xf numFmtId="0" fontId="0" fillId="0" borderId="7" xfId="0" applyBorder="1"/>
    <xf numFmtId="0" fontId="0" fillId="0" borderId="8" xfId="0" applyBorder="1"/>
    <xf numFmtId="0" fontId="0" fillId="0" borderId="9" xfId="0" applyBorder="1"/>
    <xf numFmtId="0" fontId="0" fillId="0" borderId="11" xfId="0" applyBorder="1"/>
    <xf numFmtId="10" fontId="0" fillId="0" borderId="8" xfId="0" applyNumberFormat="1" applyBorder="1"/>
    <xf numFmtId="10" fontId="0" fillId="0" borderId="10" xfId="0" applyNumberFormat="1" applyBorder="1"/>
    <xf numFmtId="0" fontId="0" fillId="0" borderId="14" xfId="0" applyBorder="1"/>
    <xf numFmtId="10" fontId="0" fillId="0" borderId="16" xfId="0" applyNumberFormat="1" applyBorder="1"/>
    <xf numFmtId="10" fontId="2" fillId="0" borderId="0" xfId="1" applyNumberFormat="1" applyFont="1"/>
    <xf numFmtId="0" fontId="0" fillId="0" borderId="0" xfId="0" applyAlignment="1">
      <alignment wrapText="1"/>
    </xf>
    <xf numFmtId="0" fontId="35" fillId="0" borderId="0" xfId="0" applyFont="1" applyAlignment="1">
      <alignment horizontal="left" wrapText="1"/>
    </xf>
    <xf numFmtId="0" fontId="0" fillId="0" borderId="0" xfId="0" applyAlignment="1">
      <alignment horizontal="left" wrapText="1"/>
    </xf>
    <xf numFmtId="0" fontId="6" fillId="7" borderId="0" xfId="0" applyFont="1" applyFill="1" applyAlignment="1">
      <alignment horizontal="center" wrapText="1"/>
    </xf>
    <xf numFmtId="0" fontId="0" fillId="0" borderId="0" xfId="0"/>
    <xf numFmtId="0" fontId="6" fillId="7" borderId="0" xfId="0" applyFont="1" applyFill="1" applyAlignment="1">
      <alignment horizontal="center"/>
    </xf>
    <xf numFmtId="0" fontId="2" fillId="14" borderId="0" xfId="0" applyFont="1" applyFill="1"/>
    <xf numFmtId="0" fontId="2" fillId="15" borderId="0" xfId="0" applyFont="1" applyFill="1"/>
    <xf numFmtId="0" fontId="0" fillId="0" borderId="4" xfId="0" applyNumberFormat="1" applyBorder="1"/>
    <xf numFmtId="0" fontId="0" fillId="0" borderId="7" xfId="0" applyNumberFormat="1" applyBorder="1"/>
    <xf numFmtId="0" fontId="0" fillId="0" borderId="9" xfId="0" applyNumberFormat="1" applyBorder="1"/>
    <xf numFmtId="0" fontId="0" fillId="0" borderId="1" xfId="0" applyNumberFormat="1" applyBorder="1"/>
    <xf numFmtId="0" fontId="0" fillId="0" borderId="14" xfId="0" applyNumberFormat="1" applyBorder="1"/>
    <xf numFmtId="0" fontId="0" fillId="0" borderId="15" xfId="0" applyNumberFormat="1" applyBorder="1"/>
    <xf numFmtId="0" fontId="0" fillId="0" borderId="8" xfId="0" applyNumberFormat="1" applyBorder="1"/>
    <xf numFmtId="0" fontId="0" fillId="0" borderId="10" xfId="0" applyNumberFormat="1" applyBorder="1"/>
    <xf numFmtId="0" fontId="0" fillId="0" borderId="11" xfId="0" applyNumberFormat="1" applyBorder="1"/>
    <xf numFmtId="0" fontId="0" fillId="0" borderId="12" xfId="0" applyNumberFormat="1" applyBorder="1"/>
    <xf numFmtId="0" fontId="0" fillId="0" borderId="13" xfId="0" applyNumberFormat="1" applyBorder="1"/>
    <xf numFmtId="0" fontId="37" fillId="0" borderId="0" xfId="0" applyFont="1"/>
  </cellXfs>
  <cellStyles count="2">
    <cellStyle name="Normal" xfId="0" builtinId="0"/>
    <cellStyle name="Per cent" xfId="1" builtinId="5"/>
  </cellStyles>
  <dxfs count="284">
    <dxf>
      <fill>
        <patternFill patternType="solid">
          <fgColor rgb="FFB7E1CD"/>
          <bgColor rgb="FFB7E1CD"/>
        </patternFill>
      </fill>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94">
    <tableStyle name="legend-style" pivot="0" count="3" xr9:uid="{00000000-0011-0000-FFFF-FFFF00000000}">
      <tableStyleElement type="headerRow" dxfId="283"/>
      <tableStyleElement type="firstRowStripe" dxfId="282"/>
      <tableStyleElement type="secondRowStripe" dxfId="281"/>
    </tableStyle>
    <tableStyle name="Cooling technologies-style" pivot="0" count="3" xr9:uid="{00000000-0011-0000-FFFF-FFFF01000000}">
      <tableStyleElement type="headerRow" dxfId="280"/>
      <tableStyleElement type="firstRowStripe" dxfId="279"/>
      <tableStyleElement type="secondRowStripe" dxfId="278"/>
    </tableStyle>
    <tableStyle name="Cooling technologies-style 2" pivot="0" count="3" xr9:uid="{00000000-0011-0000-FFFF-FFFF02000000}">
      <tableStyleElement type="headerRow" dxfId="277"/>
      <tableStyleElement type="firstRowStripe" dxfId="276"/>
      <tableStyleElement type="secondRowStripe" dxfId="275"/>
    </tableStyle>
    <tableStyle name="Cooling technologies-style 3" pivot="0" count="3" xr9:uid="{00000000-0011-0000-FFFF-FFFF03000000}">
      <tableStyleElement type="headerRow" dxfId="274"/>
      <tableStyleElement type="firstRowStripe" dxfId="273"/>
      <tableStyleElement type="secondRowStripe" dxfId="272"/>
    </tableStyle>
    <tableStyle name="Cooling technologies-style 4" pivot="0" count="3" xr9:uid="{00000000-0011-0000-FFFF-FFFF04000000}">
      <tableStyleElement type="headerRow" dxfId="271"/>
      <tableStyleElement type="firstRowStripe" dxfId="270"/>
      <tableStyleElement type="secondRowStripe" dxfId="269"/>
    </tableStyle>
    <tableStyle name="Cooling technologies-style 5" pivot="0" count="3" xr9:uid="{00000000-0011-0000-FFFF-FFFF05000000}">
      <tableStyleElement type="headerRow" dxfId="268"/>
      <tableStyleElement type="firstRowStripe" dxfId="267"/>
      <tableStyleElement type="secondRowStripe" dxfId="266"/>
    </tableStyle>
    <tableStyle name="Cooling technologies-style 6" pivot="0" count="3" xr9:uid="{00000000-0011-0000-FFFF-FFFF06000000}">
      <tableStyleElement type="headerRow" dxfId="265"/>
      <tableStyleElement type="firstRowStripe" dxfId="264"/>
      <tableStyleElement type="secondRowStripe" dxfId="263"/>
    </tableStyle>
    <tableStyle name="Cooling technologies-style 7" pivot="0" count="3" xr9:uid="{00000000-0011-0000-FFFF-FFFF07000000}">
      <tableStyleElement type="headerRow" dxfId="262"/>
      <tableStyleElement type="firstRowStripe" dxfId="261"/>
      <tableStyleElement type="secondRowStripe" dxfId="260"/>
    </tableStyle>
    <tableStyle name="Cooling technologies-style 8" pivot="0" count="3" xr9:uid="{00000000-0011-0000-FFFF-FFFF08000000}">
      <tableStyleElement type="headerRow" dxfId="259"/>
      <tableStyleElement type="firstRowStripe" dxfId="258"/>
      <tableStyleElement type="secondRowStripe" dxfId="257"/>
    </tableStyle>
    <tableStyle name="Cooling technologies-style 9" pivot="0" count="3" xr9:uid="{00000000-0011-0000-FFFF-FFFF09000000}">
      <tableStyleElement type="headerRow" dxfId="256"/>
      <tableStyleElement type="firstRowStripe" dxfId="255"/>
      <tableStyleElement type="secondRowStripe" dxfId="254"/>
    </tableStyle>
    <tableStyle name="Cooling technologies-style 10" pivot="0" count="3" xr9:uid="{00000000-0011-0000-FFFF-FFFF0A000000}">
      <tableStyleElement type="headerRow" dxfId="253"/>
      <tableStyleElement type="firstRowStripe" dxfId="252"/>
      <tableStyleElement type="secondRowStripe" dxfId="251"/>
    </tableStyle>
    <tableStyle name="Cooling technologies-style 11" pivot="0" count="3" xr9:uid="{00000000-0011-0000-FFFF-FFFF0B000000}">
      <tableStyleElement type="headerRow" dxfId="250"/>
      <tableStyleElement type="firstRowStripe" dxfId="249"/>
      <tableStyleElement type="secondRowStripe" dxfId="248"/>
    </tableStyle>
    <tableStyle name="Cooling technologies-style 12" pivot="0" count="3" xr9:uid="{00000000-0011-0000-FFFF-FFFF0C000000}">
      <tableStyleElement type="headerRow" dxfId="247"/>
      <tableStyleElement type="firstRowStripe" dxfId="246"/>
      <tableStyleElement type="secondRowStripe" dxfId="245"/>
    </tableStyle>
    <tableStyle name="Cooling technologies-style 13" pivot="0" count="3" xr9:uid="{00000000-0011-0000-FFFF-FFFF0D000000}">
      <tableStyleElement type="headerRow" dxfId="244"/>
      <tableStyleElement type="firstRowStripe" dxfId="243"/>
      <tableStyleElement type="secondRowStripe" dxfId="242"/>
    </tableStyle>
    <tableStyle name="Cooling technologies-style 14" pivot="0" count="3" xr9:uid="{00000000-0011-0000-FFFF-FFFF0E000000}">
      <tableStyleElement type="headerRow" dxfId="241"/>
      <tableStyleElement type="firstRowStripe" dxfId="240"/>
      <tableStyleElement type="secondRowStripe" dxfId="239"/>
    </tableStyle>
    <tableStyle name="Cooling technologies-style 15" pivot="0" count="3" xr9:uid="{00000000-0011-0000-FFFF-FFFF0F000000}">
      <tableStyleElement type="headerRow" dxfId="238"/>
      <tableStyleElement type="firstRowStripe" dxfId="237"/>
      <tableStyleElement type="secondRowStripe" dxfId="236"/>
    </tableStyle>
    <tableStyle name="Cooling technologies-style 16" pivot="0" count="3" xr9:uid="{00000000-0011-0000-FFFF-FFFF10000000}">
      <tableStyleElement type="headerRow" dxfId="235"/>
      <tableStyleElement type="firstRowStripe" dxfId="234"/>
      <tableStyleElement type="secondRowStripe" dxfId="233"/>
    </tableStyle>
    <tableStyle name="Cooling technologies-style 17" pivot="0" count="3" xr9:uid="{00000000-0011-0000-FFFF-FFFF11000000}">
      <tableStyleElement type="headerRow" dxfId="232"/>
      <tableStyleElement type="firstRowStripe" dxfId="231"/>
      <tableStyleElement type="secondRowStripe" dxfId="230"/>
    </tableStyle>
    <tableStyle name="Cooling technologies-style 18" pivot="0" count="3" xr9:uid="{00000000-0011-0000-FFFF-FFFF12000000}">
      <tableStyleElement type="headerRow" dxfId="229"/>
      <tableStyleElement type="firstRowStripe" dxfId="228"/>
      <tableStyleElement type="secondRowStripe" dxfId="227"/>
    </tableStyle>
    <tableStyle name="Cooling technologies-style 19" pivot="0" count="3" xr9:uid="{00000000-0011-0000-FFFF-FFFF13000000}">
      <tableStyleElement type="headerRow" dxfId="226"/>
      <tableStyleElement type="firstRowStripe" dxfId="225"/>
      <tableStyleElement type="secondRowStripe" dxfId="224"/>
    </tableStyle>
    <tableStyle name="Cooling technologies-style 20" pivot="0" count="3" xr9:uid="{00000000-0011-0000-FFFF-FFFF14000000}">
      <tableStyleElement type="headerRow" dxfId="223"/>
      <tableStyleElement type="firstRowStripe" dxfId="222"/>
      <tableStyleElement type="secondRowStripe" dxfId="221"/>
    </tableStyle>
    <tableStyle name="Cooling technologies-style 21" pivot="0" count="3" xr9:uid="{00000000-0011-0000-FFFF-FFFF15000000}">
      <tableStyleElement type="headerRow" dxfId="220"/>
      <tableStyleElement type="firstRowStripe" dxfId="219"/>
      <tableStyleElement type="secondRowStripe" dxfId="218"/>
    </tableStyle>
    <tableStyle name="Cooling technologies-style 22" pivot="0" count="3" xr9:uid="{00000000-0011-0000-FFFF-FFFF16000000}">
      <tableStyleElement type="headerRow" dxfId="217"/>
      <tableStyleElement type="firstRowStripe" dxfId="216"/>
      <tableStyleElement type="secondRowStripe" dxfId="215"/>
    </tableStyle>
    <tableStyle name="Cooling technologies-style 23" pivot="0" count="3" xr9:uid="{00000000-0011-0000-FFFF-FFFF17000000}">
      <tableStyleElement type="headerRow" dxfId="214"/>
      <tableStyleElement type="firstRowStripe" dxfId="213"/>
      <tableStyleElement type="secondRowStripe" dxfId="212"/>
    </tableStyle>
    <tableStyle name="Cooling technologies-style 24" pivot="0" count="3" xr9:uid="{00000000-0011-0000-FFFF-FFFF18000000}">
      <tableStyleElement type="headerRow" dxfId="211"/>
      <tableStyleElement type="firstRowStripe" dxfId="210"/>
      <tableStyleElement type="secondRowStripe" dxfId="209"/>
    </tableStyle>
    <tableStyle name="Cooling technologies-style 25" pivot="0" count="3" xr9:uid="{00000000-0011-0000-FFFF-FFFF19000000}">
      <tableStyleElement type="headerRow" dxfId="208"/>
      <tableStyleElement type="firstRowStripe" dxfId="207"/>
      <tableStyleElement type="secondRowStripe" dxfId="206"/>
    </tableStyle>
    <tableStyle name="Cooling technologies-style 26" pivot="0" count="3" xr9:uid="{00000000-0011-0000-FFFF-FFFF1A000000}">
      <tableStyleElement type="headerRow" dxfId="205"/>
      <tableStyleElement type="firstRowStripe" dxfId="204"/>
      <tableStyleElement type="secondRowStripe" dxfId="203"/>
    </tableStyle>
    <tableStyle name="Cooling technologies-style 27" pivot="0" count="3" xr9:uid="{00000000-0011-0000-FFFF-FFFF1B000000}">
      <tableStyleElement type="headerRow" dxfId="202"/>
      <tableStyleElement type="firstRowStripe" dxfId="201"/>
      <tableStyleElement type="secondRowStripe" dxfId="200"/>
    </tableStyle>
    <tableStyle name="Cooling technologies-style 28" pivot="0" count="3" xr9:uid="{00000000-0011-0000-FFFF-FFFF1C000000}">
      <tableStyleElement type="headerRow" dxfId="199"/>
      <tableStyleElement type="firstRowStripe" dxfId="198"/>
      <tableStyleElement type="secondRowStripe" dxfId="197"/>
    </tableStyle>
    <tableStyle name="Cooling technologies-style 29" pivot="0" count="3" xr9:uid="{00000000-0011-0000-FFFF-FFFF1D000000}">
      <tableStyleElement type="headerRow" dxfId="196"/>
      <tableStyleElement type="firstRowStripe" dxfId="195"/>
      <tableStyleElement type="secondRowStripe" dxfId="194"/>
    </tableStyle>
    <tableStyle name="Cooling technologies-style 30" pivot="0" count="3" xr9:uid="{00000000-0011-0000-FFFF-FFFF1E000000}">
      <tableStyleElement type="headerRow" dxfId="193"/>
      <tableStyleElement type="firstRowStripe" dxfId="192"/>
      <tableStyleElement type="secondRowStripe" dxfId="191"/>
    </tableStyle>
    <tableStyle name="Cooling technologies-style 31" pivot="0" count="3" xr9:uid="{00000000-0011-0000-FFFF-FFFF1F000000}">
      <tableStyleElement type="headerRow" dxfId="190"/>
      <tableStyleElement type="firstRowStripe" dxfId="189"/>
      <tableStyleElement type="secondRowStripe" dxfId="188"/>
    </tableStyle>
    <tableStyle name="Cooling technologies-style 32" pivot="0" count="3" xr9:uid="{00000000-0011-0000-FFFF-FFFF20000000}">
      <tableStyleElement type="headerRow" dxfId="187"/>
      <tableStyleElement type="firstRowStripe" dxfId="186"/>
      <tableStyleElement type="secondRowStripe" dxfId="185"/>
    </tableStyle>
    <tableStyle name="Cooling technologies-style 33" pivot="0" count="3" xr9:uid="{00000000-0011-0000-FFFF-FFFF21000000}">
      <tableStyleElement type="headerRow" dxfId="184"/>
      <tableStyleElement type="firstRowStripe" dxfId="183"/>
      <tableStyleElement type="secondRowStripe" dxfId="182"/>
    </tableStyle>
    <tableStyle name="Cooling technologies-style 34" pivot="0" count="3" xr9:uid="{00000000-0011-0000-FFFF-FFFF22000000}">
      <tableStyleElement type="headerRow" dxfId="181"/>
      <tableStyleElement type="firstRowStripe" dxfId="180"/>
      <tableStyleElement type="secondRowStripe" dxfId="179"/>
    </tableStyle>
    <tableStyle name="Cooling technologies-style 35" pivot="0" count="3" xr9:uid="{00000000-0011-0000-FFFF-FFFF23000000}">
      <tableStyleElement type="headerRow" dxfId="178"/>
      <tableStyleElement type="firstRowStripe" dxfId="177"/>
      <tableStyleElement type="secondRowStripe" dxfId="176"/>
    </tableStyle>
    <tableStyle name="Cooling technologies-style 36" pivot="0" count="2" xr9:uid="{00000000-0011-0000-FFFF-FFFF24000000}">
      <tableStyleElement type="firstRowStripe" dxfId="175"/>
      <tableStyleElement type="secondRowStripe" dxfId="174"/>
    </tableStyle>
    <tableStyle name="Cooling technologies-style 37" pivot="0" count="2" xr9:uid="{00000000-0011-0000-FFFF-FFFF25000000}">
      <tableStyleElement type="firstRowStripe" dxfId="173"/>
      <tableStyleElement type="secondRowStripe" dxfId="172"/>
    </tableStyle>
    <tableStyle name="Cooling technologies-style 38" pivot="0" count="2" xr9:uid="{00000000-0011-0000-FFFF-FFFF26000000}">
      <tableStyleElement type="firstRowStripe" dxfId="171"/>
      <tableStyleElement type="secondRowStripe" dxfId="170"/>
    </tableStyle>
    <tableStyle name="LCA results of ventilation syst-style" pivot="0" count="3" xr9:uid="{00000000-0011-0000-FFFF-FFFF27000000}">
      <tableStyleElement type="headerRow" dxfId="169"/>
      <tableStyleElement type="firstRowStripe" dxfId="168"/>
      <tableStyleElement type="secondRowStripe" dxfId="167"/>
    </tableStyle>
    <tableStyle name="LCA results of ventilation syst-style 2" pivot="0" count="3" xr9:uid="{00000000-0011-0000-FFFF-FFFF28000000}">
      <tableStyleElement type="headerRow" dxfId="166"/>
      <tableStyleElement type="firstRowStripe" dxfId="165"/>
      <tableStyleElement type="secondRowStripe" dxfId="164"/>
    </tableStyle>
    <tableStyle name="LCA results of ventilation syst-style 3" pivot="0" count="3" xr9:uid="{00000000-0011-0000-FFFF-FFFF29000000}">
      <tableStyleElement type="headerRow" dxfId="163"/>
      <tableStyleElement type="firstRowStripe" dxfId="162"/>
      <tableStyleElement type="secondRowStripe" dxfId="161"/>
    </tableStyle>
    <tableStyle name="LCA results of ventilation syst-style 4" pivot="0" count="3" xr9:uid="{00000000-0011-0000-FFFF-FFFF2A000000}">
      <tableStyleElement type="headerRow" dxfId="160"/>
      <tableStyleElement type="firstRowStripe" dxfId="159"/>
      <tableStyleElement type="secondRowStripe" dxfId="158"/>
    </tableStyle>
    <tableStyle name="LCA results of ventilation syst-style 5" pivot="0" count="3" xr9:uid="{00000000-0011-0000-FFFF-FFFF2B000000}">
      <tableStyleElement type="headerRow" dxfId="157"/>
      <tableStyleElement type="firstRowStripe" dxfId="156"/>
      <tableStyleElement type="secondRowStripe" dxfId="155"/>
    </tableStyle>
    <tableStyle name="LCA results of ventilation syst-style 6" pivot="0" count="3" xr9:uid="{00000000-0011-0000-FFFF-FFFF2C000000}">
      <tableStyleElement type="headerRow" dxfId="154"/>
      <tableStyleElement type="firstRowStripe" dxfId="153"/>
      <tableStyleElement type="secondRowStripe" dxfId="152"/>
    </tableStyle>
    <tableStyle name="LCA results of ventilation syst-style 7" pivot="0" count="3" xr9:uid="{00000000-0011-0000-FFFF-FFFF2D000000}">
      <tableStyleElement type="headerRow" dxfId="151"/>
      <tableStyleElement type="firstRowStripe" dxfId="150"/>
      <tableStyleElement type="secondRowStripe" dxfId="149"/>
    </tableStyle>
    <tableStyle name="LCA results of ventilation syst-style 8" pivot="0" count="3" xr9:uid="{00000000-0011-0000-FFFF-FFFF2E000000}">
      <tableStyleElement type="headerRow" dxfId="148"/>
      <tableStyleElement type="firstRowStripe" dxfId="147"/>
      <tableStyleElement type="secondRowStripe" dxfId="146"/>
    </tableStyle>
    <tableStyle name="LCA results of ventilation syst-style 9" pivot="0" count="3" xr9:uid="{00000000-0011-0000-FFFF-FFFF2F000000}">
      <tableStyleElement type="headerRow" dxfId="145"/>
      <tableStyleElement type="firstRowStripe" dxfId="144"/>
      <tableStyleElement type="secondRowStripe" dxfId="143"/>
    </tableStyle>
    <tableStyle name="LCA results of ventilation syst-style 10" pivot="0" count="3" xr9:uid="{00000000-0011-0000-FFFF-FFFF30000000}">
      <tableStyleElement type="headerRow" dxfId="142"/>
      <tableStyleElement type="firstRowStripe" dxfId="141"/>
      <tableStyleElement type="secondRowStripe" dxfId="140"/>
    </tableStyle>
    <tableStyle name="LCA results of ventilation syst-style 11" pivot="0" count="3" xr9:uid="{00000000-0011-0000-FFFF-FFFF31000000}">
      <tableStyleElement type="headerRow" dxfId="139"/>
      <tableStyleElement type="firstRowStripe" dxfId="138"/>
      <tableStyleElement type="secondRowStripe" dxfId="137"/>
    </tableStyle>
    <tableStyle name="LCA results of ventilation syst-style 12" pivot="0" count="3" xr9:uid="{00000000-0011-0000-FFFF-FFFF32000000}">
      <tableStyleElement type="headerRow" dxfId="136"/>
      <tableStyleElement type="firstRowStripe" dxfId="135"/>
      <tableStyleElement type="secondRowStripe" dxfId="134"/>
    </tableStyle>
    <tableStyle name="LCA results of ventilation syst-style 13" pivot="0" count="3" xr9:uid="{00000000-0011-0000-FFFF-FFFF33000000}">
      <tableStyleElement type="headerRow" dxfId="133"/>
      <tableStyleElement type="firstRowStripe" dxfId="132"/>
      <tableStyleElement type="secondRowStripe" dxfId="131"/>
    </tableStyle>
    <tableStyle name="LCA results of ventilation syst-style 14" pivot="0" count="3" xr9:uid="{00000000-0011-0000-FFFF-FFFF34000000}">
      <tableStyleElement type="headerRow" dxfId="130"/>
      <tableStyleElement type="firstRowStripe" dxfId="129"/>
      <tableStyleElement type="secondRowStripe" dxfId="128"/>
    </tableStyle>
    <tableStyle name="LCA results of ventilation syst-style 15" pivot="0" count="3" xr9:uid="{00000000-0011-0000-FFFF-FFFF35000000}">
      <tableStyleElement type="headerRow" dxfId="127"/>
      <tableStyleElement type="firstRowStripe" dxfId="126"/>
      <tableStyleElement type="secondRowStripe" dxfId="125"/>
    </tableStyle>
    <tableStyle name="LCA results of ventilation syst-style 16" pivot="0" count="3" xr9:uid="{00000000-0011-0000-FFFF-FFFF36000000}">
      <tableStyleElement type="headerRow" dxfId="124"/>
      <tableStyleElement type="firstRowStripe" dxfId="123"/>
      <tableStyleElement type="secondRowStripe" dxfId="122"/>
    </tableStyle>
    <tableStyle name="Material scarcity-style" pivot="0" count="3" xr9:uid="{00000000-0011-0000-FFFF-FFFF37000000}">
      <tableStyleElement type="headerRow" dxfId="121"/>
      <tableStyleElement type="firstRowStripe" dxfId="120"/>
      <tableStyleElement type="secondRowStripe" dxfId="119"/>
    </tableStyle>
    <tableStyle name="Material scarcity-style 2" pivot="0" count="3" xr9:uid="{00000000-0011-0000-FFFF-FFFF38000000}">
      <tableStyleElement type="headerRow" dxfId="118"/>
      <tableStyleElement type="firstRowStripe" dxfId="117"/>
      <tableStyleElement type="secondRowStripe" dxfId="116"/>
    </tableStyle>
    <tableStyle name="Material scarcity-style 3" pivot="0" count="3" xr9:uid="{00000000-0011-0000-FFFF-FFFF39000000}">
      <tableStyleElement type="headerRow" dxfId="115"/>
      <tableStyleElement type="firstRowStripe" dxfId="114"/>
      <tableStyleElement type="secondRowStripe" dxfId="113"/>
    </tableStyle>
    <tableStyle name="Material scarcity-style 4" pivot="0" count="3" xr9:uid="{00000000-0011-0000-FFFF-FFFF3A000000}">
      <tableStyleElement type="headerRow" dxfId="112"/>
      <tableStyleElement type="firstRowStripe" dxfId="111"/>
      <tableStyleElement type="secondRowStripe" dxfId="110"/>
    </tableStyle>
    <tableStyle name="Material scarcity-style 5" pivot="0" count="3" xr9:uid="{00000000-0011-0000-FFFF-FFFF3B000000}">
      <tableStyleElement type="headerRow" dxfId="109"/>
      <tableStyleElement type="firstRowStripe" dxfId="108"/>
      <tableStyleElement type="secondRowStripe" dxfId="107"/>
    </tableStyle>
    <tableStyle name="Material scarcity-style 6" pivot="0" count="3" xr9:uid="{00000000-0011-0000-FFFF-FFFF3C000000}">
      <tableStyleElement type="headerRow" dxfId="106"/>
      <tableStyleElement type="firstRowStripe" dxfId="105"/>
      <tableStyleElement type="secondRowStripe" dxfId="104"/>
    </tableStyle>
    <tableStyle name="Material scarcity-style 7" pivot="0" count="3" xr9:uid="{00000000-0011-0000-FFFF-FFFF3D000000}">
      <tableStyleElement type="headerRow" dxfId="103"/>
      <tableStyleElement type="firstRowStripe" dxfId="102"/>
      <tableStyleElement type="secondRowStripe" dxfId="101"/>
    </tableStyle>
    <tableStyle name="Material scarcity-style 8" pivot="0" count="3" xr9:uid="{00000000-0011-0000-FFFF-FFFF3E000000}">
      <tableStyleElement type="headerRow" dxfId="100"/>
      <tableStyleElement type="firstRowStripe" dxfId="99"/>
      <tableStyleElement type="secondRowStripe" dxfId="98"/>
    </tableStyle>
    <tableStyle name="Material scarcity-style 9" pivot="0" count="3" xr9:uid="{00000000-0011-0000-FFFF-FFFF3F000000}">
      <tableStyleElement type="headerRow" dxfId="97"/>
      <tableStyleElement type="firstRowStripe" dxfId="96"/>
      <tableStyleElement type="secondRowStripe" dxfId="95"/>
    </tableStyle>
    <tableStyle name="Material scarcity-style 10" pivot="0" count="3" xr9:uid="{00000000-0011-0000-FFFF-FFFF40000000}">
      <tableStyleElement type="headerRow" dxfId="94"/>
      <tableStyleElement type="firstRowStripe" dxfId="93"/>
      <tableStyleElement type="secondRowStripe" dxfId="92"/>
    </tableStyle>
    <tableStyle name="Material scarcity-style 11" pivot="0" count="3" xr9:uid="{00000000-0011-0000-FFFF-FFFF41000000}">
      <tableStyleElement type="headerRow" dxfId="91"/>
      <tableStyleElement type="firstRowStripe" dxfId="90"/>
      <tableStyleElement type="secondRowStripe" dxfId="89"/>
    </tableStyle>
    <tableStyle name="Material scarcity-style 12" pivot="0" count="3" xr9:uid="{00000000-0011-0000-FFFF-FFFF42000000}">
      <tableStyleElement type="headerRow" dxfId="88"/>
      <tableStyleElement type="firstRowStripe" dxfId="87"/>
      <tableStyleElement type="secondRowStripe" dxfId="86"/>
    </tableStyle>
    <tableStyle name="Material scarcity-style 13" pivot="0" count="3" xr9:uid="{00000000-0011-0000-FFFF-FFFF43000000}">
      <tableStyleElement type="headerRow" dxfId="85"/>
      <tableStyleElement type="firstRowStripe" dxfId="84"/>
      <tableStyleElement type="secondRowStripe" dxfId="83"/>
    </tableStyle>
    <tableStyle name="Material scarcity-style 14" pivot="0" count="3" xr9:uid="{00000000-0011-0000-FFFF-FFFF44000000}">
      <tableStyleElement type="headerRow" dxfId="82"/>
      <tableStyleElement type="firstRowStripe" dxfId="81"/>
      <tableStyleElement type="secondRowStripe" dxfId="80"/>
    </tableStyle>
    <tableStyle name="Material scarcity-style 15" pivot="0" count="3" xr9:uid="{00000000-0011-0000-FFFF-FFFF45000000}">
      <tableStyleElement type="headerRow" dxfId="79"/>
      <tableStyleElement type="firstRowStripe" dxfId="78"/>
      <tableStyleElement type="secondRowStripe" dxfId="77"/>
    </tableStyle>
    <tableStyle name="Material scarcity-style 16" pivot="0" count="3" xr9:uid="{00000000-0011-0000-FFFF-FFFF46000000}">
      <tableStyleElement type="headerRow" dxfId="76"/>
      <tableStyleElement type="firstRowStripe" dxfId="75"/>
      <tableStyleElement type="secondRowStripe" dxfId="74"/>
    </tableStyle>
    <tableStyle name="Material scarcity-style 17" pivot="0" count="3" xr9:uid="{00000000-0011-0000-FFFF-FFFF47000000}">
      <tableStyleElement type="headerRow" dxfId="73"/>
      <tableStyleElement type="firstRowStripe" dxfId="72"/>
      <tableStyleElement type="secondRowStripe" dxfId="71"/>
    </tableStyle>
    <tableStyle name="Material scarcity-style 18" pivot="0" count="3" xr9:uid="{00000000-0011-0000-FFFF-FFFF48000000}">
      <tableStyleElement type="headerRow" dxfId="70"/>
      <tableStyleElement type="firstRowStripe" dxfId="69"/>
      <tableStyleElement type="secondRowStripe" dxfId="68"/>
    </tableStyle>
    <tableStyle name="Material scarcity-style 19" pivot="0" count="3" xr9:uid="{00000000-0011-0000-FFFF-FFFF49000000}">
      <tableStyleElement type="headerRow" dxfId="67"/>
      <tableStyleElement type="firstRowStripe" dxfId="66"/>
      <tableStyleElement type="secondRowStripe" dxfId="65"/>
    </tableStyle>
    <tableStyle name="Heat plans per neighbourhood-style" pivot="0" count="3" xr9:uid="{00000000-0011-0000-FFFF-FFFF4A000000}">
      <tableStyleElement type="headerRow" dxfId="64"/>
      <tableStyleElement type="firstRowStripe" dxfId="63"/>
      <tableStyleElement type="secondRowStripe" dxfId="62"/>
    </tableStyle>
    <tableStyle name="Heat plans per neighbourhood-style 2" pivot="0" count="3" xr9:uid="{00000000-0011-0000-FFFF-FFFF4B000000}">
      <tableStyleElement type="headerRow" dxfId="61"/>
      <tableStyleElement type="firstRowStripe" dxfId="60"/>
      <tableStyleElement type="secondRowStripe" dxfId="59"/>
    </tableStyle>
    <tableStyle name="Heat plans per neighbourhood-style 3" pivot="0" count="3" xr9:uid="{00000000-0011-0000-FFFF-FFFF4C000000}">
      <tableStyleElement type="headerRow" dxfId="58"/>
      <tableStyleElement type="firstRowStripe" dxfId="57"/>
      <tableStyleElement type="secondRowStripe" dxfId="56"/>
    </tableStyle>
    <tableStyle name="Heat plans per neighbourhood-style 4" pivot="0" count="3" xr9:uid="{00000000-0011-0000-FFFF-FFFF4D000000}">
      <tableStyleElement type="headerRow" dxfId="55"/>
      <tableStyleElement type="firstRowStripe" dxfId="54"/>
      <tableStyleElement type="secondRowStripe" dxfId="53"/>
    </tableStyle>
    <tableStyle name="Heat plans per neighbourhood-style 5" pivot="0" count="3" xr9:uid="{00000000-0011-0000-FFFF-FFFF4E000000}">
      <tableStyleElement type="headerRow" dxfId="52"/>
      <tableStyleElement type="firstRowStripe" dxfId="51"/>
      <tableStyleElement type="secondRowStripe" dxfId="50"/>
    </tableStyle>
    <tableStyle name="Building stock-style" pivot="0" count="3" xr9:uid="{00000000-0011-0000-FFFF-FFFF4F000000}">
      <tableStyleElement type="headerRow" dxfId="49"/>
      <tableStyleElement type="firstRowStripe" dxfId="48"/>
      <tableStyleElement type="secondRowStripe" dxfId="47"/>
    </tableStyle>
    <tableStyle name="Building stock-style 2" pivot="0" count="3" xr9:uid="{00000000-0011-0000-FFFF-FFFF50000000}">
      <tableStyleElement type="headerRow" dxfId="46"/>
      <tableStyleElement type="firstRowStripe" dxfId="45"/>
      <tableStyleElement type="secondRowStripe" dxfId="44"/>
    </tableStyle>
    <tableStyle name="Building stock-style 3" pivot="0" count="3" xr9:uid="{00000000-0011-0000-FFFF-FFFF51000000}">
      <tableStyleElement type="headerRow" dxfId="43"/>
      <tableStyleElement type="firstRowStripe" dxfId="42"/>
      <tableStyleElement type="secondRowStripe" dxfId="41"/>
    </tableStyle>
    <tableStyle name="Building stock-style 4" pivot="0" count="3" xr9:uid="{00000000-0011-0000-FFFF-FFFF52000000}">
      <tableStyleElement type="headerRow" dxfId="40"/>
      <tableStyleElement type="firstRowStripe" dxfId="39"/>
      <tableStyleElement type="secondRowStripe" dxfId="38"/>
    </tableStyle>
    <tableStyle name="Building stock-style 5" pivot="0" count="3" xr9:uid="{00000000-0011-0000-FFFF-FFFF53000000}">
      <tableStyleElement type="headerRow" dxfId="37"/>
      <tableStyleElement type="firstRowStripe" dxfId="36"/>
      <tableStyleElement type="secondRowStripe" dxfId="35"/>
    </tableStyle>
    <tableStyle name="Building stock-style 6" pivot="0" count="3" xr9:uid="{00000000-0011-0000-FFFF-FFFF54000000}">
      <tableStyleElement type="headerRow" dxfId="34"/>
      <tableStyleElement type="firstRowStripe" dxfId="33"/>
      <tableStyleElement type="secondRowStripe" dxfId="32"/>
    </tableStyle>
    <tableStyle name="AC market-style" pivot="0" count="3" xr9:uid="{00000000-0011-0000-FFFF-FFFF55000000}">
      <tableStyleElement type="headerRow" dxfId="31"/>
      <tableStyleElement type="firstRowStripe" dxfId="30"/>
      <tableStyleElement type="secondRowStripe" dxfId="29"/>
    </tableStyle>
    <tableStyle name="AC market-style 2" pivot="0" count="3" xr9:uid="{00000000-0011-0000-FFFF-FFFF56000000}">
      <tableStyleElement type="headerRow" dxfId="28"/>
      <tableStyleElement type="firstRowStripe" dxfId="27"/>
      <tableStyleElement type="secondRowStripe" dxfId="26"/>
    </tableStyle>
    <tableStyle name="Electricity mix analysis-style" pivot="0" count="3" xr9:uid="{00000000-0011-0000-FFFF-FFFF57000000}">
      <tableStyleElement type="headerRow" dxfId="25"/>
      <tableStyleElement type="firstRowStripe" dxfId="24"/>
      <tableStyleElement type="secondRowStripe" dxfId="23"/>
    </tableStyle>
    <tableStyle name="Electricity mix analysis-style 2" pivot="0" count="3" xr9:uid="{00000000-0011-0000-FFFF-FFFF58000000}">
      <tableStyleElement type="headerRow" dxfId="22"/>
      <tableStyleElement type="firstRowStripe" dxfId="21"/>
      <tableStyleElement type="secondRowStripe" dxfId="20"/>
    </tableStyle>
    <tableStyle name="Electricity mix analysis-style 3" pivot="0" count="3" xr9:uid="{00000000-0011-0000-FFFF-FFFF59000000}">
      <tableStyleElement type="headerRow" dxfId="19"/>
      <tableStyleElement type="firstRowStripe" dxfId="18"/>
      <tableStyleElement type="secondRowStripe" dxfId="17"/>
    </tableStyle>
    <tableStyle name="Electricity mix analysis-style 4" pivot="0" count="3" xr9:uid="{00000000-0011-0000-FFFF-FFFF5A000000}">
      <tableStyleElement type="headerRow" dxfId="16"/>
      <tableStyleElement type="firstRowStripe" dxfId="15"/>
      <tableStyleElement type="secondRowStripe" dxfId="14"/>
    </tableStyle>
    <tableStyle name="Electricity mix analysis-style 5" pivot="0" count="3" xr9:uid="{00000000-0011-0000-FFFF-FFFF5B000000}">
      <tableStyleElement type="headerRow" dxfId="13"/>
      <tableStyleElement type="firstRowStripe" dxfId="12"/>
      <tableStyleElement type="secondRowStripe" dxfId="11"/>
    </tableStyle>
    <tableStyle name="Electricity mix analysis-style 6" pivot="0" count="3" xr9:uid="{00000000-0011-0000-FFFF-FFFF5C000000}">
      <tableStyleElement type="headerRow" dxfId="10"/>
      <tableStyleElement type="firstRowStripe" dxfId="9"/>
      <tableStyleElement type="secondRowStripe" dxfId="8"/>
    </tableStyle>
    <tableStyle name="Electricity mix analysis-style 7" pivot="0" count="3" xr9:uid="{00000000-0011-0000-FFFF-FFFF5D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Trend line</c:name>
            <c:spPr>
              <a:ln w="19050">
                <a:solidFill>
                  <a:srgbClr val="000000"/>
                </a:solidFill>
              </a:ln>
            </c:spPr>
            <c:trendlineType val="linear"/>
            <c:dispRSqr val="1"/>
            <c:dispEq val="0"/>
            <c:trendlineLbl>
              <c:numFmt formatCode="General" sourceLinked="0"/>
            </c:trendlineLbl>
          </c:trendline>
          <c:xVal>
            <c:strRef>
              <c:f>'Cooling technologies'!$J$93:$J$96</c:f>
              <c:strCache>
                <c:ptCount val="4"/>
                <c:pt idx="0">
                  <c:v>&lt;€15.000</c:v>
                </c:pt>
                <c:pt idx="1">
                  <c:v>€15.000 - €30.000</c:v>
                </c:pt>
                <c:pt idx="2">
                  <c:v>€30.000 - €60.000</c:v>
                </c:pt>
                <c:pt idx="3">
                  <c:v>&gt;€60.000</c:v>
                </c:pt>
              </c:strCache>
            </c:strRef>
          </c:xVal>
          <c:yVal>
            <c:numRef>
              <c:f>'Cooling technologies'!$K$93:$K$96</c:f>
              <c:numCache>
                <c:formatCode>0.00%</c:formatCode>
                <c:ptCount val="4"/>
                <c:pt idx="0">
                  <c:v>5.7000000000000002E-2</c:v>
                </c:pt>
                <c:pt idx="1">
                  <c:v>0.153</c:v>
                </c:pt>
                <c:pt idx="2">
                  <c:v>0.16200000000000001</c:v>
                </c:pt>
                <c:pt idx="3">
                  <c:v>0.30399999999999999</c:v>
                </c:pt>
              </c:numCache>
            </c:numRef>
          </c:yVal>
          <c:smooth val="1"/>
          <c:extLst>
            <c:ext xmlns:c16="http://schemas.microsoft.com/office/drawing/2014/chart" uri="{C3380CC4-5D6E-409C-BE32-E72D297353CC}">
              <c16:uniqueId val="{00000001-2065-9541-9478-9C2296895B28}"/>
            </c:ext>
          </c:extLst>
        </c:ser>
        <c:dLbls>
          <c:showLegendKey val="0"/>
          <c:showVal val="0"/>
          <c:showCatName val="0"/>
          <c:showSerName val="0"/>
          <c:showPercent val="0"/>
          <c:showBubbleSize val="0"/>
        </c:dLbls>
        <c:axId val="1638980449"/>
        <c:axId val="1481551050"/>
      </c:scatterChart>
      <c:valAx>
        <c:axId val="163898044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Annual household income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NL"/>
          </a:p>
        </c:txPr>
        <c:crossAx val="1481551050"/>
        <c:crosses val="autoZero"/>
        <c:crossBetween val="midCat"/>
      </c:valAx>
      <c:valAx>
        <c:axId val="14815510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Market penetration of active cooling  equipment (%)</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NL"/>
          </a:p>
        </c:txPr>
        <c:crossAx val="1638980449"/>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strRef>
              <c:f>'Cooling technologies'!$B$92</c:f>
              <c:strCache>
                <c:ptCount val="1"/>
                <c:pt idx="0">
                  <c:v>ASHP</c:v>
                </c:pt>
              </c:strCache>
            </c:strRef>
          </c:tx>
          <c:spPr>
            <a:solidFill>
              <a:srgbClr val="4285F4"/>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technologies'!$B$93:$B$100</c:f>
              <c:numCache>
                <c:formatCode>0%</c:formatCode>
                <c:ptCount val="8"/>
                <c:pt idx="0">
                  <c:v>2.5541284403669727E-2</c:v>
                </c:pt>
                <c:pt idx="1">
                  <c:v>0</c:v>
                </c:pt>
                <c:pt idx="2">
                  <c:v>1.4189602446483181E-2</c:v>
                </c:pt>
                <c:pt idx="3">
                  <c:v>1.4189602446483181E-2</c:v>
                </c:pt>
                <c:pt idx="4">
                  <c:v>9.6754608929620817E-2</c:v>
                </c:pt>
                <c:pt idx="5">
                  <c:v>9.6754608929620817E-2</c:v>
                </c:pt>
                <c:pt idx="6">
                  <c:v>9.8325579285568621E-3</c:v>
                </c:pt>
                <c:pt idx="7">
                  <c:v>9.8325579285568621E-3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C01-6A4A-ACDE-58EA45F13FB7}"/>
            </c:ext>
          </c:extLst>
        </c:ser>
        <c:ser>
          <c:idx val="1"/>
          <c:order val="1"/>
          <c:tx>
            <c:strRef>
              <c:f>'Cooling technologies'!$C$92</c:f>
              <c:strCache>
                <c:ptCount val="1"/>
                <c:pt idx="0">
                  <c:v>GSHP</c:v>
                </c:pt>
              </c:strCache>
            </c:strRef>
          </c:tx>
          <c:spPr>
            <a:solidFill>
              <a:srgbClr val="EA4335"/>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technologies'!$C$93:$C$100</c:f>
              <c:numCache>
                <c:formatCode>0%</c:formatCode>
                <c:ptCount val="8"/>
                <c:pt idx="0">
                  <c:v>9.0000000000000011E-3</c:v>
                </c:pt>
                <c:pt idx="1">
                  <c:v>0</c:v>
                </c:pt>
                <c:pt idx="2">
                  <c:v>5.0000000000000001E-3</c:v>
                </c:pt>
                <c:pt idx="3">
                  <c:v>5.0000000000000001E-3</c:v>
                </c:pt>
                <c:pt idx="4">
                  <c:v>3.6001714950556582E-2</c:v>
                </c:pt>
                <c:pt idx="5">
                  <c:v>3.6001714950556582E-2</c:v>
                </c:pt>
                <c:pt idx="6">
                  <c:v>2.0000952750309213E-2</c:v>
                </c:pt>
                <c:pt idx="7">
                  <c:v>2.0000952750309213E-2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C01-6A4A-ACDE-58EA45F13FB7}"/>
            </c:ext>
          </c:extLst>
        </c:ser>
        <c:ser>
          <c:idx val="2"/>
          <c:order val="2"/>
          <c:tx>
            <c:strRef>
              <c:f>'Cooling technologies'!$D$92</c:f>
              <c:strCache>
                <c:ptCount val="1"/>
                <c:pt idx="0">
                  <c:v>WSHP</c:v>
                </c:pt>
              </c:strCache>
            </c:strRef>
          </c:tx>
          <c:spPr>
            <a:solidFill>
              <a:srgbClr val="FBBC04"/>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technologies'!$D$93:$D$100</c:f>
              <c:numCache>
                <c:formatCode>0%</c:formatCode>
                <c:ptCount val="8"/>
                <c:pt idx="0">
                  <c:v>1.2027522935779819E-2</c:v>
                </c:pt>
                <c:pt idx="1">
                  <c:v>0</c:v>
                </c:pt>
                <c:pt idx="2">
                  <c:v>6.681957186544343E-3</c:v>
                </c:pt>
                <c:pt idx="3">
                  <c:v>6.681957186544343E-3</c:v>
                </c:pt>
                <c:pt idx="4">
                  <c:v>1.7698604271402352E-2</c:v>
                </c:pt>
                <c:pt idx="5">
                  <c:v>1.7698604271402352E-2</c:v>
                </c:pt>
                <c:pt idx="6">
                  <c:v>9.8325579285568621E-3</c:v>
                </c:pt>
                <c:pt idx="7">
                  <c:v>9.8325579285568621E-3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5C01-6A4A-ACDE-58EA45F13FB7}"/>
            </c:ext>
          </c:extLst>
        </c:ser>
        <c:ser>
          <c:idx val="3"/>
          <c:order val="3"/>
          <c:tx>
            <c:strRef>
              <c:f>'Cooling technologies'!$E$92</c:f>
              <c:strCache>
                <c:ptCount val="1"/>
                <c:pt idx="0">
                  <c:v>Chiller</c:v>
                </c:pt>
              </c:strCache>
            </c:strRef>
          </c:tx>
          <c:spPr>
            <a:solidFill>
              <a:srgbClr val="34A853"/>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technologies'!$E$93:$E$100</c:f>
              <c:numCache>
                <c:formatCode>0%</c:formatCode>
                <c:ptCount val="8"/>
                <c:pt idx="0">
                  <c:v>0.13599999999999998</c:v>
                </c:pt>
                <c:pt idx="1">
                  <c:v>0</c:v>
                </c:pt>
                <c:pt idx="2">
                  <c:v>0</c:v>
                </c:pt>
                <c:pt idx="3">
                  <c:v>0</c:v>
                </c:pt>
                <c:pt idx="4">
                  <c:v>0.54402591480841045</c:v>
                </c:pt>
                <c:pt idx="5">
                  <c:v>0.54402591480841045</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5C01-6A4A-ACDE-58EA45F13FB7}"/>
            </c:ext>
          </c:extLst>
        </c:ser>
        <c:ser>
          <c:idx val="4"/>
          <c:order val="4"/>
          <c:tx>
            <c:strRef>
              <c:f>'Cooling technologies'!$F$92</c:f>
              <c:strCache>
                <c:ptCount val="1"/>
                <c:pt idx="0">
                  <c:v>Split AC</c:v>
                </c:pt>
              </c:strCache>
            </c:strRef>
          </c:tx>
          <c:spPr>
            <a:solidFill>
              <a:srgbClr val="FF6D01"/>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technologies'!$F$93:$F$100</c:f>
              <c:numCache>
                <c:formatCode>0%</c:formatCode>
                <c:ptCount val="8"/>
                <c:pt idx="0">
                  <c:v>0</c:v>
                </c:pt>
                <c:pt idx="1">
                  <c:v>0</c:v>
                </c:pt>
                <c:pt idx="2">
                  <c:v>5.5E-2</c:v>
                </c:pt>
                <c:pt idx="3">
                  <c:v>5.5E-2</c:v>
                </c:pt>
                <c:pt idx="4">
                  <c:v>0</c:v>
                </c:pt>
                <c:pt idx="5">
                  <c:v>0</c:v>
                </c:pt>
                <c:pt idx="6">
                  <c:v>0.22001048025340134</c:v>
                </c:pt>
                <c:pt idx="7">
                  <c:v>0.22001048025340134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5C01-6A4A-ACDE-58EA45F13FB7}"/>
            </c:ext>
          </c:extLst>
        </c:ser>
        <c:ser>
          <c:idx val="5"/>
          <c:order val="5"/>
          <c:tx>
            <c:strRef>
              <c:f>'Cooling technologies'!$G$92</c:f>
              <c:strCache>
                <c:ptCount val="1"/>
                <c:pt idx="0">
                  <c:v>Mobile AC</c:v>
                </c:pt>
              </c:strCache>
            </c:strRef>
          </c:tx>
          <c:spPr>
            <a:solidFill>
              <a:srgbClr val="46BDC6"/>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technologies'!$G$93:$G$100</c:f>
              <c:numCache>
                <c:formatCode>0%</c:formatCode>
                <c:ptCount val="8"/>
                <c:pt idx="0">
                  <c:v>0</c:v>
                </c:pt>
                <c:pt idx="1">
                  <c:v>0.14499999999999999</c:v>
                </c:pt>
                <c:pt idx="2">
                  <c:v>6.2E-2</c:v>
                </c:pt>
                <c:pt idx="3">
                  <c:v>6.2E-2</c:v>
                </c:pt>
                <c:pt idx="4">
                  <c:v>0</c:v>
                </c:pt>
                <c:pt idx="5">
                  <c:v>0</c:v>
                </c:pt>
                <c:pt idx="6">
                  <c:v>0.24801181410383422</c:v>
                </c:pt>
                <c:pt idx="7">
                  <c:v>0.24801181410383422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5C01-6A4A-ACDE-58EA45F13FB7}"/>
            </c:ext>
          </c:extLst>
        </c:ser>
        <c:ser>
          <c:idx val="6"/>
          <c:order val="6"/>
          <c:tx>
            <c:strRef>
              <c:f>'Cooling technologies'!$H$92</c:f>
              <c:strCache>
                <c:ptCount val="1"/>
                <c:pt idx="0">
                  <c:v>No active cooling equipment</c:v>
                </c:pt>
              </c:strCache>
            </c:strRef>
          </c:tx>
          <c:spPr>
            <a:solidFill>
              <a:srgbClr val="B7B7B7"/>
            </a:solidFill>
            <a:ln cmpd="sng">
              <a:solidFill>
                <a:srgbClr val="000000"/>
              </a:solidFill>
            </a:ln>
          </c:spPr>
          <c:invertIfNegative val="1"/>
          <c:cat>
            <c:numRef>
              <c:f>'Cooling technologies'!$A$93:$A$100</c:f>
              <c:numCache>
                <c:formatCode>General</c:formatCode>
                <c:ptCount val="8"/>
                <c:pt idx="0">
                  <c:v>1</c:v>
                </c:pt>
                <c:pt idx="1">
                  <c:v>2</c:v>
                </c:pt>
                <c:pt idx="2">
                  <c:v>3</c:v>
                </c:pt>
                <c:pt idx="3">
                  <c:v>4</c:v>
                </c:pt>
                <c:pt idx="4">
                  <c:v>5</c:v>
                </c:pt>
                <c:pt idx="5">
                  <c:v>6</c:v>
                </c:pt>
                <c:pt idx="6">
                  <c:v>7</c:v>
                </c:pt>
                <c:pt idx="7">
                  <c:v>8</c:v>
                </c:pt>
              </c:numCache>
            </c:numRef>
          </c:cat>
          <c:val>
            <c:numRef>
              <c:f>'Cooling technologies'!$H$93:$H$100</c:f>
              <c:numCache>
                <c:formatCode>0%</c:formatCode>
                <c:ptCount val="8"/>
                <c:pt idx="0">
                  <c:v>0.81743119266055042</c:v>
                </c:pt>
                <c:pt idx="1">
                  <c:v>0.85499999999999998</c:v>
                </c:pt>
                <c:pt idx="2">
                  <c:v>0.85712844036697244</c:v>
                </c:pt>
                <c:pt idx="3">
                  <c:v>0.85712844036697244</c:v>
                </c:pt>
                <c:pt idx="4">
                  <c:v>0.30551915704000976</c:v>
                </c:pt>
                <c:pt idx="5">
                  <c:v>0.30551915704000976</c:v>
                </c:pt>
                <c:pt idx="6">
                  <c:v>0.49231163703534153</c:v>
                </c:pt>
                <c:pt idx="7">
                  <c:v>0.49231163703534153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5C01-6A4A-ACDE-58EA45F13FB7}"/>
            </c:ext>
          </c:extLst>
        </c:ser>
        <c:dLbls>
          <c:showLegendKey val="0"/>
          <c:showVal val="0"/>
          <c:showCatName val="0"/>
          <c:showSerName val="0"/>
          <c:showPercent val="0"/>
          <c:showBubbleSize val="0"/>
        </c:dLbls>
        <c:gapWidth val="150"/>
        <c:overlap val="100"/>
        <c:axId val="1349921407"/>
        <c:axId val="1522446420"/>
      </c:barChart>
      <c:catAx>
        <c:axId val="1349921407"/>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Building type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522446420"/>
        <c:crosses val="autoZero"/>
        <c:auto val="1"/>
        <c:lblAlgn val="ctr"/>
        <c:lblOffset val="100"/>
        <c:noMultiLvlLbl val="1"/>
      </c:catAx>
      <c:valAx>
        <c:axId val="15224464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1349921407"/>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strRef>
              <c:f>'Cooling technologies'!$C$45</c:f>
              <c:strCache>
                <c:ptCount val="1"/>
                <c:pt idx="0">
                  <c:v>ASHP</c:v>
                </c:pt>
              </c:strCache>
            </c:strRef>
          </c:tx>
          <c:spPr>
            <a:solidFill>
              <a:srgbClr val="4285F4"/>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technologies'!$C$46:$C$53</c:f>
              <c:numCache>
                <c:formatCode>0%</c:formatCode>
                <c:ptCount val="8"/>
                <c:pt idx="0">
                  <c:v>5.5130850301050811E-2</c:v>
                </c:pt>
                <c:pt idx="1">
                  <c:v>4.3143353353681628E-2</c:v>
                </c:pt>
                <c:pt idx="2">
                  <c:v>4.3143353353681628E-2</c:v>
                </c:pt>
                <c:pt idx="3">
                  <c:v>4.3143353353681628E-2</c:v>
                </c:pt>
                <c:pt idx="4">
                  <c:v>7.6181013460385E-2</c:v>
                </c:pt>
                <c:pt idx="5">
                  <c:v>7.6181013460385E-2</c:v>
                </c:pt>
                <c:pt idx="6">
                  <c:v>2.9364922342840247E-2</c:v>
                </c:pt>
                <c:pt idx="7">
                  <c:v>2.9364922342840247E-2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032-CD45-B8CB-BAC09A61469C}"/>
            </c:ext>
          </c:extLst>
        </c:ser>
        <c:ser>
          <c:idx val="1"/>
          <c:order val="1"/>
          <c:tx>
            <c:strRef>
              <c:f>'Cooling technologies'!$D$45</c:f>
              <c:strCache>
                <c:ptCount val="1"/>
                <c:pt idx="0">
                  <c:v>GSHP</c:v>
                </c:pt>
              </c:strCache>
            </c:strRef>
          </c:tx>
          <c:spPr>
            <a:solidFill>
              <a:srgbClr val="EA4335"/>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technologies'!$D$46:$D$53</c:f>
              <c:numCache>
                <c:formatCode>0%</c:formatCode>
                <c:ptCount val="8"/>
                <c:pt idx="0">
                  <c:v>1.9426495741857345E-2</c:v>
                </c:pt>
                <c:pt idx="1">
                  <c:v>1.520245317527359E-2</c:v>
                </c:pt>
                <c:pt idx="2">
                  <c:v>1.520245317527359E-2</c:v>
                </c:pt>
                <c:pt idx="3">
                  <c:v>1.520245317527359E-2</c:v>
                </c:pt>
                <c:pt idx="4">
                  <c:v>2.8346423613166513E-2</c:v>
                </c:pt>
                <c:pt idx="5">
                  <c:v>2.8346423613166513E-2</c:v>
                </c:pt>
                <c:pt idx="6">
                  <c:v>5.9732821160388513E-2</c:v>
                </c:pt>
                <c:pt idx="7">
                  <c:v>5.9732821160388513E-2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032-CD45-B8CB-BAC09A61469C}"/>
            </c:ext>
          </c:extLst>
        </c:ser>
        <c:ser>
          <c:idx val="2"/>
          <c:order val="2"/>
          <c:tx>
            <c:strRef>
              <c:f>'Cooling technologies'!$E$45</c:f>
              <c:strCache>
                <c:ptCount val="1"/>
                <c:pt idx="0">
                  <c:v>WSHP</c:v>
                </c:pt>
              </c:strCache>
            </c:strRef>
          </c:tx>
          <c:spPr>
            <a:solidFill>
              <a:srgbClr val="FBBC04"/>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technologies'!$E$46:$E$53</c:f>
              <c:numCache>
                <c:formatCode>0%</c:formatCode>
                <c:ptCount val="8"/>
                <c:pt idx="0">
                  <c:v>2.5961402566335352E-2</c:v>
                </c:pt>
                <c:pt idx="1">
                  <c:v>2.0316428249524645E-2</c:v>
                </c:pt>
                <c:pt idx="2">
                  <c:v>2.0316428249524645E-2</c:v>
                </c:pt>
                <c:pt idx="3">
                  <c:v>2.0316428249524645E-2</c:v>
                </c:pt>
                <c:pt idx="4">
                  <c:v>1.3935228772517495E-2</c:v>
                </c:pt>
                <c:pt idx="5">
                  <c:v>1.3935228772517495E-2</c:v>
                </c:pt>
                <c:pt idx="6">
                  <c:v>2.9364922342840247E-2</c:v>
                </c:pt>
                <c:pt idx="7">
                  <c:v>2.9364922342840247E-2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032-CD45-B8CB-BAC09A61469C}"/>
            </c:ext>
          </c:extLst>
        </c:ser>
        <c:ser>
          <c:idx val="3"/>
          <c:order val="3"/>
          <c:tx>
            <c:strRef>
              <c:f>'Cooling technologies'!$F$45</c:f>
              <c:strCache>
                <c:ptCount val="1"/>
                <c:pt idx="0">
                  <c:v>Chiller</c:v>
                </c:pt>
              </c:strCache>
            </c:strRef>
          </c:tx>
          <c:spPr>
            <a:solidFill>
              <a:srgbClr val="34A853"/>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technologies'!$F$46:$F$53</c:f>
              <c:numCache>
                <c:formatCode>0%</c:formatCode>
                <c:ptCount val="8"/>
                <c:pt idx="0">
                  <c:v>0.36126810180199048</c:v>
                </c:pt>
                <c:pt idx="1">
                  <c:v>0</c:v>
                </c:pt>
                <c:pt idx="2">
                  <c:v>0</c:v>
                </c:pt>
                <c:pt idx="3">
                  <c:v>0</c:v>
                </c:pt>
                <c:pt idx="4">
                  <c:v>0.88153733415393098</c:v>
                </c:pt>
                <c:pt idx="5">
                  <c:v>0.88153733415393098</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E032-CD45-B8CB-BAC09A61469C}"/>
            </c:ext>
          </c:extLst>
        </c:ser>
        <c:ser>
          <c:idx val="4"/>
          <c:order val="4"/>
          <c:tx>
            <c:strRef>
              <c:f>'Cooling technologies'!$G$45</c:f>
              <c:strCache>
                <c:ptCount val="1"/>
                <c:pt idx="0">
                  <c:v>Split AC</c:v>
                </c:pt>
              </c:strCache>
            </c:strRef>
          </c:tx>
          <c:spPr>
            <a:solidFill>
              <a:srgbClr val="FF6D01"/>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technologies'!$G$46:$G$53</c:f>
              <c:numCache>
                <c:formatCode>0%</c:formatCode>
                <c:ptCount val="8"/>
                <c:pt idx="0">
                  <c:v>0</c:v>
                </c:pt>
                <c:pt idx="1">
                  <c:v>0</c:v>
                </c:pt>
                <c:pt idx="2">
                  <c:v>0.13290020539231712</c:v>
                </c:pt>
                <c:pt idx="3">
                  <c:v>0.13290020539231712</c:v>
                </c:pt>
                <c:pt idx="4">
                  <c:v>0</c:v>
                </c:pt>
                <c:pt idx="5">
                  <c:v>0</c:v>
                </c:pt>
                <c:pt idx="6">
                  <c:v>0.41439789212364281</c:v>
                </c:pt>
                <c:pt idx="7">
                  <c:v>0.41439789212364281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E032-CD45-B8CB-BAC09A61469C}"/>
            </c:ext>
          </c:extLst>
        </c:ser>
        <c:ser>
          <c:idx val="5"/>
          <c:order val="5"/>
          <c:tx>
            <c:strRef>
              <c:f>'Cooling technologies'!$H$45</c:f>
              <c:strCache>
                <c:ptCount val="1"/>
                <c:pt idx="0">
                  <c:v>Mobile AC</c:v>
                </c:pt>
              </c:strCache>
            </c:strRef>
          </c:tx>
          <c:spPr>
            <a:solidFill>
              <a:srgbClr val="46BDC6"/>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technologies'!$H$46:$H$53</c:f>
              <c:numCache>
                <c:formatCode>0%</c:formatCode>
                <c:ptCount val="8"/>
                <c:pt idx="0">
                  <c:v>0</c:v>
                </c:pt>
                <c:pt idx="1">
                  <c:v>0.28692675120504824</c:v>
                </c:pt>
                <c:pt idx="2">
                  <c:v>0.14981477698770293</c:v>
                </c:pt>
                <c:pt idx="3">
                  <c:v>0.14981477698770293</c:v>
                </c:pt>
                <c:pt idx="4">
                  <c:v>0</c:v>
                </c:pt>
                <c:pt idx="5">
                  <c:v>0</c:v>
                </c:pt>
                <c:pt idx="6">
                  <c:v>0.46713944203028823</c:v>
                </c:pt>
                <c:pt idx="7">
                  <c:v>0.46713944203028823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E032-CD45-B8CB-BAC09A61469C}"/>
            </c:ext>
          </c:extLst>
        </c:ser>
        <c:ser>
          <c:idx val="6"/>
          <c:order val="6"/>
          <c:tx>
            <c:strRef>
              <c:f>'Cooling technologies'!$I$45</c:f>
              <c:strCache>
                <c:ptCount val="1"/>
                <c:pt idx="0">
                  <c:v>No active cooling equipment</c:v>
                </c:pt>
              </c:strCache>
            </c:strRef>
          </c:tx>
          <c:spPr>
            <a:solidFill>
              <a:srgbClr val="B7B7B7"/>
            </a:solidFill>
            <a:ln cmpd="sng">
              <a:solidFill>
                <a:srgbClr val="000000"/>
              </a:solidFill>
            </a:ln>
          </c:spPr>
          <c:invertIfNegative val="1"/>
          <c:cat>
            <c:numRef>
              <c:f>'Cooling technologies'!$A$46:$A$53</c:f>
              <c:numCache>
                <c:formatCode>General</c:formatCode>
                <c:ptCount val="8"/>
                <c:pt idx="0">
                  <c:v>1</c:v>
                </c:pt>
                <c:pt idx="1">
                  <c:v>2</c:v>
                </c:pt>
                <c:pt idx="2">
                  <c:v>3</c:v>
                </c:pt>
                <c:pt idx="3">
                  <c:v>4</c:v>
                </c:pt>
                <c:pt idx="4">
                  <c:v>5</c:v>
                </c:pt>
                <c:pt idx="5">
                  <c:v>6</c:v>
                </c:pt>
                <c:pt idx="6">
                  <c:v>7</c:v>
                </c:pt>
                <c:pt idx="7">
                  <c:v>8</c:v>
                </c:pt>
              </c:numCache>
            </c:numRef>
          </c:cat>
          <c:val>
            <c:numRef>
              <c:f>'Cooling technologies'!$I$46:$I$53</c:f>
              <c:numCache>
                <c:formatCode>0%</c:formatCode>
                <c:ptCount val="8"/>
                <c:pt idx="0">
                  <c:v>0.53821314958876598</c:v>
                </c:pt>
                <c:pt idx="1">
                  <c:v>0.63323913714826363</c:v>
                </c:pt>
                <c:pt idx="2">
                  <c:v>0.63862278284150009</c:v>
                </c:pt>
                <c:pt idx="3">
                  <c:v>0.63862278284150009</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E032-CD45-B8CB-BAC09A61469C}"/>
            </c:ext>
          </c:extLst>
        </c:ser>
        <c:dLbls>
          <c:showLegendKey val="0"/>
          <c:showVal val="0"/>
          <c:showCatName val="0"/>
          <c:showSerName val="0"/>
          <c:showPercent val="0"/>
          <c:showBubbleSize val="0"/>
        </c:dLbls>
        <c:gapWidth val="150"/>
        <c:overlap val="100"/>
        <c:axId val="539278646"/>
        <c:axId val="149916663"/>
      </c:barChart>
      <c:catAx>
        <c:axId val="539278646"/>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Building type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49916663"/>
        <c:crosses val="autoZero"/>
        <c:auto val="1"/>
        <c:lblAlgn val="ctr"/>
        <c:lblOffset val="100"/>
        <c:noMultiLvlLbl val="1"/>
      </c:catAx>
      <c:valAx>
        <c:axId val="1499166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539278646"/>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strRef>
              <c:f>'Cooling technologies'!$C$56</c:f>
              <c:strCache>
                <c:ptCount val="1"/>
                <c:pt idx="0">
                  <c:v>ASHP</c:v>
                </c:pt>
              </c:strCache>
            </c:strRef>
          </c:tx>
          <c:spPr>
            <a:solidFill>
              <a:srgbClr val="4285F4"/>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technologies'!$C$57:$C$64</c:f>
              <c:numCache>
                <c:formatCode>0%</c:formatCode>
                <c:ptCount val="8"/>
                <c:pt idx="0">
                  <c:v>0.33573363207653384</c:v>
                </c:pt>
                <c:pt idx="1">
                  <c:v>0.26273265589587247</c:v>
                </c:pt>
                <c:pt idx="2">
                  <c:v>0.26273265589587247</c:v>
                </c:pt>
                <c:pt idx="3">
                  <c:v>0.26273265589587247</c:v>
                </c:pt>
                <c:pt idx="4">
                  <c:v>0.32797098214285714</c:v>
                </c:pt>
                <c:pt idx="5">
                  <c:v>0.32797098214285714</c:v>
                </c:pt>
                <c:pt idx="6">
                  <c:v>0.12642050799623708</c:v>
                </c:pt>
                <c:pt idx="7">
                  <c:v>0.12642050799623708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B5F-3743-A159-02D1ECEE72FF}"/>
            </c:ext>
          </c:extLst>
        </c:ser>
        <c:ser>
          <c:idx val="1"/>
          <c:order val="1"/>
          <c:tx>
            <c:strRef>
              <c:f>'Cooling technologies'!$D$56</c:f>
              <c:strCache>
                <c:ptCount val="1"/>
                <c:pt idx="0">
                  <c:v>GSHP</c:v>
                </c:pt>
              </c:strCache>
            </c:strRef>
          </c:tx>
          <c:spPr>
            <a:solidFill>
              <a:srgbClr val="EA4335"/>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technologies'!$D$57:$D$64</c:f>
              <c:numCache>
                <c:formatCode>0%</c:formatCode>
                <c:ptCount val="8"/>
                <c:pt idx="0">
                  <c:v>0.11830269147524414</c:v>
                </c:pt>
                <c:pt idx="1">
                  <c:v>9.257928715296368E-2</c:v>
                </c:pt>
                <c:pt idx="2">
                  <c:v>9.257928715296368E-2</c:v>
                </c:pt>
                <c:pt idx="3">
                  <c:v>9.257928715296368E-2</c:v>
                </c:pt>
                <c:pt idx="4">
                  <c:v>0.12203571428571429</c:v>
                </c:pt>
                <c:pt idx="5">
                  <c:v>0.12203571428571429</c:v>
                </c:pt>
                <c:pt idx="6">
                  <c:v>0.2571589840075259</c:v>
                </c:pt>
                <c:pt idx="7">
                  <c:v>0.2571589840075259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B5F-3743-A159-02D1ECEE72FF}"/>
            </c:ext>
          </c:extLst>
        </c:ser>
        <c:ser>
          <c:idx val="2"/>
          <c:order val="2"/>
          <c:tx>
            <c:strRef>
              <c:f>'Cooling technologies'!$E$56</c:f>
              <c:strCache>
                <c:ptCount val="1"/>
                <c:pt idx="0">
                  <c:v>WSHP</c:v>
                </c:pt>
              </c:strCache>
            </c:strRef>
          </c:tx>
          <c:spPr>
            <a:solidFill>
              <a:srgbClr val="FBBC04"/>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technologies'!$E$57:$E$64</c:f>
              <c:numCache>
                <c:formatCode>0%</c:formatCode>
                <c:ptCount val="8"/>
                <c:pt idx="0">
                  <c:v>0.15809870389810915</c:v>
                </c:pt>
                <c:pt idx="1">
                  <c:v>0.12372216662337961</c:v>
                </c:pt>
                <c:pt idx="2">
                  <c:v>0.12372216662337961</c:v>
                </c:pt>
                <c:pt idx="3">
                  <c:v>0.12372216662337961</c:v>
                </c:pt>
                <c:pt idx="4">
                  <c:v>5.9993303571428583E-2</c:v>
                </c:pt>
                <c:pt idx="5">
                  <c:v>5.9993303571428583E-2</c:v>
                </c:pt>
                <c:pt idx="6">
                  <c:v>0.12642050799623708</c:v>
                </c:pt>
                <c:pt idx="7">
                  <c:v>0.12642050799623708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B5F-3743-A159-02D1ECEE72FF}"/>
            </c:ext>
          </c:extLst>
        </c:ser>
        <c:ser>
          <c:idx val="3"/>
          <c:order val="3"/>
          <c:tx>
            <c:strRef>
              <c:f>'Cooling technologies'!$F$56</c:f>
              <c:strCache>
                <c:ptCount val="1"/>
                <c:pt idx="0">
                  <c:v>Chiller</c:v>
                </c:pt>
              </c:strCache>
            </c:strRef>
          </c:tx>
          <c:spPr>
            <a:solidFill>
              <a:srgbClr val="34A853"/>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technologies'!$F$57:$F$64</c:f>
              <c:numCache>
                <c:formatCode>0%</c:formatCode>
                <c:ptCount val="8"/>
                <c:pt idx="0">
                  <c:v>0</c:v>
                </c:pt>
                <c:pt idx="1">
                  <c:v>0</c:v>
                </c:pt>
                <c:pt idx="2">
                  <c:v>0</c:v>
                </c:pt>
                <c:pt idx="3">
                  <c:v>0</c:v>
                </c:pt>
                <c:pt idx="4">
                  <c:v>0.49</c:v>
                </c:pt>
                <c:pt idx="5">
                  <c:v>0.49</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3B5F-3743-A159-02D1ECEE72FF}"/>
            </c:ext>
          </c:extLst>
        </c:ser>
        <c:ser>
          <c:idx val="4"/>
          <c:order val="4"/>
          <c:tx>
            <c:strRef>
              <c:f>'Cooling technologies'!$G$56</c:f>
              <c:strCache>
                <c:ptCount val="1"/>
                <c:pt idx="0">
                  <c:v>Split AC</c:v>
                </c:pt>
              </c:strCache>
            </c:strRef>
          </c:tx>
          <c:spPr>
            <a:solidFill>
              <a:srgbClr val="FF6D01"/>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technologies'!$G$57:$G$64</c:f>
              <c:numCache>
                <c:formatCode>0%</c:formatCode>
                <c:ptCount val="8"/>
                <c:pt idx="0">
                  <c:v>0</c:v>
                </c:pt>
                <c:pt idx="1">
                  <c:v>0</c:v>
                </c:pt>
                <c:pt idx="2">
                  <c:v>0</c:v>
                </c:pt>
                <c:pt idx="3">
                  <c:v>0</c:v>
                </c:pt>
                <c:pt idx="4">
                  <c:v>0</c:v>
                </c:pt>
                <c:pt idx="5">
                  <c:v>0</c:v>
                </c:pt>
                <c:pt idx="6">
                  <c:v>0.23034188034188036</c:v>
                </c:pt>
                <c:pt idx="7">
                  <c:v>0.23034188034188036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3B5F-3743-A159-02D1ECEE72FF}"/>
            </c:ext>
          </c:extLst>
        </c:ser>
        <c:ser>
          <c:idx val="5"/>
          <c:order val="5"/>
          <c:tx>
            <c:strRef>
              <c:f>'Cooling technologies'!$H$56</c:f>
              <c:strCache>
                <c:ptCount val="1"/>
                <c:pt idx="0">
                  <c:v>Mobile AC</c:v>
                </c:pt>
              </c:strCache>
            </c:strRef>
          </c:tx>
          <c:spPr>
            <a:solidFill>
              <a:srgbClr val="46BDC6"/>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technologies'!$H$57:$H$64</c:f>
              <c:numCache>
                <c:formatCode>0%</c:formatCode>
                <c:ptCount val="8"/>
                <c:pt idx="0">
                  <c:v>0</c:v>
                </c:pt>
                <c:pt idx="1">
                  <c:v>0</c:v>
                </c:pt>
                <c:pt idx="2">
                  <c:v>0</c:v>
                </c:pt>
                <c:pt idx="3">
                  <c:v>0</c:v>
                </c:pt>
                <c:pt idx="4">
                  <c:v>0</c:v>
                </c:pt>
                <c:pt idx="5">
                  <c:v>0</c:v>
                </c:pt>
                <c:pt idx="6">
                  <c:v>0.25965811965811963</c:v>
                </c:pt>
                <c:pt idx="7">
                  <c:v>0.25965811965811963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3B5F-3743-A159-02D1ECEE72FF}"/>
            </c:ext>
          </c:extLst>
        </c:ser>
        <c:ser>
          <c:idx val="6"/>
          <c:order val="6"/>
          <c:tx>
            <c:strRef>
              <c:f>'Cooling technologies'!$I$56</c:f>
              <c:strCache>
                <c:ptCount val="1"/>
                <c:pt idx="0">
                  <c:v>No active cooling equipment</c:v>
                </c:pt>
              </c:strCache>
            </c:strRef>
          </c:tx>
          <c:spPr>
            <a:solidFill>
              <a:srgbClr val="B7B7B7"/>
            </a:solidFill>
            <a:ln cmpd="sng">
              <a:solidFill>
                <a:srgbClr val="000000"/>
              </a:solidFill>
            </a:ln>
          </c:spPr>
          <c:invertIfNegative val="1"/>
          <c:cat>
            <c:numRef>
              <c:f>'Cooling technologies'!$A$57:$A$64</c:f>
              <c:numCache>
                <c:formatCode>General</c:formatCode>
                <c:ptCount val="8"/>
                <c:pt idx="0">
                  <c:v>1</c:v>
                </c:pt>
                <c:pt idx="1">
                  <c:v>2</c:v>
                </c:pt>
                <c:pt idx="2">
                  <c:v>3</c:v>
                </c:pt>
                <c:pt idx="3">
                  <c:v>4</c:v>
                </c:pt>
                <c:pt idx="4">
                  <c:v>5</c:v>
                </c:pt>
                <c:pt idx="5">
                  <c:v>6</c:v>
                </c:pt>
                <c:pt idx="6">
                  <c:v>7</c:v>
                </c:pt>
                <c:pt idx="7">
                  <c:v>8</c:v>
                </c:pt>
              </c:numCache>
            </c:numRef>
          </c:cat>
          <c:val>
            <c:numRef>
              <c:f>'Cooling technologies'!$I$57:$I$64</c:f>
              <c:numCache>
                <c:formatCode>0%</c:formatCode>
                <c:ptCount val="8"/>
                <c:pt idx="0">
                  <c:v>0.38786497255011287</c:v>
                </c:pt>
                <c:pt idx="1">
                  <c:v>0.52096589032778429</c:v>
                </c:pt>
                <c:pt idx="2">
                  <c:v>0.52096589032778429</c:v>
                </c:pt>
                <c:pt idx="3">
                  <c:v>0.52096589032778429</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3B5F-3743-A159-02D1ECEE72FF}"/>
            </c:ext>
          </c:extLst>
        </c:ser>
        <c:dLbls>
          <c:showLegendKey val="0"/>
          <c:showVal val="0"/>
          <c:showCatName val="0"/>
          <c:showSerName val="0"/>
          <c:showPercent val="0"/>
          <c:showBubbleSize val="0"/>
        </c:dLbls>
        <c:gapWidth val="150"/>
        <c:overlap val="100"/>
        <c:axId val="578304349"/>
        <c:axId val="1881269848"/>
      </c:barChart>
      <c:catAx>
        <c:axId val="578304349"/>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Building type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881269848"/>
        <c:crosses val="autoZero"/>
        <c:auto val="1"/>
        <c:lblAlgn val="ctr"/>
        <c:lblOffset val="100"/>
        <c:noMultiLvlLbl val="1"/>
      </c:catAx>
      <c:valAx>
        <c:axId val="18812698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578304349"/>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strRef>
              <c:f>'Cooling technologies'!$C$67</c:f>
              <c:strCache>
                <c:ptCount val="1"/>
                <c:pt idx="0">
                  <c:v>ASHP</c:v>
                </c:pt>
              </c:strCache>
            </c:strRef>
          </c:tx>
          <c:spPr>
            <a:solidFill>
              <a:srgbClr val="4285F4"/>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technologies'!$C$68:$C$75</c:f>
              <c:numCache>
                <c:formatCode>0%</c:formatCode>
                <c:ptCount val="8"/>
                <c:pt idx="0">
                  <c:v>0.20674068862894052</c:v>
                </c:pt>
                <c:pt idx="1">
                  <c:v>0.16178757507630609</c:v>
                </c:pt>
                <c:pt idx="2">
                  <c:v>0.16178757507630609</c:v>
                </c:pt>
                <c:pt idx="3">
                  <c:v>0.16178757507630609</c:v>
                </c:pt>
                <c:pt idx="4">
                  <c:v>0.19292410714285715</c:v>
                </c:pt>
                <c:pt idx="5">
                  <c:v>0.19292410714285715</c:v>
                </c:pt>
                <c:pt idx="6">
                  <c:v>7.4365004703668858E-2</c:v>
                </c:pt>
                <c:pt idx="7">
                  <c:v>7.4365004703668858E-2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ADE-1748-B24C-BC860FEB33A3}"/>
            </c:ext>
          </c:extLst>
        </c:ser>
        <c:ser>
          <c:idx val="1"/>
          <c:order val="1"/>
          <c:tx>
            <c:strRef>
              <c:f>'Cooling technologies'!$D$67</c:f>
              <c:strCache>
                <c:ptCount val="1"/>
                <c:pt idx="0">
                  <c:v>GSHP</c:v>
                </c:pt>
              </c:strCache>
            </c:strRef>
          </c:tx>
          <c:spPr>
            <a:solidFill>
              <a:srgbClr val="EA4335"/>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technologies'!$D$68:$D$75</c:f>
              <c:numCache>
                <c:formatCode>0%</c:formatCode>
                <c:ptCount val="8"/>
                <c:pt idx="0">
                  <c:v>7.284935903196503E-2</c:v>
                </c:pt>
                <c:pt idx="1">
                  <c:v>5.7009199407275959E-2</c:v>
                </c:pt>
                <c:pt idx="2">
                  <c:v>5.7009199407275959E-2</c:v>
                </c:pt>
                <c:pt idx="3">
                  <c:v>5.7009199407275959E-2</c:v>
                </c:pt>
                <c:pt idx="4">
                  <c:v>7.1785714285714286E-2</c:v>
                </c:pt>
                <c:pt idx="5">
                  <c:v>7.1785714285714286E-2</c:v>
                </c:pt>
                <c:pt idx="6">
                  <c:v>0.15126999059266227</c:v>
                </c:pt>
                <c:pt idx="7">
                  <c:v>0.15126999059266227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ADE-1748-B24C-BC860FEB33A3}"/>
            </c:ext>
          </c:extLst>
        </c:ser>
        <c:ser>
          <c:idx val="2"/>
          <c:order val="2"/>
          <c:tx>
            <c:strRef>
              <c:f>'Cooling technologies'!$E$67</c:f>
              <c:strCache>
                <c:ptCount val="1"/>
                <c:pt idx="0">
                  <c:v>WSHP</c:v>
                </c:pt>
              </c:strCache>
            </c:strRef>
          </c:tx>
          <c:spPr>
            <a:solidFill>
              <a:srgbClr val="FBBC04"/>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technologies'!$E$68:$E$75</c:f>
              <c:numCache>
                <c:formatCode>0%</c:formatCode>
                <c:ptCount val="8"/>
                <c:pt idx="0">
                  <c:v>9.7355259623757545E-2</c:v>
                </c:pt>
                <c:pt idx="1">
                  <c:v>7.6186605935717411E-2</c:v>
                </c:pt>
                <c:pt idx="2">
                  <c:v>7.6186605935717411E-2</c:v>
                </c:pt>
                <c:pt idx="3">
                  <c:v>7.6186605935717411E-2</c:v>
                </c:pt>
                <c:pt idx="4">
                  <c:v>3.5290178571428577E-2</c:v>
                </c:pt>
                <c:pt idx="5">
                  <c:v>3.5290178571428577E-2</c:v>
                </c:pt>
                <c:pt idx="6">
                  <c:v>7.4365004703668858E-2</c:v>
                </c:pt>
                <c:pt idx="7">
                  <c:v>7.4365004703668858E-2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6ADE-1748-B24C-BC860FEB33A3}"/>
            </c:ext>
          </c:extLst>
        </c:ser>
        <c:ser>
          <c:idx val="3"/>
          <c:order val="3"/>
          <c:tx>
            <c:strRef>
              <c:f>'Cooling technologies'!$F$67</c:f>
              <c:strCache>
                <c:ptCount val="1"/>
                <c:pt idx="0">
                  <c:v>Chiller</c:v>
                </c:pt>
              </c:strCache>
            </c:strRef>
          </c:tx>
          <c:spPr>
            <a:solidFill>
              <a:srgbClr val="34A853"/>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technologies'!$F$68:$F$75</c:f>
              <c:numCache>
                <c:formatCode>0%</c:formatCode>
                <c:ptCount val="8"/>
                <c:pt idx="0">
                  <c:v>0.38553789720387727</c:v>
                </c:pt>
                <c:pt idx="1">
                  <c:v>0</c:v>
                </c:pt>
                <c:pt idx="2">
                  <c:v>0</c:v>
                </c:pt>
                <c:pt idx="3">
                  <c:v>0</c:v>
                </c:pt>
                <c:pt idx="4">
                  <c:v>0.7</c:v>
                </c:pt>
                <c:pt idx="5">
                  <c:v>0.7</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6ADE-1748-B24C-BC860FEB33A3}"/>
            </c:ext>
          </c:extLst>
        </c:ser>
        <c:ser>
          <c:idx val="4"/>
          <c:order val="4"/>
          <c:tx>
            <c:strRef>
              <c:f>'Cooling technologies'!$G$67</c:f>
              <c:strCache>
                <c:ptCount val="1"/>
                <c:pt idx="0">
                  <c:v>Split AC</c:v>
                </c:pt>
              </c:strCache>
            </c:strRef>
          </c:tx>
          <c:spPr>
            <a:solidFill>
              <a:srgbClr val="FF6D01"/>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technologies'!$G$68:$G$75</c:f>
              <c:numCache>
                <c:formatCode>0%</c:formatCode>
                <c:ptCount val="8"/>
                <c:pt idx="0">
                  <c:v>0</c:v>
                </c:pt>
                <c:pt idx="1">
                  <c:v>0</c:v>
                </c:pt>
                <c:pt idx="2">
                  <c:v>0.14182836920653652</c:v>
                </c:pt>
                <c:pt idx="3">
                  <c:v>0.14182836920653652</c:v>
                </c:pt>
                <c:pt idx="4">
                  <c:v>0</c:v>
                </c:pt>
                <c:pt idx="5">
                  <c:v>0</c:v>
                </c:pt>
                <c:pt idx="6">
                  <c:v>0.32905982905982906</c:v>
                </c:pt>
                <c:pt idx="7">
                  <c:v>0.32905982905982906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6ADE-1748-B24C-BC860FEB33A3}"/>
            </c:ext>
          </c:extLst>
        </c:ser>
        <c:ser>
          <c:idx val="5"/>
          <c:order val="5"/>
          <c:tx>
            <c:strRef>
              <c:f>'Cooling technologies'!$H$67</c:f>
              <c:strCache>
                <c:ptCount val="1"/>
                <c:pt idx="0">
                  <c:v>Mobile AC</c:v>
                </c:pt>
              </c:strCache>
            </c:strRef>
          </c:tx>
          <c:spPr>
            <a:solidFill>
              <a:srgbClr val="46BDC6"/>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technologies'!$H$68:$H$75</c:f>
              <c:numCache>
                <c:formatCode>0%</c:formatCode>
                <c:ptCount val="8"/>
                <c:pt idx="0">
                  <c:v>0</c:v>
                </c:pt>
                <c:pt idx="1">
                  <c:v>0.30620233494006432</c:v>
                </c:pt>
                <c:pt idx="2">
                  <c:v>0.15987925256009569</c:v>
                </c:pt>
                <c:pt idx="3">
                  <c:v>0.15987925256009569</c:v>
                </c:pt>
                <c:pt idx="4">
                  <c:v>0</c:v>
                </c:pt>
                <c:pt idx="5">
                  <c:v>0</c:v>
                </c:pt>
                <c:pt idx="6">
                  <c:v>0.3709401709401709</c:v>
                </c:pt>
                <c:pt idx="7">
                  <c:v>0.3709401709401709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6ADE-1748-B24C-BC860FEB33A3}"/>
            </c:ext>
          </c:extLst>
        </c:ser>
        <c:ser>
          <c:idx val="6"/>
          <c:order val="6"/>
          <c:tx>
            <c:strRef>
              <c:f>'Cooling technologies'!$I$67</c:f>
              <c:strCache>
                <c:ptCount val="1"/>
                <c:pt idx="0">
                  <c:v>No active cooling equipment</c:v>
                </c:pt>
              </c:strCache>
            </c:strRef>
          </c:tx>
          <c:spPr>
            <a:solidFill>
              <a:srgbClr val="B7B7B7"/>
            </a:solidFill>
            <a:ln cmpd="sng">
              <a:solidFill>
                <a:srgbClr val="000000"/>
              </a:solidFill>
            </a:ln>
          </c:spPr>
          <c:invertIfNegative val="1"/>
          <c:cat>
            <c:numRef>
              <c:f>'Cooling technologies'!$A$68:$A$75</c:f>
              <c:numCache>
                <c:formatCode>General</c:formatCode>
                <c:ptCount val="8"/>
                <c:pt idx="0">
                  <c:v>1</c:v>
                </c:pt>
                <c:pt idx="1">
                  <c:v>2</c:v>
                </c:pt>
                <c:pt idx="2">
                  <c:v>3</c:v>
                </c:pt>
                <c:pt idx="3">
                  <c:v>4</c:v>
                </c:pt>
                <c:pt idx="4">
                  <c:v>5</c:v>
                </c:pt>
                <c:pt idx="5">
                  <c:v>6</c:v>
                </c:pt>
                <c:pt idx="6">
                  <c:v>7</c:v>
                </c:pt>
                <c:pt idx="7">
                  <c:v>8</c:v>
                </c:pt>
              </c:numCache>
            </c:numRef>
          </c:cat>
          <c:val>
            <c:numRef>
              <c:f>'Cooling technologies'!$I$68:$I$75</c:f>
              <c:numCache>
                <c:formatCode>0%</c:formatCode>
                <c:ptCount val="8"/>
                <c:pt idx="0">
                  <c:v>0.23751679551145966</c:v>
                </c:pt>
                <c:pt idx="1">
                  <c:v>0.39441974638485522</c:v>
                </c:pt>
                <c:pt idx="2">
                  <c:v>0.40330899781406837</c:v>
                </c:pt>
                <c:pt idx="3">
                  <c:v>0.40330899781406837</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6ADE-1748-B24C-BC860FEB33A3}"/>
            </c:ext>
          </c:extLst>
        </c:ser>
        <c:dLbls>
          <c:showLegendKey val="0"/>
          <c:showVal val="0"/>
          <c:showCatName val="0"/>
          <c:showSerName val="0"/>
          <c:showPercent val="0"/>
          <c:showBubbleSize val="0"/>
        </c:dLbls>
        <c:gapWidth val="150"/>
        <c:overlap val="100"/>
        <c:axId val="42573196"/>
        <c:axId val="449662565"/>
      </c:barChart>
      <c:catAx>
        <c:axId val="42573196"/>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Building type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449662565"/>
        <c:crosses val="autoZero"/>
        <c:auto val="1"/>
        <c:lblAlgn val="ctr"/>
        <c:lblOffset val="100"/>
        <c:noMultiLvlLbl val="1"/>
      </c:catAx>
      <c:valAx>
        <c:axId val="4496625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42573196"/>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strRef>
              <c:f>'Cooling technologies'!$C$78</c:f>
              <c:strCache>
                <c:ptCount val="1"/>
                <c:pt idx="0">
                  <c:v>ASHP</c:v>
                </c:pt>
              </c:strCache>
            </c:strRef>
          </c:tx>
          <c:spPr>
            <a:solidFill>
              <a:srgbClr val="4285F4"/>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technologies'!$C$79:$C$86</c:f>
              <c:numCache>
                <c:formatCode>0%</c:formatCode>
                <c:ptCount val="8"/>
                <c:pt idx="0">
                  <c:v>5.4612913387866148E-2</c:v>
                </c:pt>
                <c:pt idx="1">
                  <c:v>4.3143353353681628E-2</c:v>
                </c:pt>
                <c:pt idx="2">
                  <c:v>4.3143353353681628E-2</c:v>
                </c:pt>
                <c:pt idx="3">
                  <c:v>4.3143353353681628E-2</c:v>
                </c:pt>
                <c:pt idx="4">
                  <c:v>7.6181013460385E-2</c:v>
                </c:pt>
                <c:pt idx="5">
                  <c:v>7.6181013460385E-2</c:v>
                </c:pt>
                <c:pt idx="6">
                  <c:v>2.9364922342840247E-2</c:v>
                </c:pt>
                <c:pt idx="7">
                  <c:v>2.9364922342840247E-2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BC3-2A4A-9D11-175819A1D116}"/>
            </c:ext>
          </c:extLst>
        </c:ser>
        <c:ser>
          <c:idx val="1"/>
          <c:order val="1"/>
          <c:tx>
            <c:strRef>
              <c:f>'Cooling technologies'!$D$78</c:f>
              <c:strCache>
                <c:ptCount val="1"/>
                <c:pt idx="0">
                  <c:v>GSHP</c:v>
                </c:pt>
              </c:strCache>
            </c:strRef>
          </c:tx>
          <c:spPr>
            <a:solidFill>
              <a:srgbClr val="EA4335"/>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technologies'!$D$79:$D$86</c:f>
              <c:numCache>
                <c:formatCode>0%</c:formatCode>
                <c:ptCount val="8"/>
                <c:pt idx="0">
                  <c:v>1.9243989954560593E-2</c:v>
                </c:pt>
                <c:pt idx="1">
                  <c:v>1.520245317527359E-2</c:v>
                </c:pt>
                <c:pt idx="2">
                  <c:v>1.520245317527359E-2</c:v>
                </c:pt>
                <c:pt idx="3">
                  <c:v>1.520245317527359E-2</c:v>
                </c:pt>
                <c:pt idx="4">
                  <c:v>2.8346423613166513E-2</c:v>
                </c:pt>
                <c:pt idx="5">
                  <c:v>2.8346423613166513E-2</c:v>
                </c:pt>
                <c:pt idx="6">
                  <c:v>5.9732821160388513E-2</c:v>
                </c:pt>
                <c:pt idx="7">
                  <c:v>5.9732821160388513E-2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BC3-2A4A-9D11-175819A1D116}"/>
            </c:ext>
          </c:extLst>
        </c:ser>
        <c:ser>
          <c:idx val="2"/>
          <c:order val="2"/>
          <c:tx>
            <c:strRef>
              <c:f>'Cooling technologies'!$E$78</c:f>
              <c:strCache>
                <c:ptCount val="1"/>
                <c:pt idx="0">
                  <c:v>WSHP</c:v>
                </c:pt>
              </c:strCache>
            </c:strRef>
          </c:tx>
          <c:spPr>
            <a:solidFill>
              <a:srgbClr val="FBBC04"/>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technologies'!$E$79:$E$86</c:f>
              <c:numCache>
                <c:formatCode>0%</c:formatCode>
                <c:ptCount val="8"/>
                <c:pt idx="0">
                  <c:v>2.5717503394932659E-2</c:v>
                </c:pt>
                <c:pt idx="1">
                  <c:v>2.0316428249524645E-2</c:v>
                </c:pt>
                <c:pt idx="2">
                  <c:v>2.0316428249524645E-2</c:v>
                </c:pt>
                <c:pt idx="3">
                  <c:v>2.0316428249524645E-2</c:v>
                </c:pt>
                <c:pt idx="4">
                  <c:v>1.3935228772517495E-2</c:v>
                </c:pt>
                <c:pt idx="5">
                  <c:v>1.3935228772517495E-2</c:v>
                </c:pt>
                <c:pt idx="6">
                  <c:v>2.9364922342840247E-2</c:v>
                </c:pt>
                <c:pt idx="7">
                  <c:v>2.9364922342840247E-2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BC3-2A4A-9D11-175819A1D116}"/>
            </c:ext>
          </c:extLst>
        </c:ser>
        <c:ser>
          <c:idx val="3"/>
          <c:order val="3"/>
          <c:tx>
            <c:strRef>
              <c:f>'Cooling technologies'!$F$78</c:f>
              <c:strCache>
                <c:ptCount val="1"/>
                <c:pt idx="0">
                  <c:v>Chiller</c:v>
                </c:pt>
              </c:strCache>
            </c:strRef>
          </c:tx>
          <c:spPr>
            <a:solidFill>
              <a:srgbClr val="34A853"/>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technologies'!$F$79:$F$86</c:f>
              <c:numCache>
                <c:formatCode>0%</c:formatCode>
                <c:ptCount val="8"/>
                <c:pt idx="0">
                  <c:v>0.36126810180199048</c:v>
                </c:pt>
                <c:pt idx="1">
                  <c:v>0</c:v>
                </c:pt>
                <c:pt idx="2">
                  <c:v>0</c:v>
                </c:pt>
                <c:pt idx="3">
                  <c:v>0</c:v>
                </c:pt>
                <c:pt idx="4">
                  <c:v>0.88153733415393098</c:v>
                </c:pt>
                <c:pt idx="5">
                  <c:v>0.88153733415393098</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3BC3-2A4A-9D11-175819A1D116}"/>
            </c:ext>
          </c:extLst>
        </c:ser>
        <c:ser>
          <c:idx val="4"/>
          <c:order val="4"/>
          <c:tx>
            <c:strRef>
              <c:f>'Cooling technologies'!$G$78</c:f>
              <c:strCache>
                <c:ptCount val="1"/>
                <c:pt idx="0">
                  <c:v>Split AC</c:v>
                </c:pt>
              </c:strCache>
            </c:strRef>
          </c:tx>
          <c:spPr>
            <a:solidFill>
              <a:srgbClr val="FF6D01"/>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technologies'!$G$79:$G$86</c:f>
              <c:numCache>
                <c:formatCode>0%</c:formatCode>
                <c:ptCount val="8"/>
                <c:pt idx="0">
                  <c:v>0</c:v>
                </c:pt>
                <c:pt idx="1">
                  <c:v>0</c:v>
                </c:pt>
                <c:pt idx="2">
                  <c:v>0.13290020539231712</c:v>
                </c:pt>
                <c:pt idx="3">
                  <c:v>0.13290020539231712</c:v>
                </c:pt>
                <c:pt idx="4">
                  <c:v>0</c:v>
                </c:pt>
                <c:pt idx="5">
                  <c:v>0</c:v>
                </c:pt>
                <c:pt idx="6">
                  <c:v>0.41439789212364281</c:v>
                </c:pt>
                <c:pt idx="7">
                  <c:v>0.41439789212364281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3BC3-2A4A-9D11-175819A1D116}"/>
            </c:ext>
          </c:extLst>
        </c:ser>
        <c:ser>
          <c:idx val="5"/>
          <c:order val="5"/>
          <c:tx>
            <c:strRef>
              <c:f>'Cooling technologies'!$H$78</c:f>
              <c:strCache>
                <c:ptCount val="1"/>
                <c:pt idx="0">
                  <c:v>Mobile AC</c:v>
                </c:pt>
              </c:strCache>
            </c:strRef>
          </c:tx>
          <c:spPr>
            <a:solidFill>
              <a:srgbClr val="46BDC6"/>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technologies'!$H$79:$H$86</c:f>
              <c:numCache>
                <c:formatCode>0%</c:formatCode>
                <c:ptCount val="8"/>
                <c:pt idx="0">
                  <c:v>0.53915749146065006</c:v>
                </c:pt>
                <c:pt idx="1">
                  <c:v>0.72309108982089332</c:v>
                </c:pt>
                <c:pt idx="2">
                  <c:v>0.57842202828766809</c:v>
                </c:pt>
                <c:pt idx="3">
                  <c:v>0.57842202828766809</c:v>
                </c:pt>
                <c:pt idx="4">
                  <c:v>0</c:v>
                </c:pt>
                <c:pt idx="5">
                  <c:v>0</c:v>
                </c:pt>
                <c:pt idx="6">
                  <c:v>0.46713944203028823</c:v>
                </c:pt>
                <c:pt idx="7">
                  <c:v>0.46713944203028823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3BC3-2A4A-9D11-175819A1D116}"/>
            </c:ext>
          </c:extLst>
        </c:ser>
        <c:ser>
          <c:idx val="6"/>
          <c:order val="6"/>
          <c:tx>
            <c:strRef>
              <c:f>'Cooling technologies'!$I$78</c:f>
              <c:strCache>
                <c:ptCount val="1"/>
                <c:pt idx="0">
                  <c:v>No active cooling equipment</c:v>
                </c:pt>
              </c:strCache>
            </c:strRef>
          </c:tx>
          <c:spPr>
            <a:solidFill>
              <a:srgbClr val="B7B7B7"/>
            </a:solidFill>
            <a:ln cmpd="sng">
              <a:solidFill>
                <a:srgbClr val="000000"/>
              </a:solidFill>
            </a:ln>
          </c:spPr>
          <c:invertIfNegative val="1"/>
          <c:cat>
            <c:numRef>
              <c:f>'Cooling technologies'!$A$79:$A$86</c:f>
              <c:numCache>
                <c:formatCode>General</c:formatCode>
                <c:ptCount val="8"/>
                <c:pt idx="0">
                  <c:v>1</c:v>
                </c:pt>
                <c:pt idx="1">
                  <c:v>2</c:v>
                </c:pt>
                <c:pt idx="2">
                  <c:v>3</c:v>
                </c:pt>
                <c:pt idx="3">
                  <c:v>4</c:v>
                </c:pt>
                <c:pt idx="4">
                  <c:v>5</c:v>
                </c:pt>
                <c:pt idx="5">
                  <c:v>6</c:v>
                </c:pt>
                <c:pt idx="6">
                  <c:v>7</c:v>
                </c:pt>
                <c:pt idx="7">
                  <c:v>8</c:v>
                </c:pt>
              </c:numCache>
            </c:numRef>
          </c:cat>
          <c:val>
            <c:numRef>
              <c:f>'Cooling technologies'!$I$79:$I$86</c:f>
              <c:numCache>
                <c:formatCode>0%</c:formatCode>
                <c:ptCount val="8"/>
                <c:pt idx="0">
                  <c:v>0</c:v>
                </c:pt>
                <c:pt idx="1">
                  <c:v>0.19824667540062679</c:v>
                </c:pt>
                <c:pt idx="2">
                  <c:v>0.21001553154153496</c:v>
                </c:pt>
                <c:pt idx="3">
                  <c:v>0.21001553154153496</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3BC3-2A4A-9D11-175819A1D116}"/>
            </c:ext>
          </c:extLst>
        </c:ser>
        <c:dLbls>
          <c:showLegendKey val="0"/>
          <c:showVal val="0"/>
          <c:showCatName val="0"/>
          <c:showSerName val="0"/>
          <c:showPercent val="0"/>
          <c:showBubbleSize val="0"/>
        </c:dLbls>
        <c:gapWidth val="150"/>
        <c:overlap val="100"/>
        <c:axId val="1365772371"/>
        <c:axId val="1908248827"/>
      </c:barChart>
      <c:catAx>
        <c:axId val="1365772371"/>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Building type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908248827"/>
        <c:crosses val="autoZero"/>
        <c:auto val="1"/>
        <c:lblAlgn val="ctr"/>
        <c:lblOffset val="100"/>
        <c:noMultiLvlLbl val="1"/>
      </c:catAx>
      <c:valAx>
        <c:axId val="19082488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1365772371"/>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v>Production phase</c:v>
          </c:tx>
          <c:spPr>
            <a:solidFill>
              <a:srgbClr val="4285F4">
                <a:alpha val="50196"/>
              </a:srgbClr>
            </a:solidFill>
            <a:ln cmpd="sng">
              <a:solidFill>
                <a:srgbClr val="000000">
                  <a:alpha val="0"/>
                </a:srgbClr>
              </a:solidFill>
            </a:ln>
          </c:spPr>
          <c:invertIfNegative val="1"/>
          <c:dPt>
            <c:idx val="3"/>
            <c:invertIfNegative val="1"/>
            <c:bubble3D val="0"/>
            <c:extLst>
              <c:ext xmlns:c16="http://schemas.microsoft.com/office/drawing/2014/chart" uri="{C3380CC4-5D6E-409C-BE32-E72D297353CC}">
                <c16:uniqueId val="{00000000-2931-1E4B-A624-D47C8021C1F1}"/>
              </c:ext>
            </c:extLst>
          </c:dPt>
          <c:dPt>
            <c:idx val="4"/>
            <c:invertIfNegative val="1"/>
            <c:bubble3D val="0"/>
            <c:spPr>
              <a:solidFill>
                <a:srgbClr val="4285F4"/>
              </a:solidFill>
              <a:ln cmpd="sng">
                <a:solidFill>
                  <a:srgbClr val="000000"/>
                </a:solidFill>
              </a:ln>
            </c:spPr>
            <c:extLst>
              <c:ext xmlns:c16="http://schemas.microsoft.com/office/drawing/2014/chart" uri="{C3380CC4-5D6E-409C-BE32-E72D297353CC}">
                <c16:uniqueId val="{00000002-2931-1E4B-A624-D47C8021C1F1}"/>
              </c:ext>
            </c:extLst>
          </c:dPt>
          <c:cat>
            <c:strRef>
              <c:f>'LCA results of ventilation syst'!$Y$4:$Y$8</c:f>
              <c:strCache>
                <c:ptCount val="5"/>
                <c:pt idx="0">
                  <c:v>1: central ventilation system, polyethylene ducts</c:v>
                </c:pt>
                <c:pt idx="1">
                  <c:v>2: central ventilation system, steel ducts</c:v>
                </c:pt>
                <c:pt idx="2">
                  <c:v>3: decentralized ventilation system, polyethylene ducts</c:v>
                </c:pt>
                <c:pt idx="3">
                  <c:v>4: decentralized ventilation system, steel ducts</c:v>
                </c:pt>
                <c:pt idx="4">
                  <c:v>Average</c:v>
                </c:pt>
              </c:strCache>
            </c:strRef>
          </c:cat>
          <c:val>
            <c:numRef>
              <c:f>'LCA results of ventilation syst'!$AA$4:$AA$8</c:f>
              <c:numCache>
                <c:formatCode>#,##0.00</c:formatCode>
                <c:ptCount val="5"/>
                <c:pt idx="0">
                  <c:v>3.9743242080870278</c:v>
                </c:pt>
                <c:pt idx="1">
                  <c:v>4.1202830573635003</c:v>
                </c:pt>
                <c:pt idx="2">
                  <c:v>4.231530988247771</c:v>
                </c:pt>
                <c:pt idx="3">
                  <c:v>4.2746346851521251</c:v>
                </c:pt>
                <c:pt idx="4">
                  <c:v>4.1501932347126056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alpha val="0"/>
                      </a:srgbClr>
                    </a:solidFill>
                  </a:ln>
                </c14:spPr>
              </c14:invertSolidFillFmt>
            </c:ext>
            <c:ext xmlns:c16="http://schemas.microsoft.com/office/drawing/2014/chart" uri="{C3380CC4-5D6E-409C-BE32-E72D297353CC}">
              <c16:uniqueId val="{00000003-2931-1E4B-A624-D47C8021C1F1}"/>
            </c:ext>
          </c:extLst>
        </c:ser>
        <c:ser>
          <c:idx val="1"/>
          <c:order val="1"/>
          <c:tx>
            <c:v>EoL phase</c:v>
          </c:tx>
          <c:spPr>
            <a:solidFill>
              <a:srgbClr val="EA4335">
                <a:alpha val="50196"/>
              </a:srgbClr>
            </a:solidFill>
            <a:ln cmpd="sng">
              <a:solidFill>
                <a:srgbClr val="000000">
                  <a:alpha val="0"/>
                </a:srgbClr>
              </a:solidFill>
            </a:ln>
          </c:spPr>
          <c:invertIfNegative val="1"/>
          <c:dPt>
            <c:idx val="4"/>
            <c:invertIfNegative val="1"/>
            <c:bubble3D val="0"/>
            <c:spPr>
              <a:solidFill>
                <a:srgbClr val="EA4335"/>
              </a:solidFill>
              <a:ln cmpd="sng">
                <a:solidFill>
                  <a:srgbClr val="000000"/>
                </a:solidFill>
              </a:ln>
            </c:spPr>
            <c:extLst>
              <c:ext xmlns:c16="http://schemas.microsoft.com/office/drawing/2014/chart" uri="{C3380CC4-5D6E-409C-BE32-E72D297353CC}">
                <c16:uniqueId val="{00000005-2931-1E4B-A624-D47C8021C1F1}"/>
              </c:ext>
            </c:extLst>
          </c:dPt>
          <c:cat>
            <c:strRef>
              <c:f>'LCA results of ventilation syst'!$Y$4:$Y$8</c:f>
              <c:strCache>
                <c:ptCount val="5"/>
                <c:pt idx="0">
                  <c:v>1: central ventilation system, polyethylene ducts</c:v>
                </c:pt>
                <c:pt idx="1">
                  <c:v>2: central ventilation system, steel ducts</c:v>
                </c:pt>
                <c:pt idx="2">
                  <c:v>3: decentralized ventilation system, polyethylene ducts</c:v>
                </c:pt>
                <c:pt idx="3">
                  <c:v>4: decentralized ventilation system, steel ducts</c:v>
                </c:pt>
                <c:pt idx="4">
                  <c:v>Average</c:v>
                </c:pt>
              </c:strCache>
            </c:strRef>
          </c:cat>
          <c:val>
            <c:numRef>
              <c:f>'LCA results of ventilation syst'!$AB$4:$AB$8</c:f>
              <c:numCache>
                <c:formatCode>#,##0.00</c:formatCode>
                <c:ptCount val="5"/>
                <c:pt idx="0">
                  <c:v>0.38210539615281558</c:v>
                </c:pt>
                <c:pt idx="1">
                  <c:v>0.18996777485116376</c:v>
                </c:pt>
                <c:pt idx="2">
                  <c:v>0.39360137517981675</c:v>
                </c:pt>
                <c:pt idx="3">
                  <c:v>0.21436892102477603</c:v>
                </c:pt>
                <c:pt idx="4">
                  <c:v>0.29501086680214306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alpha val="0"/>
                      </a:srgbClr>
                    </a:solidFill>
                  </a:ln>
                </c14:spPr>
              </c14:invertSolidFillFmt>
            </c:ext>
            <c:ext xmlns:c16="http://schemas.microsoft.com/office/drawing/2014/chart" uri="{C3380CC4-5D6E-409C-BE32-E72D297353CC}">
              <c16:uniqueId val="{00000006-2931-1E4B-A624-D47C8021C1F1}"/>
            </c:ext>
          </c:extLst>
        </c:ser>
        <c:dLbls>
          <c:showLegendKey val="0"/>
          <c:showVal val="0"/>
          <c:showCatName val="0"/>
          <c:showSerName val="0"/>
          <c:showPercent val="0"/>
          <c:showBubbleSize val="0"/>
        </c:dLbls>
        <c:gapWidth val="150"/>
        <c:overlap val="100"/>
        <c:axId val="855036487"/>
        <c:axId val="1933352945"/>
      </c:barChart>
      <c:catAx>
        <c:axId val="855036487"/>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933352945"/>
        <c:crosses val="autoZero"/>
        <c:auto val="1"/>
        <c:lblAlgn val="ctr"/>
        <c:lblOffset val="100"/>
        <c:noMultiLvlLbl val="1"/>
      </c:catAx>
      <c:valAx>
        <c:axId val="19333529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Carbon intensity (kg CO2eq/kg)</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NL"/>
          </a:p>
        </c:txPr>
        <c:crossAx val="855036487"/>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clustered"/>
        <c:varyColors val="1"/>
        <c:ser>
          <c:idx val="0"/>
          <c:order val="0"/>
          <c:tx>
            <c:strRef>
              <c:f>'Material scarcity'!$J$100</c:f>
              <c:strCache>
                <c:ptCount val="1"/>
                <c:pt idx="0">
                  <c:v>Characterization factor (kg Si eq/kg)</c:v>
                </c:pt>
              </c:strCache>
            </c:strRef>
          </c:tx>
          <c:spPr>
            <a:solidFill>
              <a:srgbClr val="4285F4"/>
            </a:solidFill>
            <a:ln cmpd="sng">
              <a:solidFill>
                <a:srgbClr val="000000"/>
              </a:solidFill>
            </a:ln>
          </c:spPr>
          <c:invertIfNegative val="1"/>
          <c:dPt>
            <c:idx val="8"/>
            <c:invertIfNegative val="1"/>
            <c:bubble3D val="0"/>
            <c:spPr>
              <a:solidFill>
                <a:srgbClr val="6AA84F"/>
              </a:solidFill>
              <a:ln cmpd="sng">
                <a:solidFill>
                  <a:srgbClr val="000000"/>
                </a:solidFill>
              </a:ln>
            </c:spPr>
            <c:extLst>
              <c:ext xmlns:c16="http://schemas.microsoft.com/office/drawing/2014/chart" uri="{C3380CC4-5D6E-409C-BE32-E72D297353CC}">
                <c16:uniqueId val="{00000001-D346-3944-B2C2-3E1D3875F697}"/>
              </c:ext>
            </c:extLst>
          </c:dPt>
          <c:dPt>
            <c:idx val="9"/>
            <c:invertIfNegative val="1"/>
            <c:bubble3D val="0"/>
            <c:extLst>
              <c:ext xmlns:c16="http://schemas.microsoft.com/office/drawing/2014/chart" uri="{C3380CC4-5D6E-409C-BE32-E72D297353CC}">
                <c16:uniqueId val="{00000002-D346-3944-B2C2-3E1D3875F697}"/>
              </c:ext>
            </c:extLst>
          </c:dPt>
          <c:cat>
            <c:strRef>
              <c:f>'Material scarcity'!$I$101:$I$115</c:f>
              <c:strCache>
                <c:ptCount val="15"/>
                <c:pt idx="0">
                  <c:v>Silicon</c:v>
                </c:pt>
                <c:pt idx="1">
                  <c:v>Iron</c:v>
                </c:pt>
                <c:pt idx="2">
                  <c:v>Magnesium</c:v>
                </c:pt>
                <c:pt idx="3">
                  <c:v>Calcite</c:v>
                </c:pt>
                <c:pt idx="4">
                  <c:v>Titanium</c:v>
                </c:pt>
                <c:pt idx="5">
                  <c:v>Coal</c:v>
                </c:pt>
                <c:pt idx="6">
                  <c:v>Crude oil</c:v>
                </c:pt>
                <c:pt idx="7">
                  <c:v>Fluorspar</c:v>
                </c:pt>
                <c:pt idx="8">
                  <c:v>Ventilation system - average</c:v>
                </c:pt>
                <c:pt idx="9">
                  <c:v>Phosphorus</c:v>
                </c:pt>
                <c:pt idx="10">
                  <c:v>Zinc</c:v>
                </c:pt>
                <c:pt idx="11">
                  <c:v>Copper</c:v>
                </c:pt>
                <c:pt idx="12">
                  <c:v>Lead</c:v>
                </c:pt>
                <c:pt idx="13">
                  <c:v>Molybdenum</c:v>
                </c:pt>
                <c:pt idx="14">
                  <c:v>Silver</c:v>
                </c:pt>
              </c:strCache>
            </c:strRef>
          </c:cat>
          <c:val>
            <c:numRef>
              <c:f>'Material scarcity'!$J$101:$J$115</c:f>
              <c:numCache>
                <c:formatCode>#,##0</c:formatCode>
                <c:ptCount val="15"/>
                <c:pt idx="0">
                  <c:v>1</c:v>
                </c:pt>
                <c:pt idx="1">
                  <c:v>5.4</c:v>
                </c:pt>
                <c:pt idx="2">
                  <c:v>10</c:v>
                </c:pt>
                <c:pt idx="3">
                  <c:v>19</c:v>
                </c:pt>
                <c:pt idx="4">
                  <c:v>67</c:v>
                </c:pt>
                <c:pt idx="5">
                  <c:v>180</c:v>
                </c:pt>
                <c:pt idx="6">
                  <c:v>200</c:v>
                </c:pt>
                <c:pt idx="7">
                  <c:v>250</c:v>
                </c:pt>
                <c:pt idx="8" formatCode="0">
                  <c:v>534.16197961732394</c:v>
                </c:pt>
                <c:pt idx="9" formatCode="General">
                  <c:v>650</c:v>
                </c:pt>
                <c:pt idx="10" formatCode="General">
                  <c:v>3900</c:v>
                </c:pt>
                <c:pt idx="11">
                  <c:v>10000</c:v>
                </c:pt>
                <c:pt idx="12">
                  <c:v>26000</c:v>
                </c:pt>
                <c:pt idx="13">
                  <c:v>350000</c:v>
                </c:pt>
                <c:pt idx="14">
                  <c:v>5100000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D346-3944-B2C2-3E1D3875F697}"/>
            </c:ext>
          </c:extLst>
        </c:ser>
        <c:dLbls>
          <c:showLegendKey val="0"/>
          <c:showVal val="0"/>
          <c:showCatName val="0"/>
          <c:showSerName val="0"/>
          <c:showPercent val="0"/>
          <c:showBubbleSize val="0"/>
        </c:dLbls>
        <c:gapWidth val="150"/>
        <c:axId val="447279931"/>
        <c:axId val="1866333916"/>
      </c:barChart>
      <c:catAx>
        <c:axId val="447279931"/>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866333916"/>
        <c:crosses val="autoZero"/>
        <c:auto val="1"/>
        <c:lblAlgn val="ctr"/>
        <c:lblOffset val="100"/>
        <c:noMultiLvlLbl val="1"/>
      </c:catAx>
      <c:valAx>
        <c:axId val="18663339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Crustal scarcity (kg Si eq/kg)</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447279931"/>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clustered"/>
        <c:varyColors val="1"/>
        <c:ser>
          <c:idx val="0"/>
          <c:order val="0"/>
          <c:tx>
            <c:v>Share of material footprint</c:v>
          </c:tx>
          <c:spPr>
            <a:solidFill>
              <a:srgbClr val="4285F4"/>
            </a:solidFill>
            <a:ln cmpd="sng">
              <a:solidFill>
                <a:srgbClr val="000000"/>
              </a:solidFill>
            </a:ln>
          </c:spPr>
          <c:invertIfNegative val="1"/>
          <c:cat>
            <c:strRef>
              <c:f>'Material scarcity'!$A$210:$A$222</c:f>
              <c:strCache>
                <c:ptCount val="13"/>
                <c:pt idx="0">
                  <c:v>Coking coal</c:v>
                </c:pt>
                <c:pt idx="1">
                  <c:v>Magnesium</c:v>
                </c:pt>
                <c:pt idx="2">
                  <c:v>Borax</c:v>
                </c:pt>
                <c:pt idx="3">
                  <c:v>Fluorspar</c:v>
                </c:pt>
                <c:pt idx="4">
                  <c:v>Titanium</c:v>
                </c:pt>
                <c:pt idx="5">
                  <c:v>Phosphorus</c:v>
                </c:pt>
                <c:pt idx="6">
                  <c:v>Cerium</c:v>
                </c:pt>
                <c:pt idx="7">
                  <c:v>Strontium</c:v>
                </c:pt>
                <c:pt idx="8">
                  <c:v>Lanthanum</c:v>
                </c:pt>
                <c:pt idx="9">
                  <c:v>Neodymium</c:v>
                </c:pt>
                <c:pt idx="10">
                  <c:v>Cobalt</c:v>
                </c:pt>
                <c:pt idx="11">
                  <c:v>Gallium</c:v>
                </c:pt>
                <c:pt idx="12">
                  <c:v>Praseodymium</c:v>
                </c:pt>
              </c:strCache>
            </c:strRef>
          </c:cat>
          <c:val>
            <c:numRef>
              <c:f>'Material scarcity'!$D$210:$D$222</c:f>
              <c:numCache>
                <c:formatCode>#,##0</c:formatCode>
                <c:ptCount val="13"/>
                <c:pt idx="0">
                  <c:v>371576.82627599098</c:v>
                </c:pt>
                <c:pt idx="1">
                  <c:v>2389.1876083900847</c:v>
                </c:pt>
                <c:pt idx="2">
                  <c:v>447.12537406574609</c:v>
                </c:pt>
                <c:pt idx="3">
                  <c:v>275.09697718953799</c:v>
                </c:pt>
                <c:pt idx="4">
                  <c:v>265.60082453445739</c:v>
                </c:pt>
                <c:pt idx="5">
                  <c:v>34.144012551169808</c:v>
                </c:pt>
                <c:pt idx="6">
                  <c:v>12.405540275381194</c:v>
                </c:pt>
                <c:pt idx="7">
                  <c:v>9.17353515024549</c:v>
                </c:pt>
                <c:pt idx="8">
                  <c:v>5.7972590112659592</c:v>
                </c:pt>
                <c:pt idx="9">
                  <c:v>4.5681798051627744</c:v>
                </c:pt>
                <c:pt idx="10">
                  <c:v>3.6788975534366699</c:v>
                </c:pt>
                <c:pt idx="11">
                  <c:v>3.135659472553737</c:v>
                </c:pt>
                <c:pt idx="12">
                  <c:v>1.5297231347926952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D87-F64B-B409-FCC3A50D775C}"/>
            </c:ext>
          </c:extLst>
        </c:ser>
        <c:ser>
          <c:idx val="1"/>
          <c:order val="1"/>
          <c:tx>
            <c:v>Share of scarcity impact</c:v>
          </c:tx>
          <c:spPr>
            <a:solidFill>
              <a:srgbClr val="EA4335"/>
            </a:solidFill>
            <a:ln cmpd="sng">
              <a:solidFill>
                <a:srgbClr val="000000"/>
              </a:solidFill>
            </a:ln>
          </c:spPr>
          <c:invertIfNegative val="1"/>
          <c:cat>
            <c:strRef>
              <c:f>'Material scarcity'!$A$210:$A$222</c:f>
              <c:strCache>
                <c:ptCount val="13"/>
                <c:pt idx="0">
                  <c:v>Coking coal</c:v>
                </c:pt>
                <c:pt idx="1">
                  <c:v>Magnesium</c:v>
                </c:pt>
                <c:pt idx="2">
                  <c:v>Borax</c:v>
                </c:pt>
                <c:pt idx="3">
                  <c:v>Fluorspar</c:v>
                </c:pt>
                <c:pt idx="4">
                  <c:v>Titanium</c:v>
                </c:pt>
                <c:pt idx="5">
                  <c:v>Phosphorus</c:v>
                </c:pt>
                <c:pt idx="6">
                  <c:v>Cerium</c:v>
                </c:pt>
                <c:pt idx="7">
                  <c:v>Strontium</c:v>
                </c:pt>
                <c:pt idx="8">
                  <c:v>Lanthanum</c:v>
                </c:pt>
                <c:pt idx="9">
                  <c:v>Neodymium</c:v>
                </c:pt>
                <c:pt idx="10">
                  <c:v>Cobalt</c:v>
                </c:pt>
                <c:pt idx="11">
                  <c:v>Gallium</c:v>
                </c:pt>
                <c:pt idx="12">
                  <c:v>Praseodymium</c:v>
                </c:pt>
              </c:strCache>
            </c:strRef>
          </c:cat>
          <c:val>
            <c:numRef>
              <c:f>'Material scarcity'!$E$210:$E$222</c:f>
              <c:numCache>
                <c:formatCode>#,##0</c:formatCode>
                <c:ptCount val="13"/>
                <c:pt idx="0">
                  <c:v>129194.22642365316</c:v>
                </c:pt>
                <c:pt idx="1">
                  <c:v>45.468541809331654</c:v>
                </c:pt>
                <c:pt idx="2">
                  <c:v>2548.9201618693869</c:v>
                </c:pt>
                <c:pt idx="3">
                  <c:v>135.17773913505633</c:v>
                </c:pt>
                <c:pt idx="4">
                  <c:v>34.489985792741514</c:v>
                </c:pt>
                <c:pt idx="5">
                  <c:v>42.741867075509688</c:v>
                </c:pt>
                <c:pt idx="6">
                  <c:v>156.39390483288346</c:v>
                </c:pt>
                <c:pt idx="7">
                  <c:v>15.276857589622063</c:v>
                </c:pt>
                <c:pt idx="8">
                  <c:v>154.89512845477279</c:v>
                </c:pt>
                <c:pt idx="9">
                  <c:v>122.1927806401834</c:v>
                </c:pt>
                <c:pt idx="10">
                  <c:v>78.616646219110265</c:v>
                </c:pt>
                <c:pt idx="11">
                  <c:v>110.85921879590323</c:v>
                </c:pt>
                <c:pt idx="12">
                  <c:v>16.952528194973464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D87-F64B-B409-FCC3A50D775C}"/>
            </c:ext>
          </c:extLst>
        </c:ser>
        <c:dLbls>
          <c:showLegendKey val="0"/>
          <c:showVal val="0"/>
          <c:showCatName val="0"/>
          <c:showSerName val="0"/>
          <c:showPercent val="0"/>
          <c:showBubbleSize val="0"/>
        </c:dLbls>
        <c:gapWidth val="150"/>
        <c:axId val="972591755"/>
        <c:axId val="1036415776"/>
      </c:barChart>
      <c:catAx>
        <c:axId val="972591755"/>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036415776"/>
        <c:crosses val="autoZero"/>
        <c:auto val="1"/>
        <c:lblAlgn val="ctr"/>
        <c:lblOffset val="100"/>
        <c:noMultiLvlLbl val="1"/>
      </c:catAx>
      <c:valAx>
        <c:axId val="1036415776"/>
        <c:scaling>
          <c:orientation val="minMax"/>
          <c:min val="1"/>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0000%" sourceLinked="0"/>
        <c:majorTickMark val="none"/>
        <c:minorTickMark val="none"/>
        <c:tickLblPos val="nextTo"/>
        <c:spPr>
          <a:ln/>
        </c:spPr>
        <c:txPr>
          <a:bodyPr/>
          <a:lstStyle/>
          <a:p>
            <a:pPr lvl="0">
              <a:defRPr b="0">
                <a:solidFill>
                  <a:srgbClr val="000000"/>
                </a:solidFill>
                <a:latin typeface="+mn-lt"/>
              </a:defRPr>
            </a:pPr>
            <a:endParaRPr lang="en-NL"/>
          </a:p>
        </c:txPr>
        <c:crossAx val="972591755"/>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757575"/>
                </a:solidFill>
                <a:latin typeface="+mn-lt"/>
              </a:defRPr>
            </a:pPr>
            <a:r>
              <a:rPr lang="en-GB" b="0">
                <a:solidFill>
                  <a:srgbClr val="757575"/>
                </a:solidFill>
                <a:latin typeface="+mn-lt"/>
              </a:rPr>
              <a:t>Share of scarcity</a:t>
            </a:r>
          </a:p>
        </c:rich>
      </c:tx>
      <c:overlay val="0"/>
    </c:title>
    <c:autoTitleDeleted val="0"/>
    <c:plotArea>
      <c:layout/>
      <c:barChart>
        <c:barDir val="col"/>
        <c:grouping val="clustered"/>
        <c:varyColors val="1"/>
        <c:ser>
          <c:idx val="0"/>
          <c:order val="0"/>
          <c:tx>
            <c:strRef>
              <c:f>'Material scarcity'!$B$155</c:f>
              <c:strCache>
                <c:ptCount val="1"/>
                <c:pt idx="0">
                  <c:v>Share of scarcity impact</c:v>
                </c:pt>
              </c:strCache>
            </c:strRef>
          </c:tx>
          <c:spPr>
            <a:solidFill>
              <a:srgbClr val="4285F4"/>
            </a:solidFill>
            <a:ln cmpd="sng">
              <a:solidFill>
                <a:srgbClr val="000000"/>
              </a:solidFill>
            </a:ln>
          </c:spPr>
          <c:invertIfNegative val="1"/>
          <c:cat>
            <c:strRef>
              <c:f>'Material scarcity'!$A$156:$A$179</c:f>
              <c:strCache>
                <c:ptCount val="24"/>
                <c:pt idx="0">
                  <c:v>Lead</c:v>
                </c:pt>
                <c:pt idx="1">
                  <c:v>Zinc</c:v>
                </c:pt>
                <c:pt idx="2">
                  <c:v>Coking coal (CRM)</c:v>
                </c:pt>
                <c:pt idx="3">
                  <c:v>Silver</c:v>
                </c:pt>
                <c:pt idx="4">
                  <c:v>Crude oil</c:v>
                </c:pt>
                <c:pt idx="5">
                  <c:v>Tellurium</c:v>
                </c:pt>
                <c:pt idx="6">
                  <c:v>Copper</c:v>
                </c:pt>
                <c:pt idx="7">
                  <c:v>Gold</c:v>
                </c:pt>
                <c:pt idx="8">
                  <c:v>Brown coal</c:v>
                </c:pt>
                <c:pt idx="9">
                  <c:v>Nickel</c:v>
                </c:pt>
                <c:pt idx="10">
                  <c:v>Sodium chloride</c:v>
                </c:pt>
                <c:pt idx="11">
                  <c:v>Molybdenum</c:v>
                </c:pt>
                <c:pt idx="12">
                  <c:v>Cadmium</c:v>
                </c:pt>
                <c:pt idx="13">
                  <c:v>Selenium</c:v>
                </c:pt>
                <c:pt idx="14">
                  <c:v>Rhenium</c:v>
                </c:pt>
                <c:pt idx="15">
                  <c:v>Chromium</c:v>
                </c:pt>
                <c:pt idx="16">
                  <c:v>Mining tailings</c:v>
                </c:pt>
                <c:pt idx="17">
                  <c:v>Ferro-alloy metals</c:v>
                </c:pt>
                <c:pt idx="18">
                  <c:v>Calcite</c:v>
                </c:pt>
                <c:pt idx="19">
                  <c:v>Other CRMs</c:v>
                </c:pt>
                <c:pt idx="20">
                  <c:v>Other minerals</c:v>
                </c:pt>
                <c:pt idx="21">
                  <c:v>PGMs</c:v>
                </c:pt>
                <c:pt idx="22">
                  <c:v>Non-ferrous metals</c:v>
                </c:pt>
                <c:pt idx="23">
                  <c:v>REEs</c:v>
                </c:pt>
              </c:strCache>
            </c:strRef>
          </c:cat>
          <c:val>
            <c:numRef>
              <c:f>'Material scarcity'!$B$156:$B$179</c:f>
              <c:numCache>
                <c:formatCode>#,##0</c:formatCode>
                <c:ptCount val="24"/>
                <c:pt idx="0">
                  <c:v>258697.51191385588</c:v>
                </c:pt>
                <c:pt idx="1">
                  <c:v>180109.65042733794</c:v>
                </c:pt>
                <c:pt idx="2">
                  <c:v>129194.22642365316</c:v>
                </c:pt>
                <c:pt idx="3">
                  <c:v>121409.73015626631</c:v>
                </c:pt>
                <c:pt idx="4">
                  <c:v>55749.162293209767</c:v>
                </c:pt>
                <c:pt idx="5">
                  <c:v>43159.715558499731</c:v>
                </c:pt>
                <c:pt idx="6">
                  <c:v>36476.553538456923</c:v>
                </c:pt>
                <c:pt idx="7">
                  <c:v>22907.852631008052</c:v>
                </c:pt>
                <c:pt idx="8">
                  <c:v>22573.762713139367</c:v>
                </c:pt>
                <c:pt idx="9">
                  <c:v>22055.307551780788</c:v>
                </c:pt>
                <c:pt idx="10">
                  <c:v>22039.744414806541</c:v>
                </c:pt>
                <c:pt idx="11">
                  <c:v>19790.355707809125</c:v>
                </c:pt>
                <c:pt idx="12">
                  <c:v>18883.162933299885</c:v>
                </c:pt>
                <c:pt idx="13">
                  <c:v>9000.1587437933194</c:v>
                </c:pt>
                <c:pt idx="14">
                  <c:v>8225.1624327975351</c:v>
                </c:pt>
                <c:pt idx="15">
                  <c:v>7349.5662031870224</c:v>
                </c:pt>
                <c:pt idx="16">
                  <c:v>6986.48727712448</c:v>
                </c:pt>
                <c:pt idx="17">
                  <c:v>4646.9872776051297</c:v>
                </c:pt>
                <c:pt idx="18">
                  <c:v>3222.1480460672265</c:v>
                </c:pt>
                <c:pt idx="19">
                  <c:v>3012.067060416296</c:v>
                </c:pt>
                <c:pt idx="20">
                  <c:v>1635.4556893130086</c:v>
                </c:pt>
                <c:pt idx="21">
                  <c:v>1504.4983699234147</c:v>
                </c:pt>
                <c:pt idx="22">
                  <c:v>840.86133537126898</c:v>
                </c:pt>
                <c:pt idx="23">
                  <c:v>529.87130127775026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E48-A048-AD30-0794E0500453}"/>
            </c:ext>
          </c:extLst>
        </c:ser>
        <c:dLbls>
          <c:showLegendKey val="0"/>
          <c:showVal val="0"/>
          <c:showCatName val="0"/>
          <c:showSerName val="0"/>
          <c:showPercent val="0"/>
          <c:showBubbleSize val="0"/>
        </c:dLbls>
        <c:gapWidth val="150"/>
        <c:axId val="1462405769"/>
        <c:axId val="1173941426"/>
      </c:barChart>
      <c:catAx>
        <c:axId val="1462405769"/>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rot="-1800000"/>
          <a:lstStyle/>
          <a:p>
            <a:pPr lvl="0">
              <a:defRPr b="0">
                <a:solidFill>
                  <a:srgbClr val="000000"/>
                </a:solidFill>
                <a:latin typeface="+mn-lt"/>
              </a:defRPr>
            </a:pPr>
            <a:endParaRPr lang="en-NL"/>
          </a:p>
        </c:txPr>
        <c:crossAx val="1173941426"/>
        <c:crosses val="autoZero"/>
        <c:auto val="1"/>
        <c:lblAlgn val="ctr"/>
        <c:lblOffset val="100"/>
        <c:noMultiLvlLbl val="1"/>
      </c:catAx>
      <c:valAx>
        <c:axId val="1173941426"/>
        <c:scaling>
          <c:orientation val="minMax"/>
          <c:min val="1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Share of scarcity impact (ppm)</a:t>
                </a:r>
              </a:p>
            </c:rich>
          </c:tx>
          <c:overlay val="0"/>
        </c:title>
        <c:numFmt formatCode="0.00%" sourceLinked="0"/>
        <c:majorTickMark val="none"/>
        <c:minorTickMark val="none"/>
        <c:tickLblPos val="nextTo"/>
        <c:spPr>
          <a:ln/>
        </c:spPr>
        <c:txPr>
          <a:bodyPr/>
          <a:lstStyle/>
          <a:p>
            <a:pPr lvl="0">
              <a:defRPr b="0">
                <a:solidFill>
                  <a:srgbClr val="000000"/>
                </a:solidFill>
                <a:latin typeface="+mn-lt"/>
              </a:defRPr>
            </a:pPr>
            <a:endParaRPr lang="en-NL"/>
          </a:p>
        </c:txPr>
        <c:crossAx val="1462405769"/>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757575"/>
                </a:solidFill>
                <a:latin typeface="+mn-lt"/>
              </a:defRPr>
            </a:pPr>
            <a:r>
              <a:rPr lang="en-GB" b="0">
                <a:solidFill>
                  <a:srgbClr val="757575"/>
                </a:solidFill>
                <a:latin typeface="+mn-lt"/>
              </a:rPr>
              <a:t>Share of scarcity - excluding mining tailings</a:t>
            </a:r>
          </a:p>
        </c:rich>
      </c:tx>
      <c:overlay val="0"/>
    </c:title>
    <c:autoTitleDeleted val="0"/>
    <c:plotArea>
      <c:layout/>
      <c:barChart>
        <c:barDir val="col"/>
        <c:grouping val="clustered"/>
        <c:varyColors val="1"/>
        <c:ser>
          <c:idx val="0"/>
          <c:order val="0"/>
          <c:tx>
            <c:strRef>
              <c:f>'Material scarcity'!$B$182</c:f>
              <c:strCache>
                <c:ptCount val="1"/>
                <c:pt idx="0">
                  <c:v>Share of scarcity impact</c:v>
                </c:pt>
              </c:strCache>
            </c:strRef>
          </c:tx>
          <c:spPr>
            <a:solidFill>
              <a:srgbClr val="4285F4"/>
            </a:solidFill>
            <a:ln cmpd="sng">
              <a:solidFill>
                <a:srgbClr val="000000"/>
              </a:solidFill>
            </a:ln>
          </c:spPr>
          <c:invertIfNegative val="1"/>
          <c:cat>
            <c:strRef>
              <c:f>'Material scarcity'!$A$183:$A$205</c:f>
              <c:strCache>
                <c:ptCount val="23"/>
                <c:pt idx="0">
                  <c:v>Lead</c:v>
                </c:pt>
                <c:pt idx="1">
                  <c:v>Zinc</c:v>
                </c:pt>
                <c:pt idx="2">
                  <c:v>Coking coal (CRM)</c:v>
                </c:pt>
                <c:pt idx="3">
                  <c:v>Silver</c:v>
                </c:pt>
                <c:pt idx="4">
                  <c:v>Crude oil</c:v>
                </c:pt>
                <c:pt idx="5">
                  <c:v>Tellurium</c:v>
                </c:pt>
                <c:pt idx="6">
                  <c:v>Copper</c:v>
                </c:pt>
                <c:pt idx="7">
                  <c:v>Gold</c:v>
                </c:pt>
                <c:pt idx="8">
                  <c:v>Brown coal</c:v>
                </c:pt>
                <c:pt idx="9">
                  <c:v>Nickel</c:v>
                </c:pt>
                <c:pt idx="10">
                  <c:v>Sodium chloride</c:v>
                </c:pt>
                <c:pt idx="11">
                  <c:v>Molybdenum</c:v>
                </c:pt>
                <c:pt idx="12">
                  <c:v>Cadmium</c:v>
                </c:pt>
                <c:pt idx="13">
                  <c:v>Selenium</c:v>
                </c:pt>
                <c:pt idx="14">
                  <c:v>Rhenium</c:v>
                </c:pt>
                <c:pt idx="15">
                  <c:v>Chromium</c:v>
                </c:pt>
                <c:pt idx="16">
                  <c:v>Ferro-alloy metals</c:v>
                </c:pt>
                <c:pt idx="17">
                  <c:v>Calcite</c:v>
                </c:pt>
                <c:pt idx="18">
                  <c:v>Other CRMs</c:v>
                </c:pt>
                <c:pt idx="19">
                  <c:v>Other minerals</c:v>
                </c:pt>
                <c:pt idx="20">
                  <c:v>PGMs</c:v>
                </c:pt>
                <c:pt idx="21">
                  <c:v>Non-ferrous metals</c:v>
                </c:pt>
                <c:pt idx="22">
                  <c:v>REEs</c:v>
                </c:pt>
              </c:strCache>
            </c:strRef>
          </c:cat>
          <c:val>
            <c:numRef>
              <c:f>'Material scarcity'!$B$183:$B$205</c:f>
              <c:numCache>
                <c:formatCode>#,##0</c:formatCode>
                <c:ptCount val="23"/>
                <c:pt idx="0">
                  <c:v>260517.61491593285</c:v>
                </c:pt>
                <c:pt idx="1">
                  <c:v>181376.83739415731</c:v>
                </c:pt>
                <c:pt idx="2">
                  <c:v>130103.19071026372</c:v>
                </c:pt>
                <c:pt idx="3">
                  <c:v>122263.92551633748</c:v>
                </c:pt>
                <c:pt idx="4">
                  <c:v>56141.393424087197</c:v>
                </c:pt>
                <c:pt idx="5">
                  <c:v>43463.371852971453</c:v>
                </c:pt>
                <c:pt idx="6">
                  <c:v>36733.189499543681</c:v>
                </c:pt>
                <c:pt idx="7">
                  <c:v>23069.024074198114</c:v>
                </c:pt>
                <c:pt idx="8">
                  <c:v>22732.583619372279</c:v>
                </c:pt>
                <c:pt idx="9">
                  <c:v>22210.48079326173</c:v>
                </c:pt>
                <c:pt idx="10">
                  <c:v>22194.808159632026</c:v>
                </c:pt>
                <c:pt idx="11">
                  <c:v>19929.593559651898</c:v>
                </c:pt>
                <c:pt idx="12">
                  <c:v>19016.018101829886</c:v>
                </c:pt>
                <c:pt idx="13">
                  <c:v>9063.4806359427985</c:v>
                </c:pt>
                <c:pt idx="14">
                  <c:v>8283.0317285853143</c:v>
                </c:pt>
                <c:pt idx="15">
                  <c:v>7401.2751176308484</c:v>
                </c:pt>
                <c:pt idx="16">
                  <c:v>4679.681815067087</c:v>
                </c:pt>
                <c:pt idx="17">
                  <c:v>3244.81792521835</c:v>
                </c:pt>
                <c:pt idx="18">
                  <c:v>3033.2588850247453</c:v>
                </c:pt>
                <c:pt idx="19">
                  <c:v>1646.9621695565208</c:v>
                </c:pt>
                <c:pt idx="20">
                  <c:v>1515.0834813899271</c:v>
                </c:pt>
                <c:pt idx="21">
                  <c:v>846.77733444492605</c:v>
                </c:pt>
                <c:pt idx="22">
                  <c:v>533.59928589977164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E93-2549-BB34-44F1CF7B2C7A}"/>
            </c:ext>
          </c:extLst>
        </c:ser>
        <c:dLbls>
          <c:showLegendKey val="0"/>
          <c:showVal val="0"/>
          <c:showCatName val="0"/>
          <c:showSerName val="0"/>
          <c:showPercent val="0"/>
          <c:showBubbleSize val="0"/>
        </c:dLbls>
        <c:gapWidth val="150"/>
        <c:axId val="1053018749"/>
        <c:axId val="612786804"/>
      </c:barChart>
      <c:catAx>
        <c:axId val="1053018749"/>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612786804"/>
        <c:crosses val="autoZero"/>
        <c:auto val="1"/>
        <c:lblAlgn val="ctr"/>
        <c:lblOffset val="100"/>
        <c:noMultiLvlLbl val="1"/>
      </c:catAx>
      <c:valAx>
        <c:axId val="612786804"/>
        <c:scaling>
          <c:orientation val="minMax"/>
          <c:min val="1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Share of scarcity impact (ppm)</a:t>
                </a:r>
              </a:p>
            </c:rich>
          </c:tx>
          <c:overlay val="0"/>
        </c:title>
        <c:numFmt formatCode="0.00%" sourceLinked="0"/>
        <c:majorTickMark val="none"/>
        <c:minorTickMark val="none"/>
        <c:tickLblPos val="nextTo"/>
        <c:spPr>
          <a:ln/>
        </c:spPr>
        <c:txPr>
          <a:bodyPr/>
          <a:lstStyle/>
          <a:p>
            <a:pPr lvl="0">
              <a:defRPr b="0">
                <a:solidFill>
                  <a:srgbClr val="000000"/>
                </a:solidFill>
                <a:latin typeface="+mn-lt"/>
              </a:defRPr>
            </a:pPr>
            <a:endParaRPr lang="en-NL"/>
          </a:p>
        </c:txPr>
        <c:crossAx val="1053018749"/>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757575"/>
                </a:solidFill>
                <a:latin typeface="+mn-lt"/>
              </a:defRPr>
            </a:pPr>
            <a:r>
              <a:rPr lang="en-GB" b="0">
                <a:solidFill>
                  <a:srgbClr val="757575"/>
                </a:solidFill>
                <a:latin typeface="+mn-lt"/>
              </a:rPr>
              <a:t>Share of material footprint</a:t>
            </a:r>
          </a:p>
        </c:rich>
      </c:tx>
      <c:overlay val="0"/>
    </c:title>
    <c:autoTitleDeleted val="0"/>
    <c:plotArea>
      <c:layout/>
      <c:barChart>
        <c:barDir val="col"/>
        <c:grouping val="clustered"/>
        <c:varyColors val="1"/>
        <c:ser>
          <c:idx val="0"/>
          <c:order val="0"/>
          <c:tx>
            <c:strRef>
              <c:f>'Material scarcity'!$E$155</c:f>
              <c:strCache>
                <c:ptCount val="1"/>
                <c:pt idx="0">
                  <c:v>Share of material footprint</c:v>
                </c:pt>
              </c:strCache>
            </c:strRef>
          </c:tx>
          <c:spPr>
            <a:solidFill>
              <a:srgbClr val="4285F4"/>
            </a:solidFill>
            <a:ln cmpd="sng">
              <a:solidFill>
                <a:srgbClr val="000000"/>
              </a:solidFill>
            </a:ln>
          </c:spPr>
          <c:invertIfNegative val="1"/>
          <c:cat>
            <c:strRef>
              <c:f>'Material scarcity'!$D$156:$D$173</c:f>
              <c:strCache>
                <c:ptCount val="18"/>
                <c:pt idx="0">
                  <c:v>Mining tailings</c:v>
                </c:pt>
                <c:pt idx="1">
                  <c:v>Coking coal (CRM)</c:v>
                </c:pt>
                <c:pt idx="2">
                  <c:v>Iron</c:v>
                </c:pt>
                <c:pt idx="3">
                  <c:v>Crude oil</c:v>
                </c:pt>
                <c:pt idx="4">
                  <c:v>Calcite</c:v>
                </c:pt>
                <c:pt idx="5">
                  <c:v>Brown coal</c:v>
                </c:pt>
                <c:pt idx="6">
                  <c:v>Zinc</c:v>
                </c:pt>
                <c:pt idx="7">
                  <c:v>Sodium chloride</c:v>
                </c:pt>
                <c:pt idx="8">
                  <c:v>Other minerals</c:v>
                </c:pt>
                <c:pt idx="9">
                  <c:v>Aluminium</c:v>
                </c:pt>
                <c:pt idx="10">
                  <c:v>Basalt</c:v>
                </c:pt>
                <c:pt idx="11">
                  <c:v>Lead</c:v>
                </c:pt>
                <c:pt idx="12">
                  <c:v>Ferro-alloy metals</c:v>
                </c:pt>
                <c:pt idx="13">
                  <c:v>Other CRMs</c:v>
                </c:pt>
                <c:pt idx="14">
                  <c:v>Nickel</c:v>
                </c:pt>
                <c:pt idx="15">
                  <c:v>Copper</c:v>
                </c:pt>
                <c:pt idx="16">
                  <c:v>Non-ferrous metals</c:v>
                </c:pt>
                <c:pt idx="17">
                  <c:v>REEs</c:v>
                </c:pt>
              </c:strCache>
            </c:strRef>
          </c:cat>
          <c:val>
            <c:numRef>
              <c:f>'Material scarcity'!$E$156:$E$173</c:f>
              <c:numCache>
                <c:formatCode>#,##0</c:formatCode>
                <c:ptCount val="18"/>
                <c:pt idx="0">
                  <c:v>584590.60585299379</c:v>
                </c:pt>
                <c:pt idx="1">
                  <c:v>154356.50428237685</c:v>
                </c:pt>
                <c:pt idx="2">
                  <c:v>99575.607294285001</c:v>
                </c:pt>
                <c:pt idx="3">
                  <c:v>59129.789882436402</c:v>
                </c:pt>
                <c:pt idx="4">
                  <c:v>36716.925835271839</c:v>
                </c:pt>
                <c:pt idx="5">
                  <c:v>28615.5896772491</c:v>
                </c:pt>
                <c:pt idx="6">
                  <c:v>10085.264881102354</c:v>
                </c:pt>
                <c:pt idx="7">
                  <c:v>6543.7279706044746</c:v>
                </c:pt>
                <c:pt idx="8">
                  <c:v>5178.0473230368643</c:v>
                </c:pt>
                <c:pt idx="9">
                  <c:v>4245.7417202494507</c:v>
                </c:pt>
                <c:pt idx="10">
                  <c:v>3443.8620849722975</c:v>
                </c:pt>
                <c:pt idx="11">
                  <c:v>2172.8631810821535</c:v>
                </c:pt>
                <c:pt idx="12">
                  <c:v>2026.5754019881099</c:v>
                </c:pt>
                <c:pt idx="13">
                  <c:v>1423.7132305545426</c:v>
                </c:pt>
                <c:pt idx="14">
                  <c:v>985.5843991404721</c:v>
                </c:pt>
                <c:pt idx="15">
                  <c:v>782.69995344682775</c:v>
                </c:pt>
                <c:pt idx="16">
                  <c:v>116.62192168304607</c:v>
                </c:pt>
                <c:pt idx="17">
                  <c:v>10.274138283152476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6D6-CC4D-9B04-4F37496E16E8}"/>
            </c:ext>
          </c:extLst>
        </c:ser>
        <c:dLbls>
          <c:showLegendKey val="0"/>
          <c:showVal val="0"/>
          <c:showCatName val="0"/>
          <c:showSerName val="0"/>
          <c:showPercent val="0"/>
          <c:showBubbleSize val="0"/>
        </c:dLbls>
        <c:gapWidth val="150"/>
        <c:axId val="92860551"/>
        <c:axId val="1387547691"/>
      </c:barChart>
      <c:catAx>
        <c:axId val="92860551"/>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rot="-1800000"/>
          <a:lstStyle/>
          <a:p>
            <a:pPr lvl="0">
              <a:defRPr b="0">
                <a:solidFill>
                  <a:srgbClr val="000000"/>
                </a:solidFill>
                <a:latin typeface="+mn-lt"/>
              </a:defRPr>
            </a:pPr>
            <a:endParaRPr lang="en-NL"/>
          </a:p>
        </c:txPr>
        <c:crossAx val="1387547691"/>
        <c:crosses val="autoZero"/>
        <c:auto val="1"/>
        <c:lblAlgn val="ctr"/>
        <c:lblOffset val="100"/>
        <c:noMultiLvlLbl val="1"/>
      </c:catAx>
      <c:valAx>
        <c:axId val="1387547691"/>
        <c:scaling>
          <c:orientation val="minMax"/>
          <c:min val="1"/>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Share of material footprint impact (ppm)</a:t>
                </a:r>
              </a:p>
            </c:rich>
          </c:tx>
          <c:overlay val="0"/>
        </c:title>
        <c:numFmt formatCode="0.000%" sourceLinked="0"/>
        <c:majorTickMark val="none"/>
        <c:minorTickMark val="none"/>
        <c:tickLblPos val="nextTo"/>
        <c:spPr>
          <a:ln/>
        </c:spPr>
        <c:txPr>
          <a:bodyPr/>
          <a:lstStyle/>
          <a:p>
            <a:pPr lvl="0">
              <a:defRPr b="0">
                <a:solidFill>
                  <a:srgbClr val="000000"/>
                </a:solidFill>
                <a:latin typeface="+mn-lt"/>
              </a:defRPr>
            </a:pPr>
            <a:endParaRPr lang="en-NL"/>
          </a:p>
        </c:txPr>
        <c:crossAx val="92860551"/>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757575"/>
                </a:solidFill>
                <a:latin typeface="+mn-lt"/>
              </a:defRPr>
            </a:pPr>
            <a:r>
              <a:rPr lang="en-GB" b="0">
                <a:solidFill>
                  <a:srgbClr val="757575"/>
                </a:solidFill>
                <a:latin typeface="+mn-lt"/>
              </a:rPr>
              <a:t>Share of material footprint - excluding mining tailings</a:t>
            </a:r>
          </a:p>
        </c:rich>
      </c:tx>
      <c:overlay val="0"/>
    </c:title>
    <c:autoTitleDeleted val="0"/>
    <c:plotArea>
      <c:layout/>
      <c:barChart>
        <c:barDir val="col"/>
        <c:grouping val="clustered"/>
        <c:varyColors val="1"/>
        <c:ser>
          <c:idx val="0"/>
          <c:order val="0"/>
          <c:tx>
            <c:strRef>
              <c:f>'Material scarcity'!$E$182</c:f>
              <c:strCache>
                <c:ptCount val="1"/>
                <c:pt idx="0">
                  <c:v>Share of material footprint</c:v>
                </c:pt>
              </c:strCache>
            </c:strRef>
          </c:tx>
          <c:spPr>
            <a:solidFill>
              <a:srgbClr val="4285F4"/>
            </a:solidFill>
            <a:ln cmpd="sng">
              <a:solidFill>
                <a:srgbClr val="000000"/>
              </a:solidFill>
            </a:ln>
          </c:spPr>
          <c:invertIfNegative val="1"/>
          <c:cat>
            <c:strRef>
              <c:f>'Material scarcity'!$D$183:$D$199</c:f>
              <c:strCache>
                <c:ptCount val="17"/>
                <c:pt idx="0">
                  <c:v>Coking coal (CRM)</c:v>
                </c:pt>
                <c:pt idx="1">
                  <c:v>Iron</c:v>
                </c:pt>
                <c:pt idx="2">
                  <c:v>Crude oil</c:v>
                </c:pt>
                <c:pt idx="3">
                  <c:v>Calcite</c:v>
                </c:pt>
                <c:pt idx="4">
                  <c:v>Brown coal</c:v>
                </c:pt>
                <c:pt idx="5">
                  <c:v>Zinc</c:v>
                </c:pt>
                <c:pt idx="6">
                  <c:v>Sodium chloride</c:v>
                </c:pt>
                <c:pt idx="7">
                  <c:v>Other minerals</c:v>
                </c:pt>
                <c:pt idx="8">
                  <c:v>Aluminium</c:v>
                </c:pt>
                <c:pt idx="9">
                  <c:v>Basalt</c:v>
                </c:pt>
                <c:pt idx="10">
                  <c:v>Lead</c:v>
                </c:pt>
                <c:pt idx="11">
                  <c:v>Ferro-alloy metals</c:v>
                </c:pt>
                <c:pt idx="12">
                  <c:v>Other CRMs</c:v>
                </c:pt>
                <c:pt idx="13">
                  <c:v>Nickel</c:v>
                </c:pt>
                <c:pt idx="14">
                  <c:v>Copper</c:v>
                </c:pt>
                <c:pt idx="15">
                  <c:v>Non-ferrous metals</c:v>
                </c:pt>
                <c:pt idx="16">
                  <c:v>REEs</c:v>
                </c:pt>
              </c:strCache>
            </c:strRef>
          </c:cat>
          <c:val>
            <c:numRef>
              <c:f>'Material scarcity'!$E$183:$E$199</c:f>
              <c:numCache>
                <c:formatCode>#,##0</c:formatCode>
                <c:ptCount val="17"/>
                <c:pt idx="0">
                  <c:v>371576.82627599098</c:v>
                </c:pt>
                <c:pt idx="1">
                  <c:v>239704.755591172</c:v>
                </c:pt>
                <c:pt idx="2">
                  <c:v>142341.00315389442</c:v>
                </c:pt>
                <c:pt idx="3">
                  <c:v>88387.326701327183</c:v>
                </c:pt>
                <c:pt idx="4">
                  <c:v>68885.273372326599</c:v>
                </c:pt>
                <c:pt idx="5">
                  <c:v>24277.893141562778</c:v>
                </c:pt>
                <c:pt idx="6">
                  <c:v>15752.479512508951</c:v>
                </c:pt>
                <c:pt idx="7">
                  <c:v>12464.9259164429</c:v>
                </c:pt>
                <c:pt idx="8">
                  <c:v>10220.620380931863</c:v>
                </c:pt>
                <c:pt idx="9">
                  <c:v>8290.2845566212036</c:v>
                </c:pt>
                <c:pt idx="10">
                  <c:v>5230.6548953806605</c:v>
                </c:pt>
                <c:pt idx="11">
                  <c:v>4878.5016192265957</c:v>
                </c:pt>
                <c:pt idx="12">
                  <c:v>3427.2533327705992</c:v>
                </c:pt>
                <c:pt idx="13">
                  <c:v>2372.5616537012888</c:v>
                </c:pt>
                <c:pt idx="14">
                  <c:v>1884.165270393099</c:v>
                </c:pt>
                <c:pt idx="15">
                  <c:v>280.73973127765981</c:v>
                </c:pt>
                <c:pt idx="16">
                  <c:v>24.73256124659672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17B-B449-BC7D-6C675B277EB2}"/>
            </c:ext>
          </c:extLst>
        </c:ser>
        <c:dLbls>
          <c:showLegendKey val="0"/>
          <c:showVal val="0"/>
          <c:showCatName val="0"/>
          <c:showSerName val="0"/>
          <c:showPercent val="0"/>
          <c:showBubbleSize val="0"/>
        </c:dLbls>
        <c:gapWidth val="150"/>
        <c:axId val="1353640136"/>
        <c:axId val="459629022"/>
      </c:barChart>
      <c:catAx>
        <c:axId val="1353640136"/>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rot="-1800000"/>
          <a:lstStyle/>
          <a:p>
            <a:pPr lvl="0">
              <a:defRPr b="0">
                <a:solidFill>
                  <a:srgbClr val="000000"/>
                </a:solidFill>
                <a:latin typeface="+mn-lt"/>
              </a:defRPr>
            </a:pPr>
            <a:endParaRPr lang="en-NL"/>
          </a:p>
        </c:txPr>
        <c:crossAx val="459629022"/>
        <c:crosses val="autoZero"/>
        <c:auto val="1"/>
        <c:lblAlgn val="ctr"/>
        <c:lblOffset val="100"/>
        <c:noMultiLvlLbl val="1"/>
      </c:catAx>
      <c:valAx>
        <c:axId val="459629022"/>
        <c:scaling>
          <c:orientation val="minMax"/>
          <c:min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Share of material footprint (ppm)</a:t>
                </a:r>
              </a:p>
            </c:rich>
          </c:tx>
          <c:overlay val="0"/>
        </c:title>
        <c:numFmt formatCode="0.000%" sourceLinked="0"/>
        <c:majorTickMark val="none"/>
        <c:minorTickMark val="none"/>
        <c:tickLblPos val="nextTo"/>
        <c:spPr>
          <a:ln/>
        </c:spPr>
        <c:txPr>
          <a:bodyPr/>
          <a:lstStyle/>
          <a:p>
            <a:pPr lvl="0">
              <a:defRPr b="0">
                <a:solidFill>
                  <a:srgbClr val="000000"/>
                </a:solidFill>
                <a:latin typeface="+mn-lt"/>
              </a:defRPr>
            </a:pPr>
            <a:endParaRPr lang="en-NL"/>
          </a:p>
        </c:txPr>
        <c:crossAx val="1353640136"/>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areaChart>
        <c:grouping val="stacked"/>
        <c:varyColors val="1"/>
        <c:ser>
          <c:idx val="0"/>
          <c:order val="0"/>
          <c:tx>
            <c:strRef>
              <c:f>'Building stock'!$E$62</c:f>
              <c:strCache>
                <c:ptCount val="1"/>
                <c:pt idx="0">
                  <c:v>Low</c:v>
                </c:pt>
              </c:strCache>
            </c:strRef>
          </c:tx>
          <c:spPr>
            <a:solidFill>
              <a:schemeClr val="accent2">
                <a:alpha val="0"/>
              </a:schemeClr>
            </a:solidFill>
            <a:ln cmpd="sng">
              <a:solidFill>
                <a:schemeClr val="accent2"/>
              </a:solidFill>
              <a:prstDash val="dash"/>
            </a:ln>
          </c:spPr>
          <c:cat>
            <c:numRef>
              <c:f>'Building stock'!$A$63:$A$93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'Building stock'!$E$63:$E$93</c:f>
              <c:numCache>
                <c:formatCode>#,##0</c:formatCode>
                <c:ptCount val="31"/>
                <c:pt idx="0">
                  <c:v>261500</c:v>
                </c:pt>
                <c:pt idx="1">
                  <c:v>262400</c:v>
                </c:pt>
                <c:pt idx="2">
                  <c:v>263100</c:v>
                </c:pt>
                <c:pt idx="3">
                  <c:v>264100</c:v>
                </c:pt>
                <c:pt idx="4">
                  <c:v>265400</c:v>
                </c:pt>
                <c:pt idx="5">
                  <c:v>266500</c:v>
                </c:pt>
                <c:pt idx="6">
                  <c:v>267700</c:v>
                </c:pt>
                <c:pt idx="7">
                  <c:v>268700</c:v>
                </c:pt>
                <c:pt idx="8">
                  <c:v>268900</c:v>
                </c:pt>
                <c:pt idx="9">
                  <c:v>269200</c:v>
                </c:pt>
                <c:pt idx="10">
                  <c:v>269500</c:v>
                </c:pt>
                <c:pt idx="11">
                  <c:v>269900</c:v>
                </c:pt>
                <c:pt idx="12">
                  <c:v>270300</c:v>
                </c:pt>
                <c:pt idx="13">
                  <c:v>270700</c:v>
                </c:pt>
                <c:pt idx="14">
                  <c:v>271000</c:v>
                </c:pt>
                <c:pt idx="15">
                  <c:v>271300</c:v>
                </c:pt>
                <c:pt idx="16">
                  <c:v>271500</c:v>
                </c:pt>
                <c:pt idx="17">
                  <c:v>271600</c:v>
                </c:pt>
                <c:pt idx="18">
                  <c:v>271800</c:v>
                </c:pt>
                <c:pt idx="19">
                  <c:v>271800</c:v>
                </c:pt>
                <c:pt idx="20">
                  <c:v>271800</c:v>
                </c:pt>
                <c:pt idx="21">
                  <c:v>271800</c:v>
                </c:pt>
                <c:pt idx="22">
                  <c:v>271600</c:v>
                </c:pt>
                <c:pt idx="23">
                  <c:v>271500</c:v>
                </c:pt>
                <c:pt idx="24">
                  <c:v>271300</c:v>
                </c:pt>
                <c:pt idx="25">
                  <c:v>271100</c:v>
                </c:pt>
                <c:pt idx="26">
                  <c:v>270900</c:v>
                </c:pt>
                <c:pt idx="27">
                  <c:v>270800</c:v>
                </c:pt>
                <c:pt idx="28">
                  <c:v>270600</c:v>
                </c:pt>
                <c:pt idx="29">
                  <c:v>270500</c:v>
                </c:pt>
                <c:pt idx="30">
                  <c:v>270400</c:v>
                </c:pt>
              </c:numCache>
            </c:numRef>
          </c:val>
          <c:extLst>
            <c:ext xmlns:c16="http://schemas.microsoft.com/office/drawing/2014/chart" uri="{C3380CC4-5D6E-409C-BE32-E72D297353CC}">
              <c16:uniqueId val="{00000000-5BC5-6E4C-820D-20BA4EEE9C1E}"/>
            </c:ext>
          </c:extLst>
        </c:ser>
        <c:ser>
          <c:idx val="1"/>
          <c:order val="1"/>
          <c:tx>
            <c:strRef>
              <c:f>'Building stock'!$F$62</c:f>
              <c:strCache>
                <c:ptCount val="1"/>
                <c:pt idx="0">
                  <c:v>Medium</c:v>
                </c:pt>
              </c:strCache>
            </c:strRef>
          </c:tx>
          <c:spPr>
            <a:solidFill>
              <a:srgbClr val="EA4335">
                <a:alpha val="30000"/>
              </a:srgbClr>
            </a:solidFill>
            <a:ln cmpd="sng">
              <a:solidFill>
                <a:srgbClr val="EA4335"/>
              </a:solidFill>
            </a:ln>
          </c:spPr>
          <c:cat>
            <c:numRef>
              <c:f>'Building stock'!$A$63:$A$93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'Building stock'!$F$63:$F$93</c:f>
              <c:numCache>
                <c:formatCode>#,##0</c:formatCode>
                <c:ptCount val="31"/>
                <c:pt idx="0">
                  <c:v>4000</c:v>
                </c:pt>
                <c:pt idx="1">
                  <c:v>5800</c:v>
                </c:pt>
                <c:pt idx="2">
                  <c:v>7200</c:v>
                </c:pt>
                <c:pt idx="3">
                  <c:v>8600</c:v>
                </c:pt>
                <c:pt idx="4">
                  <c:v>9900</c:v>
                </c:pt>
                <c:pt idx="5">
                  <c:v>11300</c:v>
                </c:pt>
                <c:pt idx="6">
                  <c:v>12500</c:v>
                </c:pt>
                <c:pt idx="7">
                  <c:v>13700</c:v>
                </c:pt>
                <c:pt idx="8">
                  <c:v>14800</c:v>
                </c:pt>
                <c:pt idx="9">
                  <c:v>15900</c:v>
                </c:pt>
                <c:pt idx="10">
                  <c:v>17100</c:v>
                </c:pt>
                <c:pt idx="11">
                  <c:v>18200</c:v>
                </c:pt>
                <c:pt idx="12">
                  <c:v>19200</c:v>
                </c:pt>
                <c:pt idx="13">
                  <c:v>20300</c:v>
                </c:pt>
                <c:pt idx="14">
                  <c:v>21400</c:v>
                </c:pt>
                <c:pt idx="15">
                  <c:v>22300</c:v>
                </c:pt>
                <c:pt idx="16">
                  <c:v>23400</c:v>
                </c:pt>
                <c:pt idx="17">
                  <c:v>24400</c:v>
                </c:pt>
                <c:pt idx="18">
                  <c:v>25300</c:v>
                </c:pt>
                <c:pt idx="19">
                  <c:v>26300</c:v>
                </c:pt>
                <c:pt idx="20">
                  <c:v>27300</c:v>
                </c:pt>
                <c:pt idx="21">
                  <c:v>28200</c:v>
                </c:pt>
                <c:pt idx="22">
                  <c:v>29200</c:v>
                </c:pt>
                <c:pt idx="23">
                  <c:v>30000</c:v>
                </c:pt>
                <c:pt idx="24">
                  <c:v>31000</c:v>
                </c:pt>
                <c:pt idx="25">
                  <c:v>31900</c:v>
                </c:pt>
                <c:pt idx="26">
                  <c:v>32800</c:v>
                </c:pt>
                <c:pt idx="27">
                  <c:v>33600</c:v>
                </c:pt>
                <c:pt idx="28">
                  <c:v>34600</c:v>
                </c:pt>
                <c:pt idx="29">
                  <c:v>35400</c:v>
                </c:pt>
                <c:pt idx="30">
                  <c:v>36300</c:v>
                </c:pt>
              </c:numCache>
            </c:numRef>
          </c:val>
          <c:extLst>
            <c:ext xmlns:c16="http://schemas.microsoft.com/office/drawing/2014/chart" uri="{C3380CC4-5D6E-409C-BE32-E72D297353CC}">
              <c16:uniqueId val="{00000001-5BC5-6E4C-820D-20BA4EEE9C1E}"/>
            </c:ext>
          </c:extLst>
        </c:ser>
        <c:ser>
          <c:idx val="2"/>
          <c:order val="2"/>
          <c:tx>
            <c:strRef>
              <c:f>'Building stock'!$G$62</c:f>
              <c:strCache>
                <c:ptCount val="1"/>
                <c:pt idx="0">
                  <c:v>High</c:v>
                </c:pt>
              </c:strCache>
            </c:strRef>
          </c:tx>
          <c:spPr>
            <a:solidFill>
              <a:schemeClr val="accent2">
                <a:alpha val="30000"/>
              </a:schemeClr>
            </a:solidFill>
            <a:ln cmpd="sng">
              <a:solidFill>
                <a:schemeClr val="accent2"/>
              </a:solidFill>
              <a:prstDash val="dash"/>
            </a:ln>
          </c:spPr>
          <c:cat>
            <c:numRef>
              <c:f>'Building stock'!$A$63:$A$93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'Building stock'!$G$63:$G$93</c:f>
              <c:numCache>
                <c:formatCode>#,##0</c:formatCode>
                <c:ptCount val="31"/>
                <c:pt idx="0">
                  <c:v>4200</c:v>
                </c:pt>
                <c:pt idx="1">
                  <c:v>5800</c:v>
                </c:pt>
                <c:pt idx="2">
                  <c:v>7400</c:v>
                </c:pt>
                <c:pt idx="3">
                  <c:v>8900</c:v>
                </c:pt>
                <c:pt idx="4">
                  <c:v>10300</c:v>
                </c:pt>
                <c:pt idx="5">
                  <c:v>11700</c:v>
                </c:pt>
                <c:pt idx="6">
                  <c:v>13000</c:v>
                </c:pt>
                <c:pt idx="7">
                  <c:v>14300</c:v>
                </c:pt>
                <c:pt idx="8">
                  <c:v>15700</c:v>
                </c:pt>
                <c:pt idx="9">
                  <c:v>16900</c:v>
                </c:pt>
                <c:pt idx="10">
                  <c:v>18100</c:v>
                </c:pt>
                <c:pt idx="11">
                  <c:v>19400</c:v>
                </c:pt>
                <c:pt idx="12">
                  <c:v>20700</c:v>
                </c:pt>
                <c:pt idx="13">
                  <c:v>21800</c:v>
                </c:pt>
                <c:pt idx="14">
                  <c:v>23000</c:v>
                </c:pt>
                <c:pt idx="15">
                  <c:v>24200</c:v>
                </c:pt>
                <c:pt idx="16">
                  <c:v>25400</c:v>
                </c:pt>
                <c:pt idx="17">
                  <c:v>26500</c:v>
                </c:pt>
                <c:pt idx="18">
                  <c:v>27700</c:v>
                </c:pt>
                <c:pt idx="19">
                  <c:v>28900</c:v>
                </c:pt>
                <c:pt idx="20">
                  <c:v>30000</c:v>
                </c:pt>
                <c:pt idx="21">
                  <c:v>31100</c:v>
                </c:pt>
                <c:pt idx="22">
                  <c:v>32200</c:v>
                </c:pt>
                <c:pt idx="23">
                  <c:v>33400</c:v>
                </c:pt>
                <c:pt idx="24">
                  <c:v>34500</c:v>
                </c:pt>
                <c:pt idx="25">
                  <c:v>35700</c:v>
                </c:pt>
                <c:pt idx="26">
                  <c:v>36700</c:v>
                </c:pt>
                <c:pt idx="27">
                  <c:v>37900</c:v>
                </c:pt>
                <c:pt idx="28">
                  <c:v>38900</c:v>
                </c:pt>
                <c:pt idx="29">
                  <c:v>40100</c:v>
                </c:pt>
                <c:pt idx="30">
                  <c:v>41200</c:v>
                </c:pt>
              </c:numCache>
            </c:numRef>
          </c:val>
          <c:extLst>
            <c:ext xmlns:c16="http://schemas.microsoft.com/office/drawing/2014/chart" uri="{C3380CC4-5D6E-409C-BE32-E72D297353CC}">
              <c16:uniqueId val="{00000002-5BC5-6E4C-820D-20BA4EEE9C1E}"/>
            </c:ext>
          </c:extLst>
        </c:ser>
        <c:dLbls>
          <c:showLegendKey val="0"/>
          <c:showVal val="0"/>
          <c:showCatName val="0"/>
          <c:showSerName val="0"/>
          <c:showPercent val="0"/>
          <c:showBubbleSize val="0"/>
        </c:dLbls>
        <c:axId val="46488638"/>
        <c:axId val="346833739"/>
      </c:areaChart>
      <c:catAx>
        <c:axId val="46488638"/>
        <c:scaling>
          <c:orientation val="minMax"/>
          <c:max val="2051"/>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346833739"/>
        <c:crosses val="autoZero"/>
        <c:auto val="1"/>
        <c:lblAlgn val="ctr"/>
        <c:lblOffset val="100"/>
        <c:noMultiLvlLbl val="1"/>
      </c:catAx>
      <c:valAx>
        <c:axId val="346833739"/>
        <c:scaling>
          <c:orientation val="minMax"/>
          <c:min val="2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Total households</a:t>
                </a:r>
              </a:p>
            </c:rich>
          </c:tx>
          <c:overlay val="0"/>
        </c:title>
        <c:numFmt formatCode="#,##0" sourceLinked="1"/>
        <c:majorTickMark val="none"/>
        <c:minorTickMark val="none"/>
        <c:tickLblPos val="nextTo"/>
        <c:spPr>
          <a:ln>
            <a:solidFill/>
          </a:ln>
        </c:spPr>
        <c:txPr>
          <a:bodyPr/>
          <a:lstStyle/>
          <a:p>
            <a:pPr lvl="0">
              <a:defRPr b="0">
                <a:solidFill>
                  <a:srgbClr val="000000"/>
                </a:solidFill>
                <a:latin typeface="+mn-lt"/>
              </a:defRPr>
            </a:pPr>
            <a:endParaRPr lang="en-NL"/>
          </a:p>
        </c:txPr>
        <c:crossAx val="46488638"/>
        <c:crosses val="autoZero"/>
        <c:crossBetween val="midCat"/>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clustered"/>
        <c:varyColors val="1"/>
        <c:ser>
          <c:idx val="0"/>
          <c:order val="0"/>
          <c:tx>
            <c:strRef>
              <c:f>'Building stock'!$B$17</c:f>
              <c:strCache>
                <c:ptCount val="1"/>
                <c:pt idx="0">
                  <c:v>Growth of total building stock</c:v>
                </c:pt>
              </c:strCache>
            </c:strRef>
          </c:tx>
          <c:spPr>
            <a:solidFill>
              <a:srgbClr val="4285F4"/>
            </a:solidFill>
            <a:ln cmpd="sng">
              <a:solidFill>
                <a:srgbClr val="000000"/>
              </a:solidFill>
            </a:ln>
          </c:spPr>
          <c:invertIfNegative val="1"/>
          <c:cat>
            <c:strRef>
              <c:f>'Building stock'!$A$18:$A$22</c:f>
              <c:strCache>
                <c:ptCount val="5"/>
                <c:pt idx="0">
                  <c:v>2020</c:v>
                </c:pt>
                <c:pt idx="1">
                  <c:v>2030</c:v>
                </c:pt>
                <c:pt idx="2">
                  <c:v>2050 - L</c:v>
                </c:pt>
                <c:pt idx="3">
                  <c:v>2050 - M</c:v>
                </c:pt>
                <c:pt idx="4">
                  <c:v>2050 - H</c:v>
                </c:pt>
              </c:strCache>
            </c:strRef>
          </c:cat>
          <c:val>
            <c:numRef>
              <c:f>'Building stock'!$B$18:$B$22</c:f>
              <c:numCache>
                <c:formatCode>0%</c:formatCode>
                <c:ptCount val="5"/>
                <c:pt idx="0" formatCode="General">
                  <c:v>0</c:v>
                </c:pt>
                <c:pt idx="1">
                  <c:v>7.9472693032015096E-2</c:v>
                </c:pt>
                <c:pt idx="2">
                  <c:v>3.4034416826003833E-2</c:v>
                </c:pt>
                <c:pt idx="3">
                  <c:v>0.15517890772128062</c:v>
                </c:pt>
                <c:pt idx="4">
                  <c:v>0.2899517982944011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14D-2340-9A00-8025BAFF8845}"/>
            </c:ext>
          </c:extLst>
        </c:ser>
        <c:ser>
          <c:idx val="1"/>
          <c:order val="1"/>
          <c:tx>
            <c:strRef>
              <c:f>'Building stock'!$C$17</c:f>
              <c:strCache>
                <c:ptCount val="1"/>
                <c:pt idx="0">
                  <c:v>Growth of post-2003 building stock</c:v>
                </c:pt>
              </c:strCache>
            </c:strRef>
          </c:tx>
          <c:spPr>
            <a:solidFill>
              <a:srgbClr val="EA4335"/>
            </a:solidFill>
            <a:ln cmpd="sng">
              <a:solidFill>
                <a:srgbClr val="000000"/>
              </a:solidFill>
            </a:ln>
          </c:spPr>
          <c:invertIfNegative val="1"/>
          <c:cat>
            <c:strRef>
              <c:f>'Building stock'!$A$18:$A$22</c:f>
              <c:strCache>
                <c:ptCount val="5"/>
                <c:pt idx="0">
                  <c:v>2020</c:v>
                </c:pt>
                <c:pt idx="1">
                  <c:v>2030</c:v>
                </c:pt>
                <c:pt idx="2">
                  <c:v>2050 - L</c:v>
                </c:pt>
                <c:pt idx="3">
                  <c:v>2050 - M</c:v>
                </c:pt>
                <c:pt idx="4">
                  <c:v>2050 - H</c:v>
                </c:pt>
              </c:strCache>
            </c:strRef>
          </c:cat>
          <c:val>
            <c:numRef>
              <c:f>'Building stock'!$C$18:$C$22</c:f>
              <c:numCache>
                <c:formatCode>0%</c:formatCode>
                <c:ptCount val="5"/>
                <c:pt idx="0" formatCode="General">
                  <c:v>0</c:v>
                </c:pt>
                <c:pt idx="1">
                  <c:v>0.49779396316540647</c:v>
                </c:pt>
                <c:pt idx="2">
                  <c:v>0.21318174318082828</c:v>
                </c:pt>
                <c:pt idx="3">
                  <c:v>0.97199579537510594</c:v>
                </c:pt>
                <c:pt idx="4">
                  <c:v>1.8161742013921871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14D-2340-9A00-8025BAFF8845}"/>
            </c:ext>
          </c:extLst>
        </c:ser>
        <c:dLbls>
          <c:showLegendKey val="0"/>
          <c:showVal val="0"/>
          <c:showCatName val="0"/>
          <c:showSerName val="0"/>
          <c:showPercent val="0"/>
          <c:showBubbleSize val="0"/>
        </c:dLbls>
        <c:gapWidth val="150"/>
        <c:axId val="1782598389"/>
        <c:axId val="857633920"/>
      </c:barChart>
      <c:catAx>
        <c:axId val="1782598389"/>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857633920"/>
        <c:crosses val="autoZero"/>
        <c:auto val="1"/>
        <c:lblAlgn val="ctr"/>
        <c:lblOffset val="100"/>
        <c:noMultiLvlLbl val="1"/>
      </c:catAx>
      <c:valAx>
        <c:axId val="8576339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0"/>
        <c:majorTickMark val="none"/>
        <c:minorTickMark val="none"/>
        <c:tickLblPos val="nextTo"/>
        <c:spPr>
          <a:ln/>
        </c:spPr>
        <c:txPr>
          <a:bodyPr/>
          <a:lstStyle/>
          <a:p>
            <a:pPr lvl="0">
              <a:defRPr b="0">
                <a:solidFill>
                  <a:srgbClr val="000000"/>
                </a:solidFill>
                <a:latin typeface="+mn-lt"/>
              </a:defRPr>
            </a:pPr>
            <a:endParaRPr lang="en-NL"/>
          </a:p>
        </c:txPr>
        <c:crossAx val="1782598389"/>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v>Pre-2003 floor space</c:v>
          </c:tx>
          <c:spPr>
            <a:solidFill>
              <a:srgbClr val="4285F4"/>
            </a:solidFill>
            <a:ln cmpd="sng">
              <a:solidFill>
                <a:srgbClr val="000000"/>
              </a:solidFill>
            </a:ln>
          </c:spPr>
          <c:invertIfNegative val="1"/>
          <c:cat>
            <c:strRef>
              <c:f>'Building stock'!$A$18:$A$22</c:f>
              <c:strCache>
                <c:ptCount val="5"/>
                <c:pt idx="0">
                  <c:v>2020</c:v>
                </c:pt>
                <c:pt idx="1">
                  <c:v>2030</c:v>
                </c:pt>
                <c:pt idx="2">
                  <c:v>2050 - L</c:v>
                </c:pt>
                <c:pt idx="3">
                  <c:v>2050 - M</c:v>
                </c:pt>
                <c:pt idx="4">
                  <c:v>2050 - H</c:v>
                </c:pt>
              </c:strCache>
            </c:strRef>
          </c:cat>
          <c:val>
            <c:numRef>
              <c:f>'Building stock'!$D$18:$D$22</c:f>
              <c:numCache>
                <c:formatCode>0</c:formatCode>
                <c:ptCount val="5"/>
                <c:pt idx="0">
                  <c:v>18.021056000000002</c:v>
                </c:pt>
                <c:pt idx="1">
                  <c:v>18.021056000000002</c:v>
                </c:pt>
                <c:pt idx="2">
                  <c:v>18.021056000000002</c:v>
                </c:pt>
                <c:pt idx="3">
                  <c:v>18.021056000000002</c:v>
                </c:pt>
                <c:pt idx="4">
                  <c:v>18.021056000000002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F63-8F42-A729-434847B25BF1}"/>
            </c:ext>
          </c:extLst>
        </c:ser>
        <c:ser>
          <c:idx val="1"/>
          <c:order val="1"/>
          <c:tx>
            <c:v>Post-2003 floor space</c:v>
          </c:tx>
          <c:spPr>
            <a:solidFill>
              <a:srgbClr val="EA4335"/>
            </a:solidFill>
            <a:ln cmpd="sng">
              <a:solidFill>
                <a:srgbClr val="000000"/>
              </a:solidFill>
            </a:ln>
          </c:spPr>
          <c:invertIfNegative val="1"/>
          <c:cat>
            <c:strRef>
              <c:f>'Building stock'!$A$18:$A$22</c:f>
              <c:strCache>
                <c:ptCount val="5"/>
                <c:pt idx="0">
                  <c:v>2020</c:v>
                </c:pt>
                <c:pt idx="1">
                  <c:v>2030</c:v>
                </c:pt>
                <c:pt idx="2">
                  <c:v>2050 - L</c:v>
                </c:pt>
                <c:pt idx="3">
                  <c:v>2050 - M</c:v>
                </c:pt>
                <c:pt idx="4">
                  <c:v>2050 - H</c:v>
                </c:pt>
              </c:strCache>
            </c:strRef>
          </c:cat>
          <c:val>
            <c:numRef>
              <c:f>'Building stock'!$E$18:$E$22</c:f>
              <c:numCache>
                <c:formatCode>0</c:formatCode>
                <c:ptCount val="5"/>
                <c:pt idx="0">
                  <c:v>3.4236409999999999</c:v>
                </c:pt>
                <c:pt idx="1">
                  <c:v>5.1279088218455753</c:v>
                </c:pt>
                <c:pt idx="2">
                  <c:v>4.1534987564053543</c:v>
                </c:pt>
                <c:pt idx="3">
                  <c:v>6.751405656873823</c:v>
                </c:pt>
                <c:pt idx="4">
                  <c:v>9.641569459028549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F63-8F42-A729-434847B25BF1}"/>
            </c:ext>
          </c:extLst>
        </c:ser>
        <c:dLbls>
          <c:showLegendKey val="0"/>
          <c:showVal val="0"/>
          <c:showCatName val="0"/>
          <c:showSerName val="0"/>
          <c:showPercent val="0"/>
          <c:showBubbleSize val="0"/>
        </c:dLbls>
        <c:gapWidth val="150"/>
        <c:overlap val="100"/>
        <c:axId val="740447942"/>
        <c:axId val="1200946838"/>
      </c:barChart>
      <c:catAx>
        <c:axId val="740447942"/>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200946838"/>
        <c:crosses val="autoZero"/>
        <c:auto val="1"/>
        <c:lblAlgn val="ctr"/>
        <c:lblOffset val="100"/>
        <c:noMultiLvlLbl val="1"/>
      </c:catAx>
      <c:valAx>
        <c:axId val="12009468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Floor area (km2)</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740447942"/>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stacked"/>
        <c:varyColors val="1"/>
        <c:ser>
          <c:idx val="0"/>
          <c:order val="0"/>
          <c:tx>
            <c:v>Pre-2003 floor space</c:v>
          </c:tx>
          <c:spPr>
            <a:solidFill>
              <a:srgbClr val="4285F4"/>
            </a:solidFill>
            <a:ln cmpd="sng">
              <a:solidFill>
                <a:srgbClr val="000000"/>
              </a:solidFill>
            </a:ln>
          </c:spPr>
          <c:invertIfNegative val="1"/>
          <c:cat>
            <c:strRef>
              <c:f>'Building stock'!$A$101:$A$105</c:f>
              <c:strCache>
                <c:ptCount val="5"/>
                <c:pt idx="0">
                  <c:v>2020</c:v>
                </c:pt>
                <c:pt idx="1">
                  <c:v>2030</c:v>
                </c:pt>
                <c:pt idx="2">
                  <c:v>2050 - L</c:v>
                </c:pt>
                <c:pt idx="3">
                  <c:v>2050 - M</c:v>
                </c:pt>
                <c:pt idx="4">
                  <c:v>2050 - H</c:v>
                </c:pt>
              </c:strCache>
            </c:strRef>
          </c:cat>
          <c:val>
            <c:numRef>
              <c:f>'Building stock'!$E$101:$E$105</c:f>
              <c:numCache>
                <c:formatCode>0.0</c:formatCode>
                <c:ptCount val="5"/>
                <c:pt idx="0">
                  <c:v>0.52530200000000005</c:v>
                </c:pt>
                <c:pt idx="1">
                  <c:v>0.52530200000000005</c:v>
                </c:pt>
                <c:pt idx="2">
                  <c:v>0.52530200000000005</c:v>
                </c:pt>
                <c:pt idx="3">
                  <c:v>0.52530200000000005</c:v>
                </c:pt>
                <c:pt idx="4">
                  <c:v>0.52530200000000005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35D-D848-9185-AAA6BE974B7C}"/>
            </c:ext>
          </c:extLst>
        </c:ser>
        <c:ser>
          <c:idx val="1"/>
          <c:order val="1"/>
          <c:tx>
            <c:v>Post-2003 floor space</c:v>
          </c:tx>
          <c:spPr>
            <a:solidFill>
              <a:srgbClr val="EA4335"/>
            </a:solidFill>
            <a:ln cmpd="sng">
              <a:solidFill>
                <a:srgbClr val="000000"/>
              </a:solidFill>
            </a:ln>
          </c:spPr>
          <c:invertIfNegative val="1"/>
          <c:cat>
            <c:strRef>
              <c:f>'Building stock'!$A$101:$A$105</c:f>
              <c:strCache>
                <c:ptCount val="5"/>
                <c:pt idx="0">
                  <c:v>2020</c:v>
                </c:pt>
                <c:pt idx="1">
                  <c:v>2030</c:v>
                </c:pt>
                <c:pt idx="2">
                  <c:v>2050 - L</c:v>
                </c:pt>
                <c:pt idx="3">
                  <c:v>2050 - M</c:v>
                </c:pt>
                <c:pt idx="4">
                  <c:v>2050 - H</c:v>
                </c:pt>
              </c:strCache>
            </c:strRef>
          </c:cat>
          <c:val>
            <c:numRef>
              <c:f>'Building stock'!$D$101:$D$105</c:f>
              <c:numCache>
                <c:formatCode>0.0</c:formatCode>
                <c:ptCount val="5"/>
                <c:pt idx="0">
                  <c:v>2.8113969999999999</c:v>
                </c:pt>
                <c:pt idx="1">
                  <c:v>2.0347031991596638</c:v>
                </c:pt>
                <c:pt idx="2">
                  <c:v>1.6066886709836876</c:v>
                </c:pt>
                <c:pt idx="3">
                  <c:v>2.1561233967123665</c:v>
                </c:pt>
                <c:pt idx="4">
                  <c:v>2.4249562810620411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35D-D848-9185-AAA6BE974B7C}"/>
            </c:ext>
          </c:extLst>
        </c:ser>
        <c:dLbls>
          <c:showLegendKey val="0"/>
          <c:showVal val="0"/>
          <c:showCatName val="0"/>
          <c:showSerName val="0"/>
          <c:showPercent val="0"/>
          <c:showBubbleSize val="0"/>
        </c:dLbls>
        <c:gapWidth val="150"/>
        <c:overlap val="100"/>
        <c:axId val="1852327721"/>
        <c:axId val="1740912940"/>
      </c:barChart>
      <c:catAx>
        <c:axId val="1852327721"/>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1740912940"/>
        <c:crosses val="autoZero"/>
        <c:auto val="1"/>
        <c:lblAlgn val="ctr"/>
        <c:lblOffset val="100"/>
        <c:noMultiLvlLbl val="1"/>
      </c:catAx>
      <c:valAx>
        <c:axId val="17409129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Floor area (km2)</a:t>
                </a:r>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NL"/>
          </a:p>
        </c:txPr>
        <c:crossAx val="1852327721"/>
        <c:crosses val="autoZero"/>
        <c:crossBetween val="between"/>
      </c:valAx>
    </c:plotArea>
    <c:legend>
      <c:legendPos val="r"/>
      <c:overlay val="0"/>
      <c:txPr>
        <a:bodyPr/>
        <a:lstStyle/>
        <a:p>
          <a:pPr lvl="0">
            <a:defRPr b="0">
              <a:solidFill>
                <a:srgbClr val="1A1A1A"/>
              </a:solidFill>
              <a:latin typeface="+mn-lt"/>
            </a:defRPr>
          </a:pPr>
          <a:endParaRPr lang="en-NL"/>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areaChart>
        <c:grouping val="standard"/>
        <c:varyColors val="1"/>
        <c:ser>
          <c:idx val="0"/>
          <c:order val="0"/>
          <c:tx>
            <c:strRef>
              <c:f>'AC market'!$N$3</c:f>
              <c:strCache>
                <c:ptCount val="1"/>
                <c:pt idx="0">
                  <c:v>2002 - 2016</c:v>
                </c:pt>
              </c:strCache>
            </c:strRef>
          </c:tx>
          <c:spPr>
            <a:solidFill>
              <a:srgbClr val="4285F4">
                <a:alpha val="30000"/>
              </a:srgbClr>
            </a:solidFill>
            <a:ln cmpd="sng">
              <a:solidFill>
                <a:srgbClr val="4285F4"/>
              </a:solidFill>
            </a:ln>
          </c:spPr>
          <c:trendline>
            <c:name>Growth rate: €1.2 million/yr</c:name>
            <c:spPr>
              <a:ln w="19050">
                <a:solidFill>
                  <a:schemeClr val="accent1"/>
                </a:solidFill>
              </a:ln>
            </c:spPr>
            <c:trendlineType val="linear"/>
            <c:dispRSqr val="0"/>
            <c:dispEq val="0"/>
          </c:trendline>
          <c:cat>
            <c:numRef>
              <c:f>'AC market'!$M$4:$M$23</c:f>
              <c:numCache>
                <c:formatCode>General</c:formatCode>
                <c:ptCount val="20"/>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cat>
          <c:val>
            <c:numRef>
              <c:f>'AC market'!$N$4:$N$23</c:f>
              <c:numCache>
                <c:formatCode>[$€]#,##0</c:formatCode>
                <c:ptCount val="20"/>
                <c:pt idx="0">
                  <c:v>10892050</c:v>
                </c:pt>
                <c:pt idx="1">
                  <c:v>42025060</c:v>
                </c:pt>
                <c:pt idx="2">
                  <c:v>42690800</c:v>
                </c:pt>
                <c:pt idx="3">
                  <c:v>38124810</c:v>
                </c:pt>
                <c:pt idx="4">
                  <c:v>35076760</c:v>
                </c:pt>
                <c:pt idx="5">
                  <c:v>27181790</c:v>
                </c:pt>
                <c:pt idx="6">
                  <c:v>43034200</c:v>
                </c:pt>
                <c:pt idx="7">
                  <c:v>62617880</c:v>
                </c:pt>
                <c:pt idx="8">
                  <c:v>57238180</c:v>
                </c:pt>
                <c:pt idx="9">
                  <c:v>58157800</c:v>
                </c:pt>
                <c:pt idx="10">
                  <c:v>40697260</c:v>
                </c:pt>
                <c:pt idx="11">
                  <c:v>26035660</c:v>
                </c:pt>
                <c:pt idx="12">
                  <c:v>29103450</c:v>
                </c:pt>
                <c:pt idx="13">
                  <c:v>31751780</c:v>
                </c:pt>
                <c:pt idx="14">
                  <c:v>69630640</c:v>
                </c:pt>
              </c:numCache>
            </c:numRef>
          </c:val>
          <c:extLst>
            <c:ext xmlns:c16="http://schemas.microsoft.com/office/drawing/2014/chart" uri="{C3380CC4-5D6E-409C-BE32-E72D297353CC}">
              <c16:uniqueId val="{00000001-E2E8-3D48-8BB0-7BA8A0B50815}"/>
            </c:ext>
          </c:extLst>
        </c:ser>
        <c:ser>
          <c:idx val="1"/>
          <c:order val="1"/>
          <c:tx>
            <c:strRef>
              <c:f>'AC market'!$O$3</c:f>
              <c:strCache>
                <c:ptCount val="1"/>
                <c:pt idx="0">
                  <c:v>2016 - 2021</c:v>
                </c:pt>
              </c:strCache>
            </c:strRef>
          </c:tx>
          <c:spPr>
            <a:solidFill>
              <a:srgbClr val="EA4335">
                <a:alpha val="30000"/>
              </a:srgbClr>
            </a:solidFill>
            <a:ln cmpd="sng">
              <a:solidFill>
                <a:srgbClr val="EA4335"/>
              </a:solidFill>
            </a:ln>
          </c:spPr>
          <c:trendline>
            <c:name>Growth rate: €40 million/yr</c:name>
            <c:spPr>
              <a:ln w="19050">
                <a:solidFill>
                  <a:schemeClr val="accent2">
                    <a:lumMod val="75000"/>
                  </a:schemeClr>
                </a:solidFill>
              </a:ln>
            </c:spPr>
            <c:trendlineType val="linear"/>
            <c:dispRSqr val="0"/>
            <c:dispEq val="0"/>
          </c:trendline>
          <c:cat>
            <c:numRef>
              <c:f>'AC market'!$M$4:$M$23</c:f>
              <c:numCache>
                <c:formatCode>General</c:formatCode>
                <c:ptCount val="20"/>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cat>
          <c:val>
            <c:numRef>
              <c:f>'AC market'!$O$4:$O$23</c:f>
              <c:numCache>
                <c:formatCode>[$€]#,##0</c:formatCode>
                <c:ptCount val="20"/>
                <c:pt idx="14">
                  <c:v>69630640</c:v>
                </c:pt>
                <c:pt idx="15">
                  <c:v>58228550</c:v>
                </c:pt>
                <c:pt idx="16">
                  <c:v>70167600</c:v>
                </c:pt>
                <c:pt idx="17">
                  <c:v>153083000</c:v>
                </c:pt>
                <c:pt idx="18">
                  <c:v>206112081</c:v>
                </c:pt>
                <c:pt idx="19">
                  <c:v>241860651</c:v>
                </c:pt>
              </c:numCache>
            </c:numRef>
          </c:val>
          <c:extLst>
            <c:ext xmlns:c16="http://schemas.microsoft.com/office/drawing/2014/chart" uri="{C3380CC4-5D6E-409C-BE32-E72D297353CC}">
              <c16:uniqueId val="{00000003-E2E8-3D48-8BB0-7BA8A0B50815}"/>
            </c:ext>
          </c:extLst>
        </c:ser>
        <c:dLbls>
          <c:showLegendKey val="0"/>
          <c:showVal val="0"/>
          <c:showCatName val="0"/>
          <c:showSerName val="0"/>
          <c:showPercent val="0"/>
          <c:showBubbleSize val="0"/>
        </c:dLbls>
        <c:axId val="456536154"/>
        <c:axId val="2079997047"/>
      </c:areaChart>
      <c:catAx>
        <c:axId val="456536154"/>
        <c:scaling>
          <c:orientation val="minMax"/>
        </c:scaling>
        <c:delete val="0"/>
        <c:axPos val="b"/>
        <c:title>
          <c:tx>
            <c:rich>
              <a:bodyPr/>
              <a:lstStyle/>
              <a:p>
                <a:pPr lvl="0">
                  <a:defRPr b="0">
                    <a:solidFill>
                      <a:srgbClr val="000000"/>
                    </a:solidFill>
                    <a:latin typeface="+mn-lt"/>
                  </a:defRPr>
                </a:pPr>
                <a:endParaRPr lang="en-N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NL"/>
          </a:p>
        </c:txPr>
        <c:crossAx val="2079997047"/>
        <c:crosses val="autoZero"/>
        <c:auto val="1"/>
        <c:lblAlgn val="ctr"/>
        <c:lblOffset val="100"/>
        <c:noMultiLvlLbl val="1"/>
      </c:catAx>
      <c:valAx>
        <c:axId val="2079997047"/>
        <c:scaling>
          <c:orientation val="minMax"/>
          <c:min val="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N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NL"/>
          </a:p>
        </c:txPr>
        <c:crossAx val="456536154"/>
        <c:crosses val="autoZero"/>
        <c:crossBetween val="midCat"/>
      </c:valAx>
    </c:plotArea>
    <c:legend>
      <c:legendPos val="r"/>
      <c:overlay val="0"/>
      <c:txPr>
        <a:bodyPr/>
        <a:lstStyle/>
        <a:p>
          <a:pPr lvl="0">
            <a:defRPr b="0">
              <a:solidFill>
                <a:srgbClr val="1A1A1A"/>
              </a:solidFill>
              <a:latin typeface="+mn-lt"/>
            </a:defRPr>
          </a:pPr>
          <a:endParaRPr lang="en-NL"/>
        </a:p>
      </c:txPr>
    </c:legend>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23</xdr:col>
      <xdr:colOff>923925</xdr:colOff>
      <xdr:row>96</xdr:row>
      <xdr:rowOff>28575</xdr:rowOff>
    </xdr:from>
    <xdr:ext cx="5286375" cy="325755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14</xdr:col>
      <xdr:colOff>276225</xdr:colOff>
      <xdr:row>31</xdr:row>
      <xdr:rowOff>19050</xdr:rowOff>
    </xdr:from>
    <xdr:ext cx="4629150" cy="2724150"/>
    <xdr:graphicFrame macro="">
      <xdr:nvGraphicFramePr>
        <xdr:cNvPr id="3" name="Chart 2" title="Char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10</xdr:col>
      <xdr:colOff>409575</xdr:colOff>
      <xdr:row>42</xdr:row>
      <xdr:rowOff>152400</xdr:rowOff>
    </xdr:from>
    <xdr:ext cx="4629150" cy="2724150"/>
    <xdr:graphicFrame macro="">
      <xdr:nvGraphicFramePr>
        <xdr:cNvPr id="4" name="Chart 3" title="Chart">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9</xdr:col>
      <xdr:colOff>400050</xdr:colOff>
      <xdr:row>53</xdr:row>
      <xdr:rowOff>76200</xdr:rowOff>
    </xdr:from>
    <xdr:ext cx="4629150" cy="2724150"/>
    <xdr:graphicFrame macro="">
      <xdr:nvGraphicFramePr>
        <xdr:cNvPr id="5" name="Chart 4" title="Chart">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9</xdr:col>
      <xdr:colOff>47625</xdr:colOff>
      <xdr:row>62</xdr:row>
      <xdr:rowOff>180975</xdr:rowOff>
    </xdr:from>
    <xdr:ext cx="4629150" cy="2724150"/>
    <xdr:graphicFrame macro="">
      <xdr:nvGraphicFramePr>
        <xdr:cNvPr id="6" name="Chart 5" title="Char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8</xdr:col>
      <xdr:colOff>1819275</xdr:colOff>
      <xdr:row>76</xdr:row>
      <xdr:rowOff>76200</xdr:rowOff>
    </xdr:from>
    <xdr:ext cx="4629150" cy="2724150"/>
    <xdr:graphicFrame macro="">
      <xdr:nvGraphicFramePr>
        <xdr:cNvPr id="7" name="Chart 6" title="Chart">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23</xdr:col>
      <xdr:colOff>847725</xdr:colOff>
      <xdr:row>17</xdr:row>
      <xdr:rowOff>47625</xdr:rowOff>
    </xdr:from>
    <xdr:ext cx="6477000" cy="5629275"/>
    <xdr:graphicFrame macro="">
      <xdr:nvGraphicFramePr>
        <xdr:cNvPr id="7" name="Chart 7" title="Chart">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962025</xdr:colOff>
      <xdr:row>120</xdr:row>
      <xdr:rowOff>171450</xdr:rowOff>
    </xdr:from>
    <xdr:ext cx="6010275" cy="4943475"/>
    <xdr:graphicFrame macro="">
      <xdr:nvGraphicFramePr>
        <xdr:cNvPr id="8" name="Chart 8" title="Chart">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1247775</xdr:colOff>
      <xdr:row>197</xdr:row>
      <xdr:rowOff>57150</xdr:rowOff>
    </xdr:from>
    <xdr:ext cx="10610850" cy="5181600"/>
    <xdr:graphicFrame macro="">
      <xdr:nvGraphicFramePr>
        <xdr:cNvPr id="9" name="Chart 9" title="Chart">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257175</xdr:colOff>
      <xdr:row>161</xdr:row>
      <xdr:rowOff>152400</xdr:rowOff>
    </xdr:from>
    <xdr:ext cx="7934325" cy="3533775"/>
    <xdr:graphicFrame macro="">
      <xdr:nvGraphicFramePr>
        <xdr:cNvPr id="10" name="Chart 10" title="Chart">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180975</xdr:colOff>
      <xdr:row>181</xdr:row>
      <xdr:rowOff>180975</xdr:rowOff>
    </xdr:from>
    <xdr:ext cx="5715000" cy="3533775"/>
    <xdr:graphicFrame macro="">
      <xdr:nvGraphicFramePr>
        <xdr:cNvPr id="11" name="Chart 11" title="Chart">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9</xdr:col>
      <xdr:colOff>1123950</xdr:colOff>
      <xdr:row>162</xdr:row>
      <xdr:rowOff>66675</xdr:rowOff>
    </xdr:from>
    <xdr:ext cx="6105525" cy="3533775"/>
    <xdr:graphicFrame macro="">
      <xdr:nvGraphicFramePr>
        <xdr:cNvPr id="12" name="Chart 12" title="Chart">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9</xdr:col>
      <xdr:colOff>1123950</xdr:colOff>
      <xdr:row>182</xdr:row>
      <xdr:rowOff>38100</xdr:rowOff>
    </xdr:from>
    <xdr:ext cx="5943600" cy="3533775"/>
    <xdr:graphicFrame macro="">
      <xdr:nvGraphicFramePr>
        <xdr:cNvPr id="13" name="Chart 13" title="Chart">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2143125</xdr:colOff>
      <xdr:row>24</xdr:row>
      <xdr:rowOff>104775</xdr:rowOff>
    </xdr:from>
    <xdr:ext cx="4352925" cy="2352675"/>
    <xdr:graphicFrame macro="">
      <xdr:nvGraphicFramePr>
        <xdr:cNvPr id="14" name="Chart 14" title="Chart">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276225</xdr:colOff>
      <xdr:row>24</xdr:row>
      <xdr:rowOff>104775</xdr:rowOff>
    </xdr:from>
    <xdr:ext cx="5715000" cy="3533775"/>
    <xdr:graphicFrame macro="">
      <xdr:nvGraphicFramePr>
        <xdr:cNvPr id="15" name="Chart 15" title="Chart">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2333625</xdr:colOff>
      <xdr:row>24</xdr:row>
      <xdr:rowOff>104775</xdr:rowOff>
    </xdr:from>
    <xdr:ext cx="4829175" cy="3533775"/>
    <xdr:graphicFrame macro="">
      <xdr:nvGraphicFramePr>
        <xdr:cNvPr id="16" name="Chart 16" title="Chart">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857250</xdr:colOff>
      <xdr:row>104</xdr:row>
      <xdr:rowOff>95250</xdr:rowOff>
    </xdr:from>
    <xdr:ext cx="4829175" cy="3533775"/>
    <xdr:graphicFrame macro="">
      <xdr:nvGraphicFramePr>
        <xdr:cNvPr id="17" name="Chart 17" title="Chart">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15</xdr:col>
      <xdr:colOff>587374</xdr:colOff>
      <xdr:row>3</xdr:row>
      <xdr:rowOff>117475</xdr:rowOff>
    </xdr:from>
    <xdr:ext cx="6943725" cy="4530725"/>
    <xdr:graphicFrame macro="">
      <xdr:nvGraphicFramePr>
        <xdr:cNvPr id="18" name="Chart 18" title="Chart">
          <a:extLst>
            <a:ext uri="{FF2B5EF4-FFF2-40B4-BE49-F238E27FC236}">
              <a16:creationId xmlns:a16="http://schemas.microsoft.com/office/drawing/2014/main" id="{00000000-0008-0000-06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imon" refreshedDate="45244.492773495367" refreshedVersion="8" recordCount="106" xr:uid="{00000000-000A-0000-FFFF-FFFF00000000}">
  <cacheSource type="worksheet">
    <worksheetSource ref="H2:L108" sheet="Heat plans per neighbourhood"/>
  </cacheSource>
  <cacheFields count="5">
    <cacheField name="Neighbourhood" numFmtId="0">
      <sharedItems/>
    </cacheField>
    <cacheField name="Number of residents (2022)" numFmtId="0">
      <sharedItems containsString="0" containsBlank="1" containsNumber="1" containsInteger="1" minValue="0" maxValue="16480"/>
    </cacheField>
    <cacheField name="Heat plan 2030" numFmtId="0">
      <sharedItems/>
    </cacheField>
    <cacheField name="Heat plan 2040" numFmtId="0">
      <sharedItems count="4">
        <s v="Heating option to be determined: heat pumps, heat networks or a mix"/>
        <s v="Heat district"/>
        <s v="Mix of heat districts and heat pumps"/>
        <s v="Heat pumps"/>
      </sharedItems>
    </cacheField>
    <cacheField name="Most important heat sourc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imon" refreshedDate="45244.492773495367" refreshedVersion="8" recordCount="102" xr:uid="{00000000-000A-0000-FFFF-FFFF01000000}">
  <cacheSource type="worksheet">
    <worksheetSource ref="A2:E104" sheet="AC market"/>
  </cacheSource>
  <cacheFields count="5">
    <cacheField name="DECL_LAB" numFmtId="0">
      <sharedItems/>
    </cacheField>
    <cacheField name="PERIOD_LAB" numFmtId="0">
      <sharedItems count="21">
        <s v="Jan.-Dec. 2002"/>
        <s v="Jan.-Dec. 2003"/>
        <s v="Jan.-Dec. 2004"/>
        <s v="Jan.-Dec. 2005"/>
        <s v="Jan.-Dec. 2006"/>
        <s v="Jan.-Dec. 2007"/>
        <s v="Jan.-Dec. 2008"/>
        <s v="Jan.-Dec. 2009"/>
        <s v="Jan.-Dec. 2010"/>
        <s v="Jan.-Dec. 2011"/>
        <s v="Jan.-Dec. 2012"/>
        <s v="Jan.-Dec. 2013"/>
        <s v="Jan.-Dec. 2014"/>
        <s v="Jan.-Dec. 2015"/>
        <s v="Jan.-Dec. 2016"/>
        <s v="Jan.-Dec. 2017"/>
        <s v="Jan.-Dec. 2018"/>
        <s v="Jan.-Dec. 2019"/>
        <s v="Jan.-Dec. 2020"/>
        <s v="Jan.-Dec. 2021"/>
        <s v="Jan.-Dec. 2022"/>
      </sharedItems>
    </cacheField>
    <cacheField name="PRCCODE_LAB" numFmtId="0">
      <sharedItems/>
    </cacheField>
    <cacheField name="INDICATORS_LAB" numFmtId="0">
      <sharedItems count="5">
        <s v="IMPVAL"/>
        <s v="EXPVAL"/>
        <s v="QNTUNIT"/>
        <s v="PRODVAL"/>
        <s v="PRODQNT"/>
      </sharedItems>
    </cacheField>
    <cacheField name="INDICATOR_VALUE" numFmtId="3">
      <sharedItems containsMixedTypes="1" containsNumber="1" containsInteger="1" minValue="1210" maxValue="3464285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s v="Archipelbuurt"/>
    <n v="6236"/>
    <s v="Heating option to be determined: hybrid heat pumps"/>
    <x v="0"/>
    <s v="Ambient heat"/>
  </r>
  <r>
    <s v="Belgisch Park"/>
    <n v="8287"/>
    <s v="Heating option to be determined: hybrid heat pumps"/>
    <x v="0"/>
    <s v="Ambient heat"/>
  </r>
  <r>
    <s v="Benoordenhout (Samenvoeging van Nassaubuurt, Van Hoytemastraat en omgeving, Uilennest, Arendsdorp, Waalsdorp, Duinzigt)"/>
    <n v="14698"/>
    <s v="Heating option to be determined: hybrid heat pumps"/>
    <x v="0"/>
    <s v="Geothermal and ambient heat"/>
  </r>
  <r>
    <s v="Bezuidenhout-Midden"/>
    <n v="4889"/>
    <s v="Heat district after 2030"/>
    <x v="1"/>
    <s v="Geothermal and residual heat"/>
  </r>
  <r>
    <s v="Bezuidenhout-Oost"/>
    <n v="9269"/>
    <s v="Heating option to be determined: hybrid heat pumps"/>
    <x v="0"/>
    <s v="Geothermal and ambient heat"/>
  </r>
  <r>
    <s v="Bezuidenhout-West"/>
    <n v="3907"/>
    <s v="Heat district before 2030"/>
    <x v="1"/>
    <s v="Geothermal and residual heat"/>
  </r>
  <r>
    <s v="Binckhorst"/>
    <n v="3011"/>
    <s v="Mix of heat districts and heat pumps"/>
    <x v="2"/>
    <s v="Geothermal, residual and ambient heat"/>
  </r>
  <r>
    <s v="Bloemenbuurt-Oost"/>
    <n v="6524"/>
    <s v="Heating option to be determined: hybrid heat pumps"/>
    <x v="0"/>
    <s v="Ambient heat"/>
  </r>
  <r>
    <s v="Bloemenbuurt-West"/>
    <n v="2298"/>
    <s v="Heating option to be determined: hybrid heat pumps"/>
    <x v="0"/>
    <s v="Ambient heat"/>
  </r>
  <r>
    <s v="Bohemen en Meer en Bos"/>
    <n v="4498"/>
    <s v="Heat district after 2030"/>
    <x v="1"/>
    <s v="Geothermal heat"/>
  </r>
  <r>
    <s v="Bomenbuurt"/>
    <n v="6042"/>
    <s v="Heating option to be determined: hybrid heat pumps"/>
    <x v="0"/>
    <s v="Ambient heat"/>
  </r>
  <r>
    <s v="Bosjes van Pex"/>
    <n v="374"/>
    <s v="Heat district after 2030"/>
    <x v="1"/>
    <s v="Geothermal heat"/>
  </r>
  <r>
    <s v="Bosweide"/>
    <n v="1978"/>
    <s v="Heat district before 2030"/>
    <x v="1"/>
    <s v="Geothermal and residual heat"/>
  </r>
  <r>
    <s v="Bouwlust (Venen, Oorden en Raden en een deel van Zijden, Steden en Zichten)"/>
    <n v="16480"/>
    <s v="Heat district before 2030"/>
    <x v="1"/>
    <s v="Geothermal heat"/>
  </r>
  <r>
    <s v="CID/Policy Campus (Delen van Uilenbomen, Rivierenbuurt-Noord, Bezuidenhout-West)"/>
    <m/>
    <s v="Mix of heat districts and heat pumps"/>
    <x v="2"/>
    <s v="Geothermal, residual and ambient heat"/>
  </r>
  <r>
    <s v="Componistenbuurt"/>
    <n v="1839"/>
    <s v="Heat district after 2030"/>
    <x v="1"/>
    <s v="Geothermal heat"/>
  </r>
  <r>
    <s v="De Bras"/>
    <n v="5692"/>
    <s v="Heat district before 2030"/>
    <x v="1"/>
    <s v="Geothermal and residual heat"/>
  </r>
  <r>
    <s v="De Lanen"/>
    <n v="5395"/>
    <s v="Heat pumps"/>
    <x v="3"/>
    <s v="Ambient heat"/>
  </r>
  <r>
    <s v="De Reef"/>
    <n v="503"/>
    <s v="Heat pumps"/>
    <x v="3"/>
    <s v="Ambient heat"/>
  </r>
  <r>
    <s v="De Rivieren"/>
    <n v="25"/>
    <s v="Mix of heat districts and heat pumps"/>
    <x v="2"/>
    <s v="Ambient heat"/>
  </r>
  <r>
    <s v="De Uithof"/>
    <n v="1699"/>
    <s v="Heat pumps"/>
    <x v="3"/>
    <s v="Ambient heat"/>
  </r>
  <r>
    <s v="De Velden"/>
    <n v="4159"/>
    <s v="Heat pumps"/>
    <x v="3"/>
    <s v="Ambient heat"/>
  </r>
  <r>
    <s v="De Venen"/>
    <n v="1776"/>
    <s v="Heat district before 2030"/>
    <x v="1"/>
    <s v="Geothermal and residual heat"/>
  </r>
  <r>
    <s v="De Vissen"/>
    <n v="8398"/>
    <s v="Heat pumps"/>
    <x v="3"/>
    <s v="Ambient heat"/>
  </r>
  <r>
    <s v="Duindorp"/>
    <n v="5802"/>
    <s v="Heating option to be determined: hybrid heat pumps"/>
    <x v="0"/>
    <s v="Ambient heat"/>
  </r>
  <r>
    <s v="Duttendel"/>
    <n v="1158"/>
    <s v="Heating option to be determined: hybrid heat pumps"/>
    <x v="0"/>
    <s v="Ambient heat"/>
  </r>
  <r>
    <s v="Erasmus Veld"/>
    <n v="2967"/>
    <s v="Heat pumps"/>
    <x v="3"/>
    <s v="Ambient heat"/>
  </r>
  <r>
    <s v="Geuzenkwartier"/>
    <n v="4503"/>
    <s v="Heating option to be determined: hybrid heat pumps"/>
    <x v="0"/>
    <s v="Geothermal and ambient heat"/>
  </r>
  <r>
    <s v="Groente- en Fruitmarkt"/>
    <n v="5136"/>
    <s v="Heat district before 2030"/>
    <x v="1"/>
    <s v="Geothermal and residual heat"/>
  </r>
  <r>
    <s v="Haagse Bos"/>
    <n v="474"/>
    <s v="Heat pumps"/>
    <x v="3"/>
    <s v="Ambient heat"/>
  </r>
  <r>
    <s v="Heesterbuurt"/>
    <n v="6846"/>
    <s v="Heating option to be determined: hybrid heat pumps"/>
    <x v="0"/>
    <s v="Ambient heat"/>
  </r>
  <r>
    <s v="Hoge Veld"/>
    <n v="9179"/>
    <s v="Heat district before 2030"/>
    <x v="1"/>
    <s v="Geothermal heat"/>
  </r>
  <r>
    <s v="Houtwijk"/>
    <n v="12751"/>
    <s v="Heat district before 2030"/>
    <x v="1"/>
    <s v="Geothermal heat"/>
  </r>
  <r>
    <s v="Huygenspark"/>
    <n v="7931"/>
    <s v="Heat district after 2030"/>
    <x v="1"/>
    <s v="Geothermal and residual heat"/>
  </r>
  <r>
    <s v="Kerketuinen en Zichtenburg"/>
    <n v="135"/>
    <s v="Mix of heat districts and heat pumps"/>
    <x v="2"/>
    <s v="Geothermal and ambient heat"/>
  </r>
  <r>
    <s v="Kijkduin"/>
    <n v="1703"/>
    <s v="Heat pumps"/>
    <x v="3"/>
    <s v="Ambient heat"/>
  </r>
  <r>
    <s v="Kom Loosduinen"/>
    <n v="5056"/>
    <s v="Heat district after 2030"/>
    <x v="1"/>
    <s v="Geothermal heat"/>
  </r>
  <r>
    <s v="Koningsplein en omgeving"/>
    <n v="7616"/>
    <s v="Heating option to be determined: hybrid heat pumps"/>
    <x v="0"/>
    <s v="Geothermal and ambient heat"/>
  </r>
  <r>
    <s v="Kortenbos"/>
    <n v="7574"/>
    <s v="Heat district after 2030"/>
    <x v="1"/>
    <s v="Geothermal and residual heat"/>
  </r>
  <r>
    <s v="Kraayenstein (Splitsing van_x000a_ Kraayenstein)"/>
    <n v="8007"/>
    <s v="Heat district before 2030"/>
    <x v="1"/>
    <s v="Geothermal heat"/>
  </r>
  <r>
    <s v="Laakhaven-Oost"/>
    <n v="5132"/>
    <s v="Mix of heat districts and heat pumps"/>
    <x v="2"/>
    <s v="Geothermal, residual and ambient heat"/>
  </r>
  <r>
    <s v="Laakhaven-West"/>
    <n v="6994"/>
    <s v="Mix of heat districts and heat pumps"/>
    <x v="2"/>
    <s v="Geothermal, residual and ambient heat"/>
  </r>
  <r>
    <s v="Laakkwartier-Oost"/>
    <n v="11515"/>
    <s v="Heating option to be determined: hybrid heat pumps"/>
    <x v="0"/>
    <s v="Geothermal and residual heat"/>
  </r>
  <r>
    <s v="Laakkwartier-West"/>
    <n v="7993"/>
    <s v="Heating option to be determined: hybrid heat pumps"/>
    <x v="0"/>
    <s v="Geothermal and residual heat"/>
  </r>
  <r>
    <s v="Lage Veld"/>
    <n v="4238"/>
    <s v="Heat pumps"/>
    <x v="3"/>
    <s v="Ambient heat"/>
  </r>
  <r>
    <s v="Leyenburg"/>
    <n v="16300"/>
    <s v="Heat district after 2030"/>
    <x v="1"/>
    <s v="Geothermal heat"/>
  </r>
  <r>
    <s v="Mariahoeve ( Samenvoeging van Kampen, Burgen en_x000a_ Horsten, Landen en Marlot)"/>
    <n v="15369"/>
    <s v="Heat district before 2030"/>
    <x v="1"/>
    <s v="Geothermal and ambient heat"/>
  </r>
  <r>
    <s v="Moerwijk-Noord"/>
    <n v="7098"/>
    <s v="Heat district before 2030"/>
    <x v="1"/>
    <s v="Geothermal and residual heat"/>
  </r>
  <r>
    <s v="Moerwijk-Oost"/>
    <n v="2745"/>
    <s v="Heat district before 2030"/>
    <x v="1"/>
    <s v="Geothermal and residual heat"/>
  </r>
  <r>
    <s v="Moerwijk-West"/>
    <n v="6236"/>
    <s v="Heat district before 2030"/>
    <x v="1"/>
    <s v="Geothermal and residual heat"/>
  </r>
  <r>
    <s v="Moerwijk-Zuid"/>
    <n v="4733"/>
    <s v="Heat district before 2030"/>
    <x v="1"/>
    <s v="Geothermal and residual heat"/>
  </r>
  <r>
    <s v="Morgenstond-Oost"/>
    <n v="6043"/>
    <s v="Heat district before 2030"/>
    <x v="1"/>
    <s v="Geothermal and residual heat"/>
  </r>
  <r>
    <s v="Morgenstond-West"/>
    <n v="7957"/>
    <s v="Heat district before 2030"/>
    <x v="1"/>
    <s v="Geothermal and residual heat"/>
  </r>
  <r>
    <s v="Morgenstond-Zuid"/>
    <n v="6462"/>
    <s v="Heat district before 2030"/>
    <x v="1"/>
    <s v="Geothermal and residual heat"/>
  </r>
  <r>
    <s v="Morgenweide"/>
    <n v="7054"/>
    <s v="Heat district before 2030"/>
    <x v="1"/>
    <s v="Geothermal and residual heat"/>
  </r>
  <r>
    <s v="Nieuw Waldeck"/>
    <n v="7329"/>
    <s v="Heat district before 2030"/>
    <x v="1"/>
    <s v="Geothermal heat"/>
  </r>
  <r>
    <s v="Noordpolderbuurt"/>
    <n v="8303"/>
    <s v="Heat district after 2030"/>
    <x v="1"/>
    <s v="Geothermal and residual heat"/>
  </r>
  <r>
    <s v="Ockenburgh"/>
    <n v="1293"/>
    <s v="Heat pumps"/>
    <x v="3"/>
    <s v="Ambient heat"/>
  </r>
  <r>
    <s v="Oostbroek-Noord"/>
    <n v="4586"/>
    <s v="Heating option to be determined: hybrid heat pumps"/>
    <x v="0"/>
    <s v="Geothermal heat"/>
  </r>
  <r>
    <s v="Oostbroek-Zuid"/>
    <n v="8307"/>
    <s v="Heating option to be determined: hybrid heat pumps"/>
    <x v="0"/>
    <s v="Geothermal heat"/>
  </r>
  <r>
    <s v="Oostduinen"/>
    <n v="0"/>
    <s v="Heat pumps"/>
    <x v="3"/>
    <s v="Ambient heat"/>
  </r>
  <r>
    <s v="Oud Scheveningen"/>
    <n v="2964"/>
    <s v="Heating option to be determined: hybrid heat pumps"/>
    <x v="0"/>
    <s v="Geothermal and ambient heat"/>
  </r>
  <r>
    <s v="Parkbuurt oosteinde"/>
    <n v="3461"/>
    <s v="Heat pumps"/>
    <x v="3"/>
    <s v="Ambient heat"/>
  </r>
  <r>
    <s v="Rietbuurt"/>
    <n v="2724"/>
    <s v="Heat pumps"/>
    <x v="3"/>
    <s v="Ambient heat"/>
  </r>
  <r>
    <s v="Rijslag"/>
    <n v="1713"/>
    <s v="Heating option to be determined: hybrid heat pumps"/>
    <x v="0"/>
    <s v="Ambient heat"/>
  </r>
  <r>
    <s v="Rivierenbuurt-Noord (Deel van Rivierenbuurt-Noord)"/>
    <n v="3882"/>
    <s v="Heat district after 2030"/>
    <x v="1"/>
    <s v="Geothermal and residual heat"/>
  </r>
  <r>
    <s v="Rivierenbuurt-Zuid"/>
    <n v="880"/>
    <s v="Heat district after 2030"/>
    <x v="1"/>
    <s v="Geothermal and residual heat"/>
  </r>
  <r>
    <s v="Rond de Energiecentrale"/>
    <n v="6407"/>
    <s v="Heating option to be determined: hybrid heat pumps"/>
    <x v="0"/>
    <s v="Geothermal and ambient heat"/>
  </r>
  <r>
    <s v="Rosenburg"/>
    <n v="3222"/>
    <s v="Heat district before 2030"/>
    <x v="1"/>
    <s v="Geothermal heat"/>
  </r>
  <r>
    <s v="Rustenburg"/>
    <n v="6085"/>
    <s v="Heating option to be determined: hybrid heat pumps"/>
    <x v="0"/>
    <s v="Geothermal heat"/>
  </r>
  <r>
    <s v="Scheveningen Badplaats"/>
    <n v="5613"/>
    <s v="Heating option to be determined: hybrid heat pumps"/>
    <x v="0"/>
    <s v="Ambient heat"/>
  </r>
  <r>
    <s v="Schildersbuurt-Noord"/>
    <n v="9754"/>
    <s v="Heat district before 2030"/>
    <x v="1"/>
    <s v="Geothermal and residual heat"/>
  </r>
  <r>
    <s v="Schildersbuurt-Oost"/>
    <n v="6809"/>
    <s v="Heat district before 2030"/>
    <x v="1"/>
    <s v="Geothermal and residual heat"/>
  </r>
  <r>
    <s v="Schildersbuurt-West"/>
    <n v="14332"/>
    <s v="Heat district before 2030"/>
    <x v="1"/>
    <s v="Geothermal and residual heat"/>
  </r>
  <r>
    <s v="Singels (Een deel van Singels)"/>
    <n v="5505"/>
    <s v="Heat pumps"/>
    <x v="3"/>
    <s v="Ambient heat"/>
  </r>
  <r>
    <s v="Spoorwijk"/>
    <n v="4357"/>
    <s v="Heating option to be determined: hybrid heat pumps"/>
    <x v="0"/>
    <s v="Geothermal and residual heat"/>
  </r>
  <r>
    <s v="Stadhoudersplantsoen"/>
    <n v="2805"/>
    <s v="Heating option to be determined: hybrid heat pumps"/>
    <x v="0"/>
    <s v="Geothermal and ambient heat"/>
  </r>
  <r>
    <s v="Statenkwartier"/>
    <n v="10345"/>
    <s v="Heating option to be determined: hybrid heat pumps"/>
    <x v="0"/>
    <s v="Geothermal and ambient heat"/>
  </r>
  <r>
    <s v="Sweelinckplein en omgeving"/>
    <n v="5905"/>
    <s v="Heating option to be determined: hybrid heat pumps"/>
    <x v="0"/>
    <s v="Geothermal and ambient heat"/>
  </r>
  <r>
    <s v="Tedingerbroek"/>
    <n v="0"/>
    <s v="Heat pumps"/>
    <x v="3"/>
    <s v="Geothermal and ambient heat"/>
  </r>
  <r>
    <s v="Transvaalkwartier-Midden"/>
    <n v="5065"/>
    <s v="Heat district after 2030"/>
    <x v="1"/>
    <s v="Geothermal and residual heat"/>
  </r>
  <r>
    <s v="Transvaalkwartier-Noord"/>
    <n v="3885"/>
    <s v="Heat district after 2030"/>
    <x v="1"/>
    <s v="Geothermal and residual heat"/>
  </r>
  <r>
    <s v="Transvaalkwartier-Zuid"/>
    <n v="7312"/>
    <s v="Heat district after 2030"/>
    <x v="1"/>
    <s v="Geothermal and residual heat"/>
  </r>
  <r>
    <s v="Uilebomen (Deel van Uilebomen)"/>
    <n v="3339"/>
    <s v="Heat district after 2030"/>
    <x v="1"/>
    <s v="Geothermal and residual heat"/>
  </r>
  <r>
    <s v="Valkenboskwartier"/>
    <n v="11481"/>
    <s v="Heating option to be determined: hybrid heat pumps"/>
    <x v="0"/>
    <s v="Ambient heat"/>
  </r>
  <r>
    <s v="Van Stolkpark en Scheveningse Bosjes"/>
    <n v="813"/>
    <s v="Heating option to be determined: hybrid heat pumps"/>
    <x v="0"/>
    <s v="Ambient heat"/>
  </r>
  <r>
    <s v="Visserijbuurt"/>
    <n v="4007"/>
    <s v="Heating option to be determined: hybrid heat pumps"/>
    <x v="0"/>
    <s v="Ambient heat"/>
  </r>
  <r>
    <s v="Vissershaven"/>
    <n v="4329"/>
    <s v="Heating option to be determined: hybrid heat pumps"/>
    <x v="0"/>
    <s v="Geothermal and ambient heat"/>
  </r>
  <r>
    <s v="Vliegeniersbuurt"/>
    <n v="0"/>
    <s v="Mix of heat districts and heat pumps"/>
    <x v="2"/>
    <s v="Geothermal and residual heat"/>
  </r>
  <r>
    <s v="Vlietzoom-Oost"/>
    <n v="102"/>
    <s v="Heat pumps"/>
    <x v="3"/>
    <s v="Ambient heat"/>
  </r>
  <r>
    <s v="Vlietzoom-West"/>
    <n v="187"/>
    <s v="Heat pumps"/>
    <x v="3"/>
    <s v="Geothermal and residual heat"/>
  </r>
  <r>
    <s v="Vogelwijk"/>
    <n v="5446"/>
    <s v="Heating option to be determined: hybrid heat pumps"/>
    <x v="0"/>
    <s v="Ambient heat"/>
  </r>
  <r>
    <s v="Voorhout (Deel van Voorhout)"/>
    <n v="2577"/>
    <s v="Heat district after 2030"/>
    <x v="1"/>
    <s v="Geothermal and residual heat"/>
  </r>
  <r>
    <s v="Vrederust (Dreven en Gaarden en een deel van Zijden, Steden en Zichten)"/>
    <n v="10839"/>
    <s v="Mix of heat districts and heat pumps"/>
    <x v="2"/>
    <s v="Geothermal and ambient heat"/>
  </r>
  <r>
    <s v="Vroondaal (Splitsing van_x000a_ Kraayenstein)"/>
    <m/>
    <s v="Heat pumps"/>
    <x v="3"/>
    <s v="Ambient heat"/>
  </r>
  <r>
    <s v="Vruchtenbuurt (Samenvoeging van Vruchtenbuurt en Eykenduinen)"/>
    <n v="9847"/>
    <s v="Heating option to be determined: hybrid heat pumps"/>
    <x v="0"/>
    <s v="Ambient heat"/>
  </r>
  <r>
    <s v="Waldeck-Noord"/>
    <n v="3135"/>
    <s v="Heat district after 2030"/>
    <x v="1"/>
    <s v="Geothermal heat"/>
  </r>
  <r>
    <s v="Waldeck-Zuid"/>
    <n v="2053"/>
    <s v="Heat district before 2030"/>
    <x v="1"/>
    <s v="Geothermal heat"/>
  </r>
  <r>
    <s v="Waterbuurt (Waterbuurt en_x000a_ een deel van Singels)"/>
    <n v="4775"/>
    <s v="Heat district before 2030"/>
    <x v="1"/>
    <s v="Geothermal and residual heat"/>
  </r>
  <r>
    <s v="Westbroekpark"/>
    <n v="1056"/>
    <s v="Heating option to be determined: hybrid heat pumps"/>
    <x v="0"/>
    <s v="Ambient heat"/>
  </r>
  <r>
    <s v="Willemspark"/>
    <n v="1628"/>
    <s v="Heating option to be determined: hybrid heat pumps"/>
    <x v="0"/>
    <s v="Ambient heat"/>
  </r>
  <r>
    <s v="Zeeheldenkwartier"/>
    <n v="12607"/>
    <s v="Heating option to be determined: hybrid heat pumps"/>
    <x v="0"/>
    <s v="Geothermal and ambient heat"/>
  </r>
  <r>
    <s v="Zonneveld"/>
    <n v="3441"/>
    <s v="Heat pumps"/>
    <x v="3"/>
    <s v="Ambient heat"/>
  </r>
  <r>
    <s v="Zorgvliet"/>
    <n v="692"/>
    <s v="Heating option to be determined: hybrid heat pumps"/>
    <x v="0"/>
    <s v="Geothermal and ambient heat"/>
  </r>
  <r>
    <s v="Zuiderpark"/>
    <n v="111"/>
    <s v="Heat pumps"/>
    <x v="3"/>
    <s v="Ambient heat"/>
  </r>
  <r>
    <s v="Zuidwal"/>
    <n v="7314"/>
    <s v="Heat district after 2030"/>
    <x v="1"/>
    <s v="Geothermal and residual hea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Netherlands"/>
    <x v="0"/>
    <s v="Window or wall air conditioning systems, self-contained or split-systems"/>
    <x v="0"/>
    <n v="19223890"/>
  </r>
  <r>
    <s v="Netherlands"/>
    <x v="0"/>
    <s v="Window or wall air conditioning systems, self-contained or split-systems"/>
    <x v="1"/>
    <n v="8331840"/>
  </r>
  <r>
    <s v="Netherlands"/>
    <x v="0"/>
    <s v="Window or wall air conditioning systems, self-contained or split-systems"/>
    <x v="2"/>
    <s v="p/st"/>
  </r>
  <r>
    <s v="Netherlands"/>
    <x v="1"/>
    <s v="Window or wall air conditioning systems, self-contained or split-systems"/>
    <x v="3"/>
    <n v="27574000"/>
  </r>
  <r>
    <s v="Netherlands"/>
    <x v="1"/>
    <s v="Window or wall air conditioning systems, self-contained or split-systems"/>
    <x v="0"/>
    <n v="26347030"/>
  </r>
  <r>
    <s v="Netherlands"/>
    <x v="1"/>
    <s v="Window or wall air conditioning systems, self-contained or split-systems"/>
    <x v="1"/>
    <n v="11895970"/>
  </r>
  <r>
    <s v="Netherlands"/>
    <x v="1"/>
    <s v="Window or wall air conditioning systems, self-contained or split-systems"/>
    <x v="2"/>
    <s v="p/st"/>
  </r>
  <r>
    <s v="Netherlands"/>
    <x v="1"/>
    <s v="Window or wall air conditioning systems, self-contained or split-systems"/>
    <x v="4"/>
    <n v="39369"/>
  </r>
  <r>
    <s v="Netherlands"/>
    <x v="2"/>
    <s v="Window or wall air conditioning systems, self-contained or split-systems"/>
    <x v="3"/>
    <n v="23771000"/>
  </r>
  <r>
    <s v="Netherlands"/>
    <x v="2"/>
    <s v="Window or wall air conditioning systems, self-contained or split-systems"/>
    <x v="0"/>
    <n v="33674580"/>
  </r>
  <r>
    <s v="Netherlands"/>
    <x v="2"/>
    <s v="Window or wall air conditioning systems, self-contained or split-systems"/>
    <x v="1"/>
    <n v="14754780"/>
  </r>
  <r>
    <s v="Netherlands"/>
    <x v="2"/>
    <s v="Window or wall air conditioning systems, self-contained or split-systems"/>
    <x v="2"/>
    <s v="p/st"/>
  </r>
  <r>
    <s v="Netherlands"/>
    <x v="2"/>
    <s v="Window or wall air conditioning systems, self-contained or split-systems"/>
    <x v="4"/>
    <n v="1760"/>
  </r>
  <r>
    <s v="Netherlands"/>
    <x v="3"/>
    <s v="Window or wall air conditioning systems, self-contained or split-systems"/>
    <x v="3"/>
    <n v="19838000"/>
  </r>
  <r>
    <s v="Netherlands"/>
    <x v="3"/>
    <s v="Window or wall air conditioning systems, self-contained or split-systems"/>
    <x v="0"/>
    <n v="37052890"/>
  </r>
  <r>
    <s v="Netherlands"/>
    <x v="3"/>
    <s v="Window or wall air conditioning systems, self-contained or split-systems"/>
    <x v="1"/>
    <n v="18766080"/>
  </r>
  <r>
    <s v="Netherlands"/>
    <x v="3"/>
    <s v="Window or wall air conditioning systems, self-contained or split-systems"/>
    <x v="2"/>
    <s v="p/st"/>
  </r>
  <r>
    <s v="Netherlands"/>
    <x v="3"/>
    <s v="Window or wall air conditioning systems, self-contained or split-systems"/>
    <x v="4"/>
    <n v="26977"/>
  </r>
  <r>
    <s v="Netherlands"/>
    <x v="4"/>
    <s v="Window or wall air conditioning systems, self-contained or split-systems"/>
    <x v="3"/>
    <n v="15146000"/>
  </r>
  <r>
    <s v="Netherlands"/>
    <x v="4"/>
    <s v="Window or wall air conditioning systems, self-contained or split-systems"/>
    <x v="0"/>
    <n v="51739190"/>
  </r>
  <r>
    <s v="Netherlands"/>
    <x v="4"/>
    <s v="Window or wall air conditioning systems, self-contained or split-systems"/>
    <x v="1"/>
    <n v="31808430"/>
  </r>
  <r>
    <s v="Netherlands"/>
    <x v="4"/>
    <s v="Window or wall air conditioning systems, self-contained or split-systems"/>
    <x v="2"/>
    <s v="p/st"/>
  </r>
  <r>
    <s v="Netherlands"/>
    <x v="4"/>
    <s v="Window or wall air conditioning systems, self-contained or split-systems"/>
    <x v="4"/>
    <n v="23756"/>
  </r>
  <r>
    <s v="Netherlands"/>
    <x v="5"/>
    <s v="Window or wall air conditioning systems, self-contained or split-systems"/>
    <x v="3"/>
    <n v="8826000"/>
  </r>
  <r>
    <s v="Netherlands"/>
    <x v="5"/>
    <s v="Window or wall air conditioning systems, self-contained or split-systems"/>
    <x v="0"/>
    <n v="72622230"/>
  </r>
  <r>
    <s v="Netherlands"/>
    <x v="5"/>
    <s v="Window or wall air conditioning systems, self-contained or split-systems"/>
    <x v="1"/>
    <n v="54266440"/>
  </r>
  <r>
    <s v="Netherlands"/>
    <x v="5"/>
    <s v="Window or wall air conditioning systems, self-contained or split-systems"/>
    <x v="2"/>
    <s v="p/st"/>
  </r>
  <r>
    <s v="Netherlands"/>
    <x v="5"/>
    <s v="Window or wall air conditioning systems, self-contained or split-systems"/>
    <x v="4"/>
    <n v="14200"/>
  </r>
  <r>
    <s v="Netherlands"/>
    <x v="6"/>
    <s v="Window or wall air conditioning systems, self-contained or split-systems"/>
    <x v="3"/>
    <n v="10528000"/>
  </r>
  <r>
    <s v="Netherlands"/>
    <x v="6"/>
    <s v="Window or wall air conditioning systems, self-contained or split-systems"/>
    <x v="0"/>
    <n v="72162530"/>
  </r>
  <r>
    <s v="Netherlands"/>
    <x v="6"/>
    <s v="Window or wall air conditioning systems, self-contained or split-systems"/>
    <x v="1"/>
    <n v="39656330"/>
  </r>
  <r>
    <s v="Netherlands"/>
    <x v="6"/>
    <s v="Window or wall air conditioning systems, self-contained or split-systems"/>
    <x v="2"/>
    <s v="p/st"/>
  </r>
  <r>
    <s v="Netherlands"/>
    <x v="6"/>
    <s v="Window or wall air conditioning systems, self-contained or split-systems"/>
    <x v="4"/>
    <n v="17153"/>
  </r>
  <r>
    <s v="Netherlands"/>
    <x v="7"/>
    <s v="Window or wall air conditioning systems, self-contained or split-systems"/>
    <x v="3"/>
    <n v="27273000"/>
  </r>
  <r>
    <s v="Netherlands"/>
    <x v="7"/>
    <s v="Window or wall air conditioning systems, self-contained or split-systems"/>
    <x v="0"/>
    <n v="60484190"/>
  </r>
  <r>
    <s v="Netherlands"/>
    <x v="7"/>
    <s v="Window or wall air conditioning systems, self-contained or split-systems"/>
    <x v="1"/>
    <n v="25139310"/>
  </r>
  <r>
    <s v="Netherlands"/>
    <x v="7"/>
    <s v="Window or wall air conditioning systems, self-contained or split-systems"/>
    <x v="2"/>
    <s v="p/st"/>
  </r>
  <r>
    <s v="Netherlands"/>
    <x v="7"/>
    <s v="Window or wall air conditioning systems, self-contained or split-systems"/>
    <x v="4"/>
    <n v="4457"/>
  </r>
  <r>
    <s v="Netherlands"/>
    <x v="8"/>
    <s v="Window or wall air conditioning systems, self-contained or split-systems"/>
    <x v="3"/>
    <n v="24252000"/>
  </r>
  <r>
    <s v="Netherlands"/>
    <x v="8"/>
    <s v="Window or wall air conditioning systems, self-contained or split-systems"/>
    <x v="0"/>
    <n v="69816070"/>
  </r>
  <r>
    <s v="Netherlands"/>
    <x v="8"/>
    <s v="Window or wall air conditioning systems, self-contained or split-systems"/>
    <x v="1"/>
    <n v="36829890"/>
  </r>
  <r>
    <s v="Netherlands"/>
    <x v="8"/>
    <s v="Window or wall air conditioning systems, self-contained or split-systems"/>
    <x v="2"/>
    <s v="p/st"/>
  </r>
  <r>
    <s v="Netherlands"/>
    <x v="8"/>
    <s v="Window or wall air conditioning systems, self-contained or split-systems"/>
    <x v="4"/>
    <n v="43331"/>
  </r>
  <r>
    <s v="Netherlands"/>
    <x v="9"/>
    <s v="Window or wall air conditioning systems, self-contained or split-systems"/>
    <x v="3"/>
    <n v="10516000"/>
  </r>
  <r>
    <s v="Netherlands"/>
    <x v="9"/>
    <s v="Window or wall air conditioning systems, self-contained or split-systems"/>
    <x v="0"/>
    <n v="94690080"/>
  </r>
  <r>
    <s v="Netherlands"/>
    <x v="9"/>
    <s v="Window or wall air conditioning systems, self-contained or split-systems"/>
    <x v="1"/>
    <n v="47048280"/>
  </r>
  <r>
    <s v="Netherlands"/>
    <x v="9"/>
    <s v="Window or wall air conditioning systems, self-contained or split-systems"/>
    <x v="2"/>
    <s v="p/st"/>
  </r>
  <r>
    <s v="Netherlands"/>
    <x v="9"/>
    <s v="Window or wall air conditioning systems, self-contained or split-systems"/>
    <x v="4"/>
    <n v="2067"/>
  </r>
  <r>
    <s v="Netherlands"/>
    <x v="10"/>
    <s v="Window or wall air conditioning systems, self-contained or split-systems"/>
    <x v="3"/>
    <n v="6895000"/>
  </r>
  <r>
    <s v="Netherlands"/>
    <x v="10"/>
    <s v="Window or wall air conditioning systems, self-contained or split-systems"/>
    <x v="0"/>
    <n v="84160980"/>
  </r>
  <r>
    <s v="Netherlands"/>
    <x v="10"/>
    <s v="Window or wall air conditioning systems, self-contained or split-systems"/>
    <x v="1"/>
    <n v="50358720"/>
  </r>
  <r>
    <s v="Netherlands"/>
    <x v="10"/>
    <s v="Window or wall air conditioning systems, self-contained or split-systems"/>
    <x v="2"/>
    <s v="p/st"/>
  </r>
  <r>
    <s v="Netherlands"/>
    <x v="10"/>
    <s v="Window or wall air conditioning systems, self-contained or split-systems"/>
    <x v="4"/>
    <n v="1215"/>
  </r>
  <r>
    <s v="Netherlands"/>
    <x v="11"/>
    <s v="Window or wall air conditioning systems, self-contained or split-systems"/>
    <x v="3"/>
    <n v="7701000"/>
  </r>
  <r>
    <s v="Netherlands"/>
    <x v="11"/>
    <s v="Window or wall air conditioning systems, self-contained or split-systems"/>
    <x v="0"/>
    <n v="40758100"/>
  </r>
  <r>
    <s v="Netherlands"/>
    <x v="11"/>
    <s v="Window or wall air conditioning systems, self-contained or split-systems"/>
    <x v="1"/>
    <n v="22423440"/>
  </r>
  <r>
    <s v="Netherlands"/>
    <x v="11"/>
    <s v="Window or wall air conditioning systems, self-contained or split-systems"/>
    <x v="2"/>
    <s v="p/st"/>
  </r>
  <r>
    <s v="Netherlands"/>
    <x v="11"/>
    <s v="Window or wall air conditioning systems, self-contained or split-systems"/>
    <x v="4"/>
    <n v="1871"/>
  </r>
  <r>
    <s v="Netherlands"/>
    <x v="12"/>
    <s v="Window or wall air conditioning systems, self-contained or split-systems"/>
    <x v="3"/>
    <n v="7541000"/>
  </r>
  <r>
    <s v="Netherlands"/>
    <x v="12"/>
    <s v="Window or wall air conditioning systems, self-contained or split-systems"/>
    <x v="0"/>
    <n v="47783840"/>
  </r>
  <r>
    <s v="Netherlands"/>
    <x v="12"/>
    <s v="Window or wall air conditioning systems, self-contained or split-systems"/>
    <x v="1"/>
    <n v="26221390"/>
  </r>
  <r>
    <s v="Netherlands"/>
    <x v="12"/>
    <s v="Window or wall air conditioning systems, self-contained or split-systems"/>
    <x v="2"/>
    <s v="p/st"/>
  </r>
  <r>
    <s v="Netherlands"/>
    <x v="12"/>
    <s v="Window or wall air conditioning systems, self-contained or split-systems"/>
    <x v="4"/>
    <n v="1817"/>
  </r>
  <r>
    <s v="Netherlands"/>
    <x v="13"/>
    <s v="Window or wall air conditioning systems, self-contained or split-systems"/>
    <x v="3"/>
    <n v="7686000"/>
  </r>
  <r>
    <s v="Netherlands"/>
    <x v="13"/>
    <s v="Window or wall air conditioning systems, self-contained or split-systems"/>
    <x v="0"/>
    <n v="49940360"/>
  </r>
  <r>
    <s v="Netherlands"/>
    <x v="13"/>
    <s v="Window or wall air conditioning systems, self-contained or split-systems"/>
    <x v="1"/>
    <n v="25874580"/>
  </r>
  <r>
    <s v="Netherlands"/>
    <x v="13"/>
    <s v="Window or wall air conditioning systems, self-contained or split-systems"/>
    <x v="2"/>
    <s v="p/st"/>
  </r>
  <r>
    <s v="Netherlands"/>
    <x v="13"/>
    <s v="Window or wall air conditioning systems, self-contained or split-systems"/>
    <x v="4"/>
    <n v="2942"/>
  </r>
  <r>
    <s v="Netherlands"/>
    <x v="14"/>
    <s v="Window or wall air conditioning systems, self-contained or split-systems"/>
    <x v="3"/>
    <n v="25940000"/>
  </r>
  <r>
    <s v="Netherlands"/>
    <x v="14"/>
    <s v="Window or wall air conditioning systems, self-contained or split-systems"/>
    <x v="0"/>
    <n v="61578390"/>
  </r>
  <r>
    <s v="Netherlands"/>
    <x v="14"/>
    <s v="Window or wall air conditioning systems, self-contained or split-systems"/>
    <x v="1"/>
    <n v="17887750"/>
  </r>
  <r>
    <s v="Netherlands"/>
    <x v="14"/>
    <s v="Window or wall air conditioning systems, self-contained or split-systems"/>
    <x v="2"/>
    <s v="p/st"/>
  </r>
  <r>
    <s v="Netherlands"/>
    <x v="14"/>
    <s v="Window or wall air conditioning systems, self-contained or split-systems"/>
    <x v="4"/>
    <n v="7150"/>
  </r>
  <r>
    <s v="Netherlands"/>
    <x v="15"/>
    <s v="Window or wall air conditioning systems, self-contained or split-systems"/>
    <x v="3"/>
    <n v="20121000"/>
  </r>
  <r>
    <s v="Netherlands"/>
    <x v="15"/>
    <s v="Window or wall air conditioning systems, self-contained or split-systems"/>
    <x v="0"/>
    <n v="85470140"/>
  </r>
  <r>
    <s v="Netherlands"/>
    <x v="15"/>
    <s v="Window or wall air conditioning systems, self-contained or split-systems"/>
    <x v="1"/>
    <n v="47362590"/>
  </r>
  <r>
    <s v="Netherlands"/>
    <x v="15"/>
    <s v="Window or wall air conditioning systems, self-contained or split-systems"/>
    <x v="2"/>
    <s v="p/st"/>
  </r>
  <r>
    <s v="Netherlands"/>
    <x v="15"/>
    <s v="Window or wall air conditioning systems, self-contained or split-systems"/>
    <x v="4"/>
    <n v="12513"/>
  </r>
  <r>
    <s v="Netherlands"/>
    <x v="16"/>
    <s v="Window or wall air conditioning systems, self-contained or split-systems"/>
    <x v="3"/>
    <n v="12934000"/>
  </r>
  <r>
    <s v="Netherlands"/>
    <x v="16"/>
    <s v="Window or wall air conditioning systems, self-contained or split-systems"/>
    <x v="0"/>
    <n v="114180210"/>
  </r>
  <r>
    <s v="Netherlands"/>
    <x v="16"/>
    <s v="Window or wall air conditioning systems, self-contained or split-systems"/>
    <x v="1"/>
    <n v="56946610"/>
  </r>
  <r>
    <s v="Netherlands"/>
    <x v="16"/>
    <s v="Window or wall air conditioning systems, self-contained or split-systems"/>
    <x v="2"/>
    <s v="p/st"/>
  </r>
  <r>
    <s v="Netherlands"/>
    <x v="16"/>
    <s v="Window or wall air conditioning systems, self-contained or split-systems"/>
    <x v="4"/>
    <n v="9802"/>
  </r>
  <r>
    <s v="Netherlands"/>
    <x v="17"/>
    <s v="Window or wall air conditioning systems, self-contained or split-systems"/>
    <x v="3"/>
    <n v="15858000"/>
  </r>
  <r>
    <s v="Netherlands"/>
    <x v="17"/>
    <s v="Window or wall air conditioning systems, self-contained or split-systems"/>
    <x v="0"/>
    <n v="206514910"/>
  </r>
  <r>
    <s v="Netherlands"/>
    <x v="17"/>
    <s v="Window or wall air conditioning systems, self-contained or split-systems"/>
    <x v="1"/>
    <n v="69289910"/>
  </r>
  <r>
    <s v="Netherlands"/>
    <x v="17"/>
    <s v="Window or wall air conditioning systems, self-contained or split-systems"/>
    <x v="2"/>
    <s v="p/st"/>
  </r>
  <r>
    <s v="Netherlands"/>
    <x v="17"/>
    <s v="Window or wall air conditioning systems, self-contained or split-systems"/>
    <x v="4"/>
    <n v="7144"/>
  </r>
  <r>
    <s v="Netherlands"/>
    <x v="18"/>
    <s v="Window or wall air conditioning systems, self-contained or split-systems"/>
    <x v="3"/>
    <n v="21362000"/>
  </r>
  <r>
    <s v="Netherlands"/>
    <x v="18"/>
    <s v="Window or wall air conditioning systems, self-contained or split-systems"/>
    <x v="0"/>
    <n v="270979940"/>
  </r>
  <r>
    <s v="Netherlands"/>
    <x v="18"/>
    <s v="Window or wall air conditioning systems, self-contained or split-systems"/>
    <x v="1"/>
    <n v="86229859"/>
  </r>
  <r>
    <s v="Netherlands"/>
    <x v="18"/>
    <s v="Window or wall air conditioning systems, self-contained or split-systems"/>
    <x v="2"/>
    <s v="p/st"/>
  </r>
  <r>
    <s v="Netherlands"/>
    <x v="18"/>
    <s v="Window or wall air conditioning systems, self-contained or split-systems"/>
    <x v="4"/>
    <n v="11654"/>
  </r>
  <r>
    <s v="Netherlands"/>
    <x v="19"/>
    <s v="Window or wall air conditioning systems, self-contained or split-systems"/>
    <x v="3"/>
    <n v="11066000"/>
  </r>
  <r>
    <s v="Netherlands"/>
    <x v="19"/>
    <s v="Window or wall air conditioning systems, self-contained or split-systems"/>
    <x v="0"/>
    <n v="346428511"/>
  </r>
  <r>
    <s v="Netherlands"/>
    <x v="19"/>
    <s v="Window or wall air conditioning systems, self-contained or split-systems"/>
    <x v="1"/>
    <n v="115633860"/>
  </r>
  <r>
    <s v="Netherlands"/>
    <x v="19"/>
    <s v="Window or wall air conditioning systems, self-contained or split-systems"/>
    <x v="2"/>
    <s v="p/st"/>
  </r>
  <r>
    <s v="Netherlands"/>
    <x v="19"/>
    <s v="Window or wall air conditioning systems, self-contained or split-systems"/>
    <x v="4"/>
    <n v="5125"/>
  </r>
  <r>
    <s v="Netherlands"/>
    <x v="20"/>
    <s v="Window or wall air conditioning systems, self-contained or split-systems"/>
    <x v="0"/>
    <n v="341302175"/>
  </r>
  <r>
    <s v="Netherlands"/>
    <x v="20"/>
    <s v="Window or wall air conditioning systems, self-contained or split-systems"/>
    <x v="1"/>
    <n v="148866715"/>
  </r>
  <r>
    <s v="Netherlands"/>
    <x v="20"/>
    <s v="Window or wall air conditioning systems, self-contained or split-systems"/>
    <x v="2"/>
    <s v="p/st"/>
  </r>
  <r>
    <s v="Netherlands"/>
    <x v="20"/>
    <s v="Window or wall air conditioning systems, self-contained or split-systems"/>
    <x v="4"/>
    <n v="12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Heat plans per neighbourhood" cacheId="13" applyNumberFormats="0" applyBorderFormats="0" applyFontFormats="0" applyPatternFormats="0" applyAlignmentFormats="0" applyWidthHeightFormats="0" dataCaption="" updatedVersion="8" compact="0" compactData="0">
  <location ref="A8:D14" firstHeaderRow="1" firstDataRow="2" firstDataCol="1"/>
  <pivotFields count="5">
    <pivotField name="Neighbourhood" dataField="1" compact="0" outline="0" multipleItemSelectionAllowed="1" showAll="0"/>
    <pivotField name="Number of residents (2022)" dataField="1" compact="0" outline="0" multipleItemSelectionAllowed="1" showAll="0"/>
    <pivotField name="Heat plan 2030" compact="0" outline="0" multipleItemSelectionAllowed="1" showAll="0"/>
    <pivotField name="Heat plan 2040" axis="axisRow" compact="0" outline="0" multipleItemSelectionAllowed="1" showAll="0" sortType="ascending">
      <items count="5">
        <item x="1"/>
        <item x="3"/>
        <item x="0"/>
        <item x="2"/>
        <item t="default"/>
      </items>
    </pivotField>
    <pivotField name="Most important heat sources" compact="0" outline="0" multipleItemSelectionAllowed="1" showAll="0"/>
  </pivotFields>
  <rowFields count="1">
    <field x="3"/>
  </rowFields>
  <rowItems count="5">
    <i>
      <x/>
    </i>
    <i>
      <x v="1"/>
    </i>
    <i>
      <x v="2"/>
    </i>
    <i>
      <x v="3"/>
    </i>
    <i t="grand">
      <x/>
    </i>
  </rowItems>
  <colFields count="1">
    <field x="-2"/>
  </colFields>
  <colItems count="3">
    <i>
      <x/>
    </i>
    <i i="1">
      <x v="1"/>
    </i>
    <i i="2">
      <x v="2"/>
    </i>
  </colItems>
  <dataFields count="3">
    <dataField name="COUNTA of Neighbourhood" fld="0" subtotal="count" baseField="0"/>
    <dataField name="SUM of Number of residents (2022)" fld="1" baseField="0"/>
    <dataField name="SUM of Number of residents (2022)" fld="1" showDataAs="percentOfCol" baseField="0"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AC market" cacheId="17" applyNumberFormats="0" applyBorderFormats="0" applyFontFormats="0" applyPatternFormats="0" applyAlignmentFormats="0" applyWidthHeightFormats="0" dataCaption="" updatedVersion="8" rowGrandTotals="0" colGrandTotals="0" compact="0" compactData="0">
  <location ref="G2:J23" firstHeaderRow="1" firstDataRow="2" firstDataCol="1"/>
  <pivotFields count="5">
    <pivotField name="DECL_LAB" compact="0" outline="0" multipleItemSelectionAllowed="1" showAll="0"/>
    <pivotField name="PERIOD_LAB" axis="axisRow" compact="0" outline="0" multipleItemSelectionAllowed="1" showAll="0" sortType="ascending">
      <items count="22">
        <item x="0"/>
        <item x="1"/>
        <item x="2"/>
        <item x="3"/>
        <item x="4"/>
        <item x="5"/>
        <item x="6"/>
        <item x="7"/>
        <item x="8"/>
        <item x="9"/>
        <item x="10"/>
        <item x="11"/>
        <item x="12"/>
        <item x="13"/>
        <item x="14"/>
        <item x="15"/>
        <item x="16"/>
        <item x="17"/>
        <item x="18"/>
        <item x="19"/>
        <item h="1" x="20"/>
        <item t="default"/>
      </items>
    </pivotField>
    <pivotField name="PRCCODE_LAB" compact="0" outline="0" multipleItemSelectionAllowed="1" showAll="0"/>
    <pivotField name="INDICATORS_LAB" axis="axisCol" compact="0" outline="0" multipleItemSelectionAllowed="1" showAll="0" sortType="ascending">
      <items count="6">
        <item x="1"/>
        <item x="0"/>
        <item h="1" x="4"/>
        <item x="3"/>
        <item h="1" x="2"/>
        <item t="default"/>
      </items>
    </pivotField>
    <pivotField name="INDICATOR_VALUE" dataField="1" compact="0" outline="0" multipleItemSelectionAllowed="1" showAll="0"/>
  </pivotFields>
  <rowFields count="1">
    <field x="1"/>
  </rowFields>
  <rowItems count="20">
    <i>
      <x/>
    </i>
    <i>
      <x v="1"/>
    </i>
    <i>
      <x v="2"/>
    </i>
    <i>
      <x v="3"/>
    </i>
    <i>
      <x v="4"/>
    </i>
    <i>
      <x v="5"/>
    </i>
    <i>
      <x v="6"/>
    </i>
    <i>
      <x v="7"/>
    </i>
    <i>
      <x v="8"/>
    </i>
    <i>
      <x v="9"/>
    </i>
    <i>
      <x v="10"/>
    </i>
    <i>
      <x v="11"/>
    </i>
    <i>
      <x v="12"/>
    </i>
    <i>
      <x v="13"/>
    </i>
    <i>
      <x v="14"/>
    </i>
    <i>
      <x v="15"/>
    </i>
    <i>
      <x v="16"/>
    </i>
    <i>
      <x v="17"/>
    </i>
    <i>
      <x v="18"/>
    </i>
    <i>
      <x v="19"/>
    </i>
  </rowItems>
  <colFields count="1">
    <field x="3"/>
  </colFields>
  <colItems count="3">
    <i>
      <x/>
    </i>
    <i>
      <x v="1"/>
    </i>
    <i>
      <x v="3"/>
    </i>
  </colItems>
  <dataFields count="1">
    <dataField name="SUM of INDICATOR_VALUE" fld="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6:B14" dataDxfId="4">
  <tableColumns count="2">
    <tableColumn id="1" xr3:uid="{00000000-0010-0000-0000-000001000000}" name="Sheet name" dataDxfId="3"/>
    <tableColumn id="2" xr3:uid="{00000000-0010-0000-0000-000002000000}" name="Description" dataDxfId="2"/>
  </tableColumns>
  <tableStyleInfo name="legen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AI10" headerRowCount="0">
  <tableColumns count="35">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s>
  <tableStyleInfo name="Cooling technologie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4:G20">
  <tableColumns count="7">
    <tableColumn id="1" xr3:uid="{00000000-0010-0000-0200-000001000000}" name="cooling_technology_int"/>
    <tableColumn id="2" xr3:uid="{00000000-0010-0000-0200-000002000000}" name="cooling_technology"/>
    <tableColumn id="3" xr3:uid="{00000000-0010-0000-0200-000003000000}" name="material_density_kg_kW"/>
    <tableColumn id="4" xr3:uid="{00000000-0010-0000-0200-000004000000}" name="average_lifetime_yr"/>
    <tableColumn id="5" xr3:uid="{00000000-0010-0000-0200-000005000000}" name="SEER"/>
    <tableColumn id="6" xr3:uid="{00000000-0010-0000-0200-000006000000}" name="refrigerant_density_kg_kW"/>
    <tableColumn id="7" xr3:uid="{00000000-0010-0000-0200-000007000000}" name="refrigerant_leakage_rate_relative"/>
  </tableColumns>
  <tableStyleInfo name="Cooling technologies-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I14:O20">
  <tableColumns count="7">
    <tableColumn id="1" xr3:uid="{00000000-0010-0000-0300-000001000000}" name="cooling_technology_int"/>
    <tableColumn id="2" xr3:uid="{00000000-0010-0000-0300-000002000000}" name="cooling_technology"/>
    <tableColumn id="3" xr3:uid="{00000000-0010-0000-0300-000003000000}" name="material_density_kg_kW"/>
    <tableColumn id="4" xr3:uid="{00000000-0010-0000-0300-000004000000}" name="average_lifetime_yr"/>
    <tableColumn id="5" xr3:uid="{00000000-0010-0000-0300-000005000000}" name="SEER"/>
    <tableColumn id="6" xr3:uid="{00000000-0010-0000-0300-000006000000}" name="refrigerant_density_kg_kW"/>
    <tableColumn id="7" xr3:uid="{00000000-0010-0000-0300-000007000000}" name="refrigerant_leakage_rate_relative"/>
  </tableColumns>
  <tableStyleInfo name="Cooling technologies-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R14:X20">
  <tableColumns count="7">
    <tableColumn id="1" xr3:uid="{00000000-0010-0000-0400-000001000000}" name="cooling_technology_int"/>
    <tableColumn id="2" xr3:uid="{00000000-0010-0000-0400-000002000000}" name="cooling_technology"/>
    <tableColumn id="3" xr3:uid="{00000000-0010-0000-0400-000003000000}" name="material_density_kg_kW"/>
    <tableColumn id="4" xr3:uid="{00000000-0010-0000-0400-000004000000}" name="average_lifetime_yr"/>
    <tableColumn id="5" xr3:uid="{00000000-0010-0000-0400-000005000000}" name="SEER"/>
    <tableColumn id="6" xr3:uid="{00000000-0010-0000-0400-000006000000}" name="refrigerant_density_kg_kW"/>
    <tableColumn id="7" xr3:uid="{00000000-0010-0000-0400-000007000000}" name="refrigerant_leakage_rate_relative"/>
  </tableColumns>
  <tableStyleInfo name="Cooling technologies-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Z14:AH20">
  <tableColumns count="9">
    <tableColumn id="1" xr3:uid="{00000000-0010-0000-0500-000001000000}" name="Cooling equipment type"/>
    <tableColumn id="2" xr3:uid="{00000000-0010-0000-0500-000002000000}" name="Proxy product"/>
    <tableColumn id="3" xr3:uid="{00000000-0010-0000-0500-000003000000}" name="Mass per unit (kg)"/>
    <tableColumn id="4" xr3:uid="{00000000-0010-0000-0500-000004000000}" name="Average lifetime (yr)"/>
    <tableColumn id="5" xr3:uid="{00000000-0010-0000-0500-000005000000}" name="Cooling power capacity (kW)"/>
    <tableColumn id="6" xr3:uid="{00000000-0010-0000-0500-000006000000}" name="Production phase carbon impacts (kg CO2eq/(kW*yr))"/>
    <tableColumn id="7" xr3:uid="{00000000-0010-0000-0500-000007000000}" name="End-of-life phase carbon impacts (kg CO2eq/(kW*yr))"/>
    <tableColumn id="8" xr3:uid="{00000000-0010-0000-0500-000008000000}" name="Relative resource depletion scarcity (kg Sb-eq/(kW*yr))"/>
    <tableColumn id="9" xr3:uid="{00000000-0010-0000-0500-000009000000}" name="Relative resource scarcity (kg Si-eq/(kW*yr))"/>
  </tableColumns>
  <tableStyleInfo name="Cooling technologies-style 5"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3:G29">
  <tableColumns count="7">
    <tableColumn id="1" xr3:uid="{00000000-0010-0000-0600-000001000000}" name="cooling_technology_int"/>
    <tableColumn id="2" xr3:uid="{00000000-0010-0000-0600-000002000000}" name="cooling_technology"/>
    <tableColumn id="3" xr3:uid="{00000000-0010-0000-0600-000003000000}" name="material_density_kg_kW"/>
    <tableColumn id="4" xr3:uid="{00000000-0010-0000-0600-000004000000}" name="average_lifetime_yr"/>
    <tableColumn id="5" xr3:uid="{00000000-0010-0000-0600-000005000000}" name="SEER"/>
    <tableColumn id="6" xr3:uid="{00000000-0010-0000-0600-000006000000}" name="refrigerant_density_kg_kW"/>
    <tableColumn id="7" xr3:uid="{00000000-0010-0000-0600-000007000000}" name="refrigerant_leakage_rate_relative"/>
  </tableColumns>
  <tableStyleInfo name="Cooling technologies-style 6"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I23:O29">
  <tableColumns count="7">
    <tableColumn id="1" xr3:uid="{00000000-0010-0000-0700-000001000000}" name="cooling_technology_int"/>
    <tableColumn id="2" xr3:uid="{00000000-0010-0000-0700-000002000000}" name="cooling_technology"/>
    <tableColumn id="3" xr3:uid="{00000000-0010-0000-0700-000003000000}" name="material_density_kg_kW"/>
    <tableColumn id="4" xr3:uid="{00000000-0010-0000-0700-000004000000}" name="average_lifetime_yr"/>
    <tableColumn id="5" xr3:uid="{00000000-0010-0000-0700-000005000000}" name="SEER"/>
    <tableColumn id="6" xr3:uid="{00000000-0010-0000-0700-000006000000}" name="refrigerant_density_kg_kW"/>
    <tableColumn id="7" xr3:uid="{00000000-0010-0000-0700-000007000000}" name="refrigerant_leakage_rate_relative"/>
  </tableColumns>
  <tableStyleInfo name="Cooling technologies-style 7"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34:N42">
  <tableColumns count="14">
    <tableColumn id="1" xr3:uid="{00000000-0010-0000-0800-000001000000}" name="Building type"/>
    <tableColumn id="2" xr3:uid="{00000000-0010-0000-0800-000002000000}" name="Function"/>
    <tableColumn id="3" xr3:uid="{00000000-0010-0000-0800-000003000000}" name="Height"/>
    <tableColumn id="4" xr3:uid="{00000000-0010-0000-0800-000004000000}" name="Construction year"/>
    <tableColumn id="5" xr3:uid="{00000000-0010-0000-0800-000005000000}" name="Floor area in Status Quo scenario (km2)"/>
    <tableColumn id="6" xr3:uid="{00000000-0010-0000-0800-000006000000}" name="Penetration degree - All active cooling equipment "/>
    <tableColumn id="7" xr3:uid="{00000000-0010-0000-0800-000007000000}" name="Penetration degree - ASHP"/>
    <tableColumn id="8" xr3:uid="{00000000-0010-0000-0800-000008000000}" name="Penetration degree - GSHP"/>
    <tableColumn id="9" xr3:uid="{00000000-0010-0000-0800-000009000000}" name="Penetration degree - WSHP"/>
    <tableColumn id="10" xr3:uid="{00000000-0010-0000-0800-00000A000000}" name="Penetration degree - Chiller"/>
    <tableColumn id="11" xr3:uid="{00000000-0010-0000-0800-00000B000000}" name="Penetration degree - Large split AC"/>
    <tableColumn id="12" xr3:uid="{00000000-0010-0000-0800-00000C000000}" name="Penetration degree - Portable AC"/>
    <tableColumn id="13" xr3:uid="{00000000-0010-0000-0800-00000D000000}" name="Justification"/>
    <tableColumn id="14" xr3:uid="{00000000-0010-0000-0800-00000E000000}" name="Source"/>
  </tableColumns>
  <tableStyleInfo name="Cooling technologies-style 8"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T34:Z42">
  <tableColumns count="7">
    <tableColumn id="1" xr3:uid="{00000000-0010-0000-0900-000001000000}" name="building_type"/>
    <tableColumn id="2" xr3:uid="{00000000-0010-0000-0900-000002000000}" name="ASHP"/>
    <tableColumn id="3" xr3:uid="{00000000-0010-0000-0900-000003000000}" name="GSHP"/>
    <tableColumn id="4" xr3:uid="{00000000-0010-0000-0900-000004000000}" name="WSHP"/>
    <tableColumn id="5" xr3:uid="{00000000-0010-0000-0900-000005000000}" name="chiller"/>
    <tableColumn id="6" xr3:uid="{00000000-0010-0000-0900-000006000000}" name="AC_split"/>
    <tableColumn id="7" xr3:uid="{00000000-0010-0000-0900-000007000000}" name="AC_mobile"/>
  </tableColumns>
  <tableStyleInfo name="Cooling technologies-style 9"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C34:AF42">
  <tableColumns count="4">
    <tableColumn id="1" xr3:uid="{00000000-0010-0000-0A00-000001000000}" name="Building type"/>
    <tableColumn id="2" xr3:uid="{00000000-0010-0000-0A00-000002000000}" name="Weighted average lifetime of cooling technology (yr)">
      <calculatedColumnFormula array="1">SUMPRODUCT($G35:$L35/F35, TRANSPOSE(E$5:E$10))</calculatedColumnFormula>
    </tableColumn>
    <tableColumn id="3" xr3:uid="{00000000-0010-0000-0A00-000003000000}" name="Total MPR of cooling technologies (%)"/>
    <tableColumn id="4" xr3:uid="{00000000-0010-0000-0A00-000004000000}" name="Floor space in SQ (ha)"/>
  </tableColumns>
  <tableStyleInfo name="Cooling technologies-style 10"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45:J53">
  <tableColumns count="10">
    <tableColumn id="1" xr3:uid="{00000000-0010-0000-0B00-000001000000}" name="Building type"/>
    <tableColumn id="2" xr3:uid="{00000000-0010-0000-0B00-000002000000}" name="Total market penetration degree"/>
    <tableColumn id="3" xr3:uid="{00000000-0010-0000-0B00-000003000000}" name="ASHP"/>
    <tableColumn id="4" xr3:uid="{00000000-0010-0000-0B00-000004000000}" name="GSHP"/>
    <tableColumn id="5" xr3:uid="{00000000-0010-0000-0B00-000005000000}" name="WSHP"/>
    <tableColumn id="6" xr3:uid="{00000000-0010-0000-0B00-000006000000}" name="Chiller"/>
    <tableColumn id="7" xr3:uid="{00000000-0010-0000-0B00-000007000000}" name="Split AC"/>
    <tableColumn id="8" xr3:uid="{00000000-0010-0000-0B00-000008000000}" name="Mobile AC"/>
    <tableColumn id="9" xr3:uid="{00000000-0010-0000-0B00-000009000000}" name="No active cooling equipment"/>
    <tableColumn id="10" xr3:uid="{00000000-0010-0000-0B00-00000A000000}" name="Additional assumption"/>
  </tableColumns>
  <tableStyleInfo name="Cooling technologies-style 11"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T45:Z53">
  <tableColumns count="7">
    <tableColumn id="1" xr3:uid="{00000000-0010-0000-0C00-000001000000}" name="building_type"/>
    <tableColumn id="2" xr3:uid="{00000000-0010-0000-0C00-000002000000}" name="ASHP"/>
    <tableColumn id="3" xr3:uid="{00000000-0010-0000-0C00-000003000000}" name="GSHP"/>
    <tableColumn id="4" xr3:uid="{00000000-0010-0000-0C00-000004000000}" name="WSHP"/>
    <tableColumn id="5" xr3:uid="{00000000-0010-0000-0C00-000005000000}" name="chiller"/>
    <tableColumn id="6" xr3:uid="{00000000-0010-0000-0C00-000006000000}" name="AC_split"/>
    <tableColumn id="7" xr3:uid="{00000000-0010-0000-0C00-000007000000}" name="AC_mobile"/>
  </tableColumns>
  <tableStyleInfo name="Cooling technologies-style 12"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56:I64">
  <tableColumns count="9">
    <tableColumn id="1" xr3:uid="{00000000-0010-0000-0D00-000001000000}" name="Building type"/>
    <tableColumn id="2" xr3:uid="{00000000-0010-0000-0D00-000002000000}" name="Total market penetration degree"/>
    <tableColumn id="3" xr3:uid="{00000000-0010-0000-0D00-000003000000}" name="ASHP"/>
    <tableColumn id="4" xr3:uid="{00000000-0010-0000-0D00-000004000000}" name="GSHP"/>
    <tableColumn id="5" xr3:uid="{00000000-0010-0000-0D00-000005000000}" name="WSHP"/>
    <tableColumn id="6" xr3:uid="{00000000-0010-0000-0D00-000006000000}" name="Chiller"/>
    <tableColumn id="7" xr3:uid="{00000000-0010-0000-0D00-000007000000}" name="Split AC"/>
    <tableColumn id="8" xr3:uid="{00000000-0010-0000-0D00-000008000000}" name="Mobile AC"/>
    <tableColumn id="9" xr3:uid="{00000000-0010-0000-0D00-000009000000}" name="No active cooling equipment"/>
  </tableColumns>
  <tableStyleInfo name="Cooling technologies-style 13"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T56:Z64">
  <tableColumns count="7">
    <tableColumn id="1" xr3:uid="{00000000-0010-0000-0E00-000001000000}" name="building_type"/>
    <tableColumn id="2" xr3:uid="{00000000-0010-0000-0E00-000002000000}" name="ASHP"/>
    <tableColumn id="3" xr3:uid="{00000000-0010-0000-0E00-000003000000}" name="GSHP"/>
    <tableColumn id="4" xr3:uid="{00000000-0010-0000-0E00-000004000000}" name="WSHP"/>
    <tableColumn id="5" xr3:uid="{00000000-0010-0000-0E00-000005000000}" name="chiller"/>
    <tableColumn id="6" xr3:uid="{00000000-0010-0000-0E00-000006000000}" name="AC_split"/>
    <tableColumn id="7" xr3:uid="{00000000-0010-0000-0E00-000007000000}" name="AC_mobile"/>
  </tableColumns>
  <tableStyleInfo name="Cooling technologies-style 14"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A67:I75">
  <tableColumns count="9">
    <tableColumn id="1" xr3:uid="{00000000-0010-0000-0F00-000001000000}" name="Building type"/>
    <tableColumn id="2" xr3:uid="{00000000-0010-0000-0F00-000002000000}" name="Total market penetration degree"/>
    <tableColumn id="3" xr3:uid="{00000000-0010-0000-0F00-000003000000}" name="ASHP"/>
    <tableColumn id="4" xr3:uid="{00000000-0010-0000-0F00-000004000000}" name="GSHP"/>
    <tableColumn id="5" xr3:uid="{00000000-0010-0000-0F00-000005000000}" name="WSHP"/>
    <tableColumn id="6" xr3:uid="{00000000-0010-0000-0F00-000006000000}" name="Chiller"/>
    <tableColumn id="7" xr3:uid="{00000000-0010-0000-0F00-000007000000}" name="Split AC"/>
    <tableColumn id="8" xr3:uid="{00000000-0010-0000-0F00-000008000000}" name="Mobile AC"/>
    <tableColumn id="9" xr3:uid="{00000000-0010-0000-0F00-000009000000}" name="No active cooling equipment"/>
  </tableColumns>
  <tableStyleInfo name="Cooling technologies-style 15"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T67:Z75">
  <tableColumns count="7">
    <tableColumn id="1" xr3:uid="{00000000-0010-0000-1000-000001000000}" name="building_type"/>
    <tableColumn id="2" xr3:uid="{00000000-0010-0000-1000-000002000000}" name="ASHP"/>
    <tableColumn id="3" xr3:uid="{00000000-0010-0000-1000-000003000000}" name="GSHP"/>
    <tableColumn id="4" xr3:uid="{00000000-0010-0000-1000-000004000000}" name="WSHP"/>
    <tableColumn id="5" xr3:uid="{00000000-0010-0000-1000-000005000000}" name="chiller"/>
    <tableColumn id="6" xr3:uid="{00000000-0010-0000-1000-000006000000}" name="AC_split"/>
    <tableColumn id="7" xr3:uid="{00000000-0010-0000-1000-000007000000}" name="AC_mobile"/>
  </tableColumns>
  <tableStyleInfo name="Cooling technologies-style 16"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A78:I86">
  <tableColumns count="9">
    <tableColumn id="1" xr3:uid="{00000000-0010-0000-1100-000001000000}" name="Building type"/>
    <tableColumn id="2" xr3:uid="{00000000-0010-0000-1100-000002000000}" name="Total market penetration degree"/>
    <tableColumn id="3" xr3:uid="{00000000-0010-0000-1100-000003000000}" name="ASHP"/>
    <tableColumn id="4" xr3:uid="{00000000-0010-0000-1100-000004000000}" name="GSHP"/>
    <tableColumn id="5" xr3:uid="{00000000-0010-0000-1100-000005000000}" name="WSHP"/>
    <tableColumn id="6" xr3:uid="{00000000-0010-0000-1100-000006000000}" name="Chiller"/>
    <tableColumn id="7" xr3:uid="{00000000-0010-0000-1100-000007000000}" name="Split AC"/>
    <tableColumn id="8" xr3:uid="{00000000-0010-0000-1100-000008000000}" name="Mobile AC"/>
    <tableColumn id="9" xr3:uid="{00000000-0010-0000-1100-000009000000}" name="No active cooling equipment"/>
  </tableColumns>
  <tableStyleInfo name="Cooling technologies-style 17"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T78:Z86">
  <tableColumns count="7">
    <tableColumn id="1" xr3:uid="{00000000-0010-0000-1200-000001000000}" name="building_type"/>
    <tableColumn id="2" xr3:uid="{00000000-0010-0000-1200-000002000000}" name="ASHP"/>
    <tableColumn id="3" xr3:uid="{00000000-0010-0000-1200-000003000000}" name="GSHP"/>
    <tableColumn id="4" xr3:uid="{00000000-0010-0000-1200-000004000000}" name="WSHP"/>
    <tableColumn id="5" xr3:uid="{00000000-0010-0000-1200-000005000000}" name="chiller"/>
    <tableColumn id="6" xr3:uid="{00000000-0010-0000-1200-000006000000}" name="AC_split"/>
    <tableColumn id="7" xr3:uid="{00000000-0010-0000-1200-000007000000}" name="AC_mobile"/>
  </tableColumns>
  <tableStyleInfo name="Cooling technologies-style 18"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A92:H100">
  <tableColumns count="8">
    <tableColumn id="1" xr3:uid="{00000000-0010-0000-1300-000001000000}" name="Building type"/>
    <tableColumn id="2" xr3:uid="{00000000-0010-0000-1300-000002000000}" name="ASHP"/>
    <tableColumn id="3" xr3:uid="{00000000-0010-0000-1300-000003000000}" name="GSHP"/>
    <tableColumn id="4" xr3:uid="{00000000-0010-0000-1300-000004000000}" name="WSHP"/>
    <tableColumn id="5" xr3:uid="{00000000-0010-0000-1300-000005000000}" name="Chiller"/>
    <tableColumn id="6" xr3:uid="{00000000-0010-0000-1300-000006000000}" name="Split AC"/>
    <tableColumn id="7" xr3:uid="{00000000-0010-0000-1300-000007000000}" name="Mobile AC"/>
    <tableColumn id="8" xr3:uid="{00000000-0010-0000-1300-000008000000}" name="No active cooling equipment"/>
  </tableColumns>
  <tableStyleInfo name="Cooling technologies-style 19"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J92:K96">
  <tableColumns count="2">
    <tableColumn id="1" xr3:uid="{00000000-0010-0000-1400-000001000000}" name="Household income"/>
    <tableColumn id="2" xr3:uid="{00000000-0010-0000-1400-000002000000}" name="Cooling equipment penetration rate"/>
  </tableColumns>
  <tableStyleInfo name="Cooling technologies-style 20"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A106:D109">
  <tableColumns count="4">
    <tableColumn id="1" xr3:uid="{00000000-0010-0000-1500-000001000000}" name="Building type"/>
    <tableColumn id="2" xr3:uid="{00000000-0010-0000-1500-000002000000}" name="Building stock 2019"/>
    <tableColumn id="3" xr3:uid="{00000000-0010-0000-1500-000003000000}" name="Amount of installed heat pumps"/>
    <tableColumn id="4" xr3:uid="{00000000-0010-0000-1500-000004000000}" name="Penetration rate of heat pumps"/>
  </tableColumns>
  <tableStyleInfo name="Cooling technologies-style 21"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G106:I115">
  <tableColumns count="3">
    <tableColumn id="1" xr3:uid="{00000000-0010-0000-1600-000001000000}" name="Building type"/>
    <tableColumn id="2" xr3:uid="{00000000-0010-0000-1600-000002000000}" name="Heat pumps"/>
    <tableColumn id="3" xr3:uid="{00000000-0010-0000-1600-000003000000}" name="Other cooling equipment"/>
  </tableColumns>
  <tableStyleInfo name="Cooling technologies-style 22"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K106:N114">
  <tableColumns count="4">
    <tableColumn id="1" xr3:uid="{00000000-0010-0000-1700-000001000000}" name="Building type"/>
    <tableColumn id="2" xr3:uid="{00000000-0010-0000-1700-000002000000}" name="ASHP"/>
    <tableColumn id="3" xr3:uid="{00000000-0010-0000-1700-000003000000}" name="GSHP"/>
    <tableColumn id="4" xr3:uid="{00000000-0010-0000-1700-000004000000}" name="WSHP"/>
  </tableColumns>
  <tableStyleInfo name="Cooling technologies-style 23"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P106:S114">
  <tableColumns count="4">
    <tableColumn id="1" xr3:uid="{00000000-0010-0000-1800-000001000000}" name="Building type"/>
    <tableColumn id="2" xr3:uid="{00000000-0010-0000-1800-000002000000}" name="Chiller"/>
    <tableColumn id="3" xr3:uid="{00000000-0010-0000-1800-000003000000}" name="Large split AC"/>
    <tableColumn id="4" xr3:uid="{00000000-0010-0000-1800-000004000000}" name="Mobile AC"/>
  </tableColumns>
  <tableStyleInfo name="Cooling technologies-style 24"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A112:E118">
  <tableColumns count="5">
    <tableColumn id="1" xr3:uid="{00000000-0010-0000-1900-000001000000}" name="Building type"/>
    <tableColumn id="2" xr3:uid="{00000000-0010-0000-1900-000002000000}" name="Cooling equipment type"/>
    <tableColumn id="3" xr3:uid="{00000000-0010-0000-1900-000003000000}" name="Amount of installed heat pumps"/>
    <tableColumn id="4" xr3:uid="{00000000-0010-0000-1900-000004000000}" name="Installed capacity (MW)"/>
    <tableColumn id="5" xr3:uid="{00000000-0010-0000-1900-000005000000}" name="Ratio to GSHP"/>
  </tableColumns>
  <tableStyleInfo name="Cooling technologies-style 25"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A126:E131">
  <tableColumns count="5">
    <tableColumn id="1" xr3:uid="{00000000-0010-0000-1A00-000001000000}" name="Scenario"/>
    <tableColumn id="2" xr3:uid="{00000000-0010-0000-1A00-000002000000}" name="MPR - based on (IEA 2018)"/>
    <tableColumn id="3" xr3:uid="{00000000-0010-0000-1A00-000003000000}" name="MPR - based on (Rovers et al. 2021)"/>
    <tableColumn id="4" xr3:uid="{00000000-0010-0000-1A00-000004000000}" name="MPR growth - based on (IEA 2018)"/>
    <tableColumn id="5" xr3:uid="{00000000-0010-0000-1A00-000005000000}" name="MPR growth - based on (Rovers et al. 2021)"/>
  </tableColumns>
  <tableStyleInfo name="Cooling technologies-style 26"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H126:J130">
  <tableColumns count="3">
    <tableColumn id="1" xr3:uid="{00000000-0010-0000-1B00-000001000000}" name="Scenario"/>
    <tableColumn id="2" xr3:uid="{00000000-0010-0000-1B00-000002000000}" name="Heat pumps"/>
    <tableColumn id="3" xr3:uid="{00000000-0010-0000-1B00-000003000000}" name="Cooling-only equipment"/>
  </tableColumns>
  <tableStyleInfo name="Cooling technologies-style 27"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A134:C139">
  <tableColumns count="3">
    <tableColumn id="1" xr3:uid="{00000000-0010-0000-1C00-000001000000}" name="Scenario"/>
    <tableColumn id="2" xr3:uid="{00000000-0010-0000-1C00-000002000000}" name="MPR - based on (IEA 2018)"/>
    <tableColumn id="3" xr3:uid="{00000000-0010-0000-1C00-000003000000}" name="MPR - based on (Rovers et al. 2021)  - assumed the same MPR growth rates as for residential buildings"/>
  </tableColumns>
  <tableStyleInfo name="Cooling technologies-style 28"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H135:J139">
  <tableColumns count="3">
    <tableColumn id="1" xr3:uid="{00000000-0010-0000-1D00-000001000000}" name="Scenario"/>
    <tableColumn id="2" xr3:uid="{00000000-0010-0000-1D00-000002000000}" name="Heat pumps"/>
    <tableColumn id="3" xr3:uid="{00000000-0010-0000-1D00-000003000000}" name="Cooling-only equipment"/>
  </tableColumns>
  <tableStyleInfo name="Cooling technologies-style 29"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A144:C150">
  <tableColumns count="3">
    <tableColumn id="1" xr3:uid="{00000000-0010-0000-1E00-000001000000}" name="Cooling equipment type"/>
    <tableColumn id="2" xr3:uid="{00000000-0010-0000-1E00-000002000000}" name="SEER 2020"/>
    <tableColumn id="3" xr3:uid="{00000000-0010-0000-1E00-000003000000}" name="Assumptions in translation from source data"/>
  </tableColumns>
  <tableStyleInfo name="Cooling technologies-style 30"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E144:E150">
  <tableColumns count="1">
    <tableColumn id="1" xr3:uid="{00000000-0010-0000-1F00-000001000000}" name="Cooling equipment type"/>
  </tableColumns>
  <tableStyleInfo name="Cooling technologies-style 31"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F144:J150">
  <tableColumns count="5">
    <tableColumn id="1" xr3:uid="{00000000-0010-0000-2000-000001000000}" name="SEER 2020"/>
    <tableColumn id="2" xr3:uid="{00000000-0010-0000-2000-000002000000}" name="SEER 2030"/>
    <tableColumn id="3" xr3:uid="{00000000-0010-0000-2000-000003000000}" name="SEER 2050 - L"/>
    <tableColumn id="4" xr3:uid="{00000000-0010-0000-2000-000004000000}" name="SEER 2050 - M"/>
    <tableColumn id="5" xr3:uid="{00000000-0010-0000-2000-000005000000}" name="SEER 2050 - H"/>
  </tableColumns>
  <tableStyleInfo name="Cooling technologies-style 32"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A154:X163" headerRowCount="0">
  <tableColumns count="24">
    <tableColumn id="1" xr3:uid="{00000000-0010-0000-2100-000001000000}" name="Column1"/>
    <tableColumn id="2" xr3:uid="{00000000-0010-0000-2100-000002000000}" name="Column2"/>
    <tableColumn id="3" xr3:uid="{00000000-0010-0000-2100-000003000000}" name="Column3"/>
    <tableColumn id="4" xr3:uid="{00000000-0010-0000-2100-000004000000}" name="Column4"/>
    <tableColumn id="5" xr3:uid="{00000000-0010-0000-2100-000005000000}" name="Column5"/>
    <tableColumn id="6" xr3:uid="{00000000-0010-0000-2100-000006000000}" name="Column6"/>
    <tableColumn id="7" xr3:uid="{00000000-0010-0000-2100-000007000000}" name="Column7"/>
    <tableColumn id="8" xr3:uid="{00000000-0010-0000-2100-000008000000}" name="Column8"/>
    <tableColumn id="9" xr3:uid="{00000000-0010-0000-2100-000009000000}" name="Column9"/>
    <tableColumn id="10" xr3:uid="{00000000-0010-0000-2100-00000A000000}" name="Column10"/>
    <tableColumn id="11" xr3:uid="{00000000-0010-0000-2100-00000B000000}" name="Column11"/>
    <tableColumn id="12" xr3:uid="{00000000-0010-0000-2100-00000C000000}" name="Column12"/>
    <tableColumn id="13" xr3:uid="{00000000-0010-0000-2100-00000D000000}" name="Column13"/>
    <tableColumn id="14" xr3:uid="{00000000-0010-0000-2100-00000E000000}" name="Column14"/>
    <tableColumn id="15" xr3:uid="{00000000-0010-0000-2100-00000F000000}" name="Column15"/>
    <tableColumn id="16" xr3:uid="{00000000-0010-0000-2100-000010000000}" name="Column16"/>
    <tableColumn id="17" xr3:uid="{00000000-0010-0000-2100-000011000000}" name="Column17"/>
    <tableColumn id="18" xr3:uid="{00000000-0010-0000-2100-000012000000}" name="Column18"/>
    <tableColumn id="19" xr3:uid="{00000000-0010-0000-2100-000013000000}" name="Column19"/>
    <tableColumn id="20" xr3:uid="{00000000-0010-0000-2100-000014000000}" name="Column20"/>
    <tableColumn id="21" xr3:uid="{00000000-0010-0000-2100-000015000000}" name="Column21"/>
    <tableColumn id="22" xr3:uid="{00000000-0010-0000-2100-000016000000}" name="Column22"/>
    <tableColumn id="23" xr3:uid="{00000000-0010-0000-2100-000017000000}" name="Column23"/>
    <tableColumn id="24" xr3:uid="{00000000-0010-0000-2100-000018000000}" name="Column24"/>
  </tableColumns>
  <tableStyleInfo name="Cooling technologies-style 33" showFirstColumn="1" showLastColumn="1" showRowStripes="1" showColumnStripes="0"/>
  <extLst>
    <ext uri="GoogleSheetsCustomDataVersion1">
      <go:sheetsCustomData xmlns:go="http://customooxmlschemas.google.com/" headerRowCount="1"/>
    </ext>
  </extLst>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A167:K173">
  <tableColumns count="11">
    <tableColumn id="1" xr3:uid="{00000000-0010-0000-2200-000001000000}" name="Cooling equipment type"/>
    <tableColumn id="2" xr3:uid="{00000000-0010-0000-2200-000002000000}" name="SEER 2020"/>
    <tableColumn id="3" xr3:uid="{00000000-0010-0000-2200-000003000000}" name="SEER 2030"/>
    <tableColumn id="4" xr3:uid="{00000000-0010-0000-2200-000004000000}" name="SEER 2050 - L"/>
    <tableColumn id="5" xr3:uid="{00000000-0010-0000-2200-000005000000}" name="SEER 2050 - M"/>
    <tableColumn id="6" xr3:uid="{00000000-0010-0000-2200-000006000000}" name="SEER 2050 - H"/>
    <tableColumn id="7" xr3:uid="{00000000-0010-0000-2200-000007000000}" name="Assumptions in translation from source data"/>
    <tableColumn id="8" xr3:uid="{00000000-0010-0000-2200-000008000000}" name="Capacity growth EU28 - residential - 2030"/>
    <tableColumn id="9" xr3:uid="{00000000-0010-0000-2200-000009000000}" name="Capacity growth EU28 - residential - 2050"/>
    <tableColumn id="10" xr3:uid="{00000000-0010-0000-2200-00000A000000}" name="Capacity growth EU28 - office - 2030"/>
    <tableColumn id="11" xr3:uid="{00000000-0010-0000-2200-00000B000000}" name="Capacity growth EU28 - office - 2050"/>
  </tableColumns>
  <tableStyleInfo name="Cooling technologies-style 34"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A186:F189">
  <tableColumns count="6">
    <tableColumn id="1" xr3:uid="{00000000-0010-0000-2300-000001000000}" name="Annual leakage rate"/>
    <tableColumn id="2" xr3:uid="{00000000-0010-0000-2300-000002000000}" name="Average lifetime (yr)"/>
    <tableColumn id="3" xr3:uid="{00000000-0010-0000-2300-000003000000}" name="Annual leakage rate during operation"/>
    <tableColumn id="4" xr3:uid="{00000000-0010-0000-2300-000004000000}" name="Leakage rate during assembly"/>
    <tableColumn id="5" xr3:uid="{00000000-0010-0000-2300-000005000000}" name="Leakage rate during end-of-life-treatment"/>
    <tableColumn id="6" xr3:uid="{00000000-0010-0000-2300-000006000000}" name="Effective annual leakage rate"/>
  </tableColumns>
  <tableStyleInfo name="Cooling technologies-style 35"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A193:F198" headerRowCount="0">
  <tableColumns count="6">
    <tableColumn id="1" xr3:uid="{00000000-0010-0000-2400-000001000000}" name="Column1"/>
    <tableColumn id="2" xr3:uid="{00000000-0010-0000-2400-000002000000}" name="Column2"/>
    <tableColumn id="3" xr3:uid="{00000000-0010-0000-2400-000003000000}" name="Column3"/>
    <tableColumn id="4" xr3:uid="{00000000-0010-0000-2400-000004000000}" name="Column4"/>
    <tableColumn id="5" xr3:uid="{00000000-0010-0000-2400-000005000000}" name="Column5"/>
    <tableColumn id="6" xr3:uid="{00000000-0010-0000-2400-000006000000}" name="Column6"/>
  </tableColumns>
  <tableStyleInfo name="Cooling technologies-style 36"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D202:F206" headerRowCount="0">
  <tableColumns count="3">
    <tableColumn id="1" xr3:uid="{00000000-0010-0000-2500-000001000000}" name="Column1"/>
    <tableColumn id="2" xr3:uid="{00000000-0010-0000-2500-000002000000}" name="Column2"/>
    <tableColumn id="3" xr3:uid="{00000000-0010-0000-2500-000003000000}" name="Column3"/>
  </tableColumns>
  <tableStyleInfo name="Cooling technologies-style 37"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A203:B208" headerRowCount="0">
  <tableColumns count="2">
    <tableColumn id="1" xr3:uid="{00000000-0010-0000-2600-000001000000}" name="Column1"/>
    <tableColumn id="2" xr3:uid="{00000000-0010-0000-2600-000002000000}" name="Column2"/>
  </tableColumns>
  <tableStyleInfo name="Cooling technologies-style 38"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A3:S8">
  <tableColumns count="19">
    <tableColumn id="1" xr3:uid="{00000000-0010-0000-2700-000001000000}" name="Number"/>
    <tableColumn id="2" xr3:uid="{00000000-0010-0000-2700-000002000000}" name="Short name"/>
    <tableColumn id="3" xr3:uid="{00000000-0010-0000-2700-000003000000}" name="Ecoinvent name"/>
    <tableColumn id="4" xr3:uid="{00000000-0010-0000-2700-000004000000}" name="UUID"/>
    <tableColumn id="5" xr3:uid="{00000000-0010-0000-2700-000005000000}" name="Process description"/>
    <tableColumn id="6" xr3:uid="{00000000-0010-0000-2700-000006000000}" name="Geography description"/>
    <tableColumn id="7" xr3:uid="{00000000-0010-0000-2700-000007000000}" name="Time description"/>
    <tableColumn id="8" xr3:uid="{00000000-0010-0000-2700-000008000000}" name="Technology description"/>
    <tableColumn id="9" xr3:uid="{00000000-0010-0000-2700-000009000000}" name="Mass per unit (kg)"/>
    <tableColumn id="10" xr3:uid="{00000000-0010-0000-2700-00000A000000}" name="Production impact (kg CO2eq/unit) "/>
    <tableColumn id="11" xr3:uid="{00000000-0010-0000-2700-00000B000000}" name="Production carbon intensity (kg CO2eq/kg)"/>
    <tableColumn id="12" xr3:uid="{00000000-0010-0000-2700-00000C000000}" name="EoL impact (kg CO2eq/unit) "/>
    <tableColumn id="13" xr3:uid="{00000000-0010-0000-2700-00000D000000}" name="EoL carbon intensity (kg CO2eq/kg)"/>
    <tableColumn id="14" xr3:uid="{00000000-0010-0000-2700-00000E000000}" name="Total impact (kg CO2eq/unit) "/>
    <tableColumn id="15" xr3:uid="{00000000-0010-0000-2700-00000F000000}" name="Total carbon intensity (kg CO2eq/kg)"/>
    <tableColumn id="16" xr3:uid="{00000000-0010-0000-2700-000010000000}" name="Impact (kg Sb-eq/unit)"/>
    <tableColumn id="17" xr3:uid="{00000000-0010-0000-2700-000011000000}" name="Impact intensity (kg Sb-eq/kg)"/>
    <tableColumn id="18" xr3:uid="{00000000-0010-0000-2700-000012000000}" name="Impact (kg Si-eq/unit)"/>
    <tableColumn id="19" xr3:uid="{00000000-0010-0000-2700-000013000000}" name="Impact intensity (kg Si-eq/kg)"/>
  </tableColumns>
  <tableStyleInfo name="LCA results of ventilation syst-style"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U3:V7">
  <tableColumns count="2">
    <tableColumn id="1" xr3:uid="{00000000-0010-0000-2800-000001000000}" name="No."/>
    <tableColumn id="2" xr3:uid="{00000000-0010-0000-2800-000002000000}" name="Ecoinvent process"/>
  </tableColumns>
  <tableStyleInfo name="LCA results of ventilation syst-style 2"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Y3:AE9">
  <tableColumns count="7">
    <tableColumn id="1" xr3:uid="{00000000-0010-0000-2900-000001000000}" name="Product"/>
    <tableColumn id="2" xr3:uid="{00000000-0010-0000-2900-000002000000}" name="Product mass (kg)"/>
    <tableColumn id="3" xr3:uid="{00000000-0010-0000-2900-000003000000}" name="Production-phase carbon intensity (kg CO2eq/kg)"/>
    <tableColumn id="4" xr3:uid="{00000000-0010-0000-2900-000004000000}" name="EoL-phase carbon intensity (kg CO2eq/kg)"/>
    <tableColumn id="5" xr3:uid="{00000000-0010-0000-2900-000005000000}" name="Total carbon intensity (kg CO2eq/kg)"/>
    <tableColumn id="6" xr3:uid="{00000000-0010-0000-2900-000006000000}" name="ADP intensity (kg Sb-eq/kg)"/>
    <tableColumn id="7" xr3:uid="{00000000-0010-0000-2900-000007000000}" name="Crustal scarcity intensity (kg Si-eq/kg)"/>
  </tableColumns>
  <tableStyleInfo name="LCA results of ventilation syst-style 3"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A11:D14">
  <tableColumns count="4">
    <tableColumn id="1" xr3:uid="{00000000-0010-0000-2A00-000001000000}" name="Impact category"/>
    <tableColumn id="2" xr3:uid="{00000000-0010-0000-2A00-000002000000}" name="Impact method"/>
    <tableColumn id="3" xr3:uid="{00000000-0010-0000-2A00-000003000000}" name="Unit"/>
    <tableColumn id="4" xr3:uid="{00000000-0010-0000-2A00-000004000000}" name="Source"/>
  </tableColumns>
  <tableStyleInfo name="LCA results of ventilation syst-style 4"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A18:E38">
  <tableColumns count="5">
    <tableColumn id="1" xr3:uid="{00000000-0010-0000-2B00-000001000000}" name="Flow"/>
    <tableColumn id="2" xr3:uid="{00000000-0010-0000-2B00-000002000000}" name="Amount"/>
    <tableColumn id="3" xr3:uid="{00000000-0010-0000-2B00-000003000000}" name="Unit"/>
    <tableColumn id="4" xr3:uid="{00000000-0010-0000-2B00-000004000000}" name="Weight per unit (kg)"/>
    <tableColumn id="5" xr3:uid="{00000000-0010-0000-2B00-000005000000}" name="Total weight (kg)"/>
  </tableColumns>
  <tableStyleInfo name="LCA results of ventilation syst-style 5"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G18:K40">
  <tableColumns count="5">
    <tableColumn id="1" xr3:uid="{00000000-0010-0000-2C00-000001000000}" name="Flow"/>
    <tableColumn id="2" xr3:uid="{00000000-0010-0000-2C00-000002000000}" name="Amount"/>
    <tableColumn id="3" xr3:uid="{00000000-0010-0000-2C00-000003000000}" name="Unit"/>
    <tableColumn id="4" xr3:uid="{00000000-0010-0000-2C00-000004000000}" name="Weight per unit (kg)"/>
    <tableColumn id="5" xr3:uid="{00000000-0010-0000-2C00-000005000000}" name="Total weight (kg)"/>
  </tableColumns>
  <tableStyleInfo name="LCA results of ventilation syst-style 6"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M18:Q37">
  <tableColumns count="5">
    <tableColumn id="1" xr3:uid="{00000000-0010-0000-2D00-000001000000}" name="Flow"/>
    <tableColumn id="2" xr3:uid="{00000000-0010-0000-2D00-000002000000}" name="Amount"/>
    <tableColumn id="3" xr3:uid="{00000000-0010-0000-2D00-000003000000}" name="Unit"/>
    <tableColumn id="4" xr3:uid="{00000000-0010-0000-2D00-000004000000}" name="Weight per unit (kg)"/>
    <tableColumn id="5" xr3:uid="{00000000-0010-0000-2D00-000005000000}" name="Total weight (kg)"/>
  </tableColumns>
  <tableStyleInfo name="LCA results of ventilation syst-style 7"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S18:W39">
  <tableColumns count="5">
    <tableColumn id="1" xr3:uid="{00000000-0010-0000-2E00-000001000000}" name="Flow"/>
    <tableColumn id="2" xr3:uid="{00000000-0010-0000-2E00-000002000000}" name="Amount"/>
    <tableColumn id="3" xr3:uid="{00000000-0010-0000-2E00-000003000000}" name="Unit"/>
    <tableColumn id="4" xr3:uid="{00000000-0010-0000-2E00-000004000000}" name="Weight per unit (kg)"/>
    <tableColumn id="5" xr3:uid="{00000000-0010-0000-2E00-000005000000}" name="Total weight (kg)"/>
  </tableColumns>
  <tableStyleInfo name="LCA results of ventilation syst-style 8"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A46:E84">
  <tableColumns count="5">
    <tableColumn id="1" xr3:uid="{00000000-0010-0000-2F00-000001000000}" name="Process"/>
    <tableColumn id="2" xr3:uid="{00000000-0010-0000-2F00-000002000000}" name="Required amount"/>
    <tableColumn id="3" xr3:uid="{00000000-0010-0000-2F00-000003000000}" name="Unit"/>
    <tableColumn id="4" xr3:uid="{00000000-0010-0000-2F00-000004000000}" name="Total result [kg CO2-Eq]"/>
    <tableColumn id="5" xr3:uid="{00000000-0010-0000-2F00-000005000000}" name="Life-cycle phase"/>
  </tableColumns>
  <tableStyleInfo name="LCA results of ventilation syst-style 9"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G46:K86">
  <tableColumns count="5">
    <tableColumn id="1" xr3:uid="{00000000-0010-0000-3000-000001000000}" name="Process"/>
    <tableColumn id="2" xr3:uid="{00000000-0010-0000-3000-000002000000}" name="Required amount"/>
    <tableColumn id="3" xr3:uid="{00000000-0010-0000-3000-000003000000}" name="Unit"/>
    <tableColumn id="4" xr3:uid="{00000000-0010-0000-3000-000004000000}" name="Total result [kg CO2-Eq]"/>
    <tableColumn id="5" xr3:uid="{00000000-0010-0000-3000-000005000000}" name="Life-cycle phase"/>
  </tableColumns>
  <tableStyleInfo name="LCA results of ventilation syst-style 10"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M46:Q82">
  <tableColumns count="5">
    <tableColumn id="1" xr3:uid="{00000000-0010-0000-3100-000001000000}" name="Process"/>
    <tableColumn id="2" xr3:uid="{00000000-0010-0000-3100-000002000000}" name="Required amount"/>
    <tableColumn id="3" xr3:uid="{00000000-0010-0000-3100-000003000000}" name="Unit"/>
    <tableColumn id="4" xr3:uid="{00000000-0010-0000-3100-000004000000}" name="Total result [kg CO2-Eq]"/>
    <tableColumn id="5" xr3:uid="{00000000-0010-0000-3100-000005000000}" name="Life-cycle phase"/>
  </tableColumns>
  <tableStyleInfo name="LCA results of ventilation syst-style 11"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S46:W84">
  <tableColumns count="5">
    <tableColumn id="1" xr3:uid="{00000000-0010-0000-3200-000001000000}" name="Process"/>
    <tableColumn id="2" xr3:uid="{00000000-0010-0000-3200-000002000000}" name="Required amount"/>
    <tableColumn id="3" xr3:uid="{00000000-0010-0000-3200-000003000000}" name="Unit"/>
    <tableColumn id="4" xr3:uid="{00000000-0010-0000-3200-000004000000}" name="Total result [kg CO2-Eq]"/>
    <tableColumn id="5" xr3:uid="{00000000-0010-0000-3200-000005000000}" name="Life-cycle phase"/>
  </tableColumns>
  <tableStyleInfo name="LCA results of ventilation syst-style 1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A89:D92">
  <tableColumns count="4">
    <tableColumn id="1" xr3:uid="{00000000-0010-0000-3300-000001000000}" name="Life-cycle"/>
    <tableColumn id="2" xr3:uid="{00000000-0010-0000-3300-000002000000}" name="Climate change impact (kg CO2eq)"/>
    <tableColumn id="3" xr3:uid="{00000000-0010-0000-3300-000003000000}" name="Carbon intensity (kg CO2eq/kg)"/>
    <tableColumn id="4" xr3:uid="{00000000-0010-0000-3300-000004000000}" name="Share of impact"/>
  </tableColumns>
  <tableStyleInfo name="LCA results of ventilation syst-style 13" showFirstColumn="1" showLastColumn="1"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_53" displayName="Table_53" ref="G89:J92">
  <tableColumns count="4">
    <tableColumn id="1" xr3:uid="{00000000-0010-0000-3400-000001000000}" name="Life-cycle"/>
    <tableColumn id="2" xr3:uid="{00000000-0010-0000-3400-000002000000}" name="Climate change impact (kg CO2eq)"/>
    <tableColumn id="3" xr3:uid="{00000000-0010-0000-3400-000003000000}" name="Carbon intensity (kg CO2eq/kg)"/>
    <tableColumn id="4" xr3:uid="{00000000-0010-0000-3400-000004000000}" name="Share of impact"/>
  </tableColumns>
  <tableStyleInfo name="LCA results of ventilation syst-style 14" showFirstColumn="1" showLastColumn="1"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_54" displayName="Table_54" ref="M89:P92">
  <tableColumns count="4">
    <tableColumn id="1" xr3:uid="{00000000-0010-0000-3500-000001000000}" name="Life-cycle"/>
    <tableColumn id="2" xr3:uid="{00000000-0010-0000-3500-000002000000}" name="Climate change impact (kg CO2eq)"/>
    <tableColumn id="3" xr3:uid="{00000000-0010-0000-3500-000003000000}" name="Carbon intensity (kg CO2eq/kg)"/>
    <tableColumn id="4" xr3:uid="{00000000-0010-0000-3500-000004000000}" name="Share of impact"/>
  </tableColumns>
  <tableStyleInfo name="LCA results of ventilation syst-style 15" showFirstColumn="1" showLastColumn="1"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_55" displayName="Table_55" ref="S89:V92">
  <tableColumns count="4">
    <tableColumn id="1" xr3:uid="{00000000-0010-0000-3600-000001000000}" name="Life-cycle"/>
    <tableColumn id="2" xr3:uid="{00000000-0010-0000-3600-000002000000}" name="Climate change impact (kg CO2eq)"/>
    <tableColumn id="3" xr3:uid="{00000000-0010-0000-3600-000003000000}" name="Carbon intensity (kg CO2eq/kg)"/>
    <tableColumn id="4" xr3:uid="{00000000-0010-0000-3600-000004000000}" name="Share of impact"/>
  </tableColumns>
  <tableStyleInfo name="LCA results of ventilation syst-style 16" showFirstColumn="1" showLastColumn="1"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_56" displayName="Table_56" ref="A2:H6">
  <tableColumns count="8">
    <tableColumn id="1" xr3:uid="{00000000-0010-0000-3700-000001000000}" name="Number"/>
    <tableColumn id="2" xr3:uid="{00000000-0010-0000-3700-000002000000}" name="Short name"/>
    <tableColumn id="3" xr3:uid="{00000000-0010-0000-3700-000003000000}" name="Ecoinvent name"/>
    <tableColumn id="4" xr3:uid="{00000000-0010-0000-3700-000004000000}" name="UUID"/>
    <tableColumn id="5" xr3:uid="{00000000-0010-0000-3700-000005000000}" name="Process description"/>
    <tableColumn id="6" xr3:uid="{00000000-0010-0000-3700-000006000000}" name="Geography description"/>
    <tableColumn id="7" xr3:uid="{00000000-0010-0000-3700-000007000000}" name="Time description"/>
    <tableColumn id="8" xr3:uid="{00000000-0010-0000-3700-000008000000}" name="Technology description"/>
  </tableColumns>
  <tableStyleInfo name="Material scarcity-style" showFirstColumn="1" showLastColumn="1"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_57" displayName="Table_57" ref="A10:I96">
  <tableColumns count="9">
    <tableColumn id="1" xr3:uid="{00000000-0010-0000-3800-000001000000}" name="Flow name - short"/>
    <tableColumn id="2" xr3:uid="{00000000-0010-0000-3800-000002000000}" name="Inventory result (kg)"/>
    <tableColumn id="3" xr3:uid="{00000000-0010-0000-3800-000003000000}" name="Impact assessment result (kg Si eq)"/>
    <tableColumn id="4" xr3:uid="{00000000-0010-0000-3800-000004000000}" name="Share of inventory"/>
    <tableColumn id="5" xr3:uid="{00000000-0010-0000-3800-000005000000}" name="Share of impact"/>
    <tableColumn id="6" xr3:uid="{00000000-0010-0000-3800-000006000000}" name="Share of inventory (excluding mining tailings)"/>
    <tableColumn id="7" xr3:uid="{00000000-0010-0000-3800-000007000000}" name="Share of scarcity impact (excluding mining tailings)"/>
    <tableColumn id="8" xr3:uid="{00000000-0010-0000-3800-000008000000}" name="Material group - inventory"/>
    <tableColumn id="9" xr3:uid="{00000000-0010-0000-3800-000009000000}" name="Material group - impact"/>
  </tableColumns>
  <tableStyleInfo name="Material scarcity-style 2" showFirstColumn="1" showLastColumn="1"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_58" displayName="Table_58" ref="L10:M96">
  <tableColumns count="2">
    <tableColumn id="1" xr3:uid="{00000000-0010-0000-3900-000001000000}" name="Flow name"/>
    <tableColumn id="2" xr3:uid="{00000000-0010-0000-3900-000002000000}" name="Characterization factor (kg Si eq/kg)"/>
  </tableColumns>
  <tableStyleInfo name="Material scarcity-style 3" showFirstColumn="1" showLastColumn="1"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_59" displayName="Table_59" ref="N10:Q96">
  <tableColumns count="4">
    <tableColumn id="1" xr3:uid="{00000000-0010-0000-3A00-000001000000}" name="Inventory result (kg)"/>
    <tableColumn id="2" xr3:uid="{00000000-0010-0000-3A00-000002000000}" name="Impact assessment result (kg Si eq)"/>
    <tableColumn id="3" xr3:uid="{00000000-0010-0000-3A00-000003000000}" name="Share of inventory"/>
    <tableColumn id="4" xr3:uid="{00000000-0010-0000-3A00-000004000000}" name="Share of impact"/>
  </tableColumns>
  <tableStyleInfo name="Material scarcity-style 4" showFirstColumn="1" showLastColumn="1"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_60" displayName="Table_60" ref="R10:U96">
  <tableColumns count="4">
    <tableColumn id="1" xr3:uid="{00000000-0010-0000-3B00-000001000000}" name="Inventory result (kg)"/>
    <tableColumn id="2" xr3:uid="{00000000-0010-0000-3B00-000002000000}" name="Impact assessment result (kg Si eq)"/>
    <tableColumn id="3" xr3:uid="{00000000-0010-0000-3B00-000003000000}" name="Share of inventory"/>
    <tableColumn id="4" xr3:uid="{00000000-0010-0000-3B00-000004000000}" name="Share of impact"/>
  </tableColumns>
  <tableStyleInfo name="Material scarcity-style 5" showFirstColumn="1" showLastColumn="1"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able_61" displayName="Table_61" ref="V10:Y96">
  <tableColumns count="4">
    <tableColumn id="1" xr3:uid="{00000000-0010-0000-3C00-000001000000}" name="Inventory result (kg)"/>
    <tableColumn id="2" xr3:uid="{00000000-0010-0000-3C00-000002000000}" name="Impact assessment result (kg Si eq)"/>
    <tableColumn id="3" xr3:uid="{00000000-0010-0000-3C00-000003000000}" name="Share of inventory"/>
    <tableColumn id="4" xr3:uid="{00000000-0010-0000-3C00-000004000000}" name="Share of impact"/>
  </tableColumns>
  <tableStyleInfo name="Material scarcity-style 6" showFirstColumn="1" showLastColumn="1"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able_62" displayName="Table_62" ref="Z10:AC96">
  <tableColumns count="4">
    <tableColumn id="1" xr3:uid="{00000000-0010-0000-3D00-000001000000}" name="Inventory result (kg)"/>
    <tableColumn id="2" xr3:uid="{00000000-0010-0000-3D00-000002000000}" name="Impact assessment result (kg Si eq)"/>
    <tableColumn id="3" xr3:uid="{00000000-0010-0000-3D00-000003000000}" name="Share of inventory"/>
    <tableColumn id="4" xr3:uid="{00000000-0010-0000-3D00-000004000000}" name="Share of impact"/>
  </tableColumns>
  <tableStyleInfo name="Material scarcity-style 7" showFirstColumn="1" showLastColumn="1"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Table_63" displayName="Table_63" ref="A100:C124">
  <tableColumns count="3">
    <tableColumn id="1" xr3:uid="{00000000-0010-0000-3E00-000001000000}" name="Material group"/>
    <tableColumn id="2" xr3:uid="{00000000-0010-0000-3E00-000002000000}" name="Share of scarcity impact"/>
    <tableColumn id="3" xr3:uid="{00000000-0010-0000-3E00-000003000000}" name="Share of scarcity impact (excluding mining tailings)"/>
  </tableColumns>
  <tableStyleInfo name="Material scarcity-style 8" showFirstColumn="1" showLastColumn="1"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Table_64" displayName="Table_64" ref="E100:G119">
  <tableColumns count="3">
    <tableColumn id="1" xr3:uid="{00000000-0010-0000-3F00-000001000000}" name="Material group"/>
    <tableColumn id="2" xr3:uid="{00000000-0010-0000-3F00-000002000000}" name="Share of inventory"/>
    <tableColumn id="3" xr3:uid="{00000000-0010-0000-3F00-000003000000}" name="Share of inventory (excluding mining tailings)"/>
  </tableColumns>
  <tableStyleInfo name="Material scarcity-style 9" showFirstColumn="1" showLastColumn="1"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Table_65" displayName="Table_65" ref="I100:J115">
  <tableColumns count="2">
    <tableColumn id="1" xr3:uid="{00000000-0010-0000-4000-000001000000}" name="Material"/>
    <tableColumn id="2" xr3:uid="{00000000-0010-0000-4000-000002000000}" name="Characterization factor (kg Si eq/kg)"/>
  </tableColumns>
  <tableStyleInfo name="Material scarcity-style 10" showFirstColumn="1" showLastColumn="1"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Table_66" displayName="Table_66" ref="L100:N123">
  <tableColumns count="3">
    <tableColumn id="1" xr3:uid="{00000000-0010-0000-4100-000001000000}" name="Material"/>
    <tableColumn id="2" xr3:uid="{00000000-0010-0000-4100-000002000000}" name="Scarcity share"/>
    <tableColumn id="3" xr3:uid="{00000000-0010-0000-4100-000003000000}" name="Material intensity" dataDxfId="1" dataCellStyle="Per cent">
      <calculatedColumnFormula>_xlfn.IFNA(INDEX($E$100:$G$119, MATCH(L101,$E$100:$E$119,0), 3), INDEX($A$10:$G$96, MATCH(L101,$A$10:$A$96,0), 6))</calculatedColumnFormula>
    </tableColumn>
  </tableColumns>
  <tableStyleInfo name="Material scarcity-style 11" showFirstColumn="1" showLastColumn="1"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Table_67" displayName="Table_67" ref="A128:B152">
  <tableColumns count="2">
    <tableColumn id="1" xr3:uid="{00000000-0010-0000-4200-000001000000}" name="Material"/>
    <tableColumn id="2" xr3:uid="{00000000-0010-0000-4200-000002000000}" name="Share of scarcity impact"/>
  </tableColumns>
  <tableStyleInfo name="Material scarcity-style 12" showFirstColumn="1" showLastColumn="1"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Table_68" displayName="Table_68" ref="D128:E147">
  <tableColumns count="2">
    <tableColumn id="1" xr3:uid="{00000000-0010-0000-4300-000001000000}" name="Material"/>
    <tableColumn id="2" xr3:uid="{00000000-0010-0000-4300-000002000000}" name="Share of material footprint"/>
  </tableColumns>
  <tableStyleInfo name="Material scarcity-style 13" showFirstColumn="1" showLastColumn="1"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Table_69" displayName="Table_69" ref="A155:B179">
  <tableColumns count="2">
    <tableColumn id="1" xr3:uid="{00000000-0010-0000-4400-000001000000}" name="Material"/>
    <tableColumn id="2" xr3:uid="{00000000-0010-0000-4400-000002000000}" name="Share of scarcity impact"/>
  </tableColumns>
  <tableStyleInfo name="Material scarcity-style 14" showFirstColumn="1" showLastColumn="1"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Table_70" displayName="Table_70" ref="D155:E174">
  <tableColumns count="2">
    <tableColumn id="1" xr3:uid="{00000000-0010-0000-4500-000001000000}" name="Material"/>
    <tableColumn id="2" xr3:uid="{00000000-0010-0000-4500-000002000000}" name="Share of material footprint"/>
  </tableColumns>
  <tableStyleInfo name="Material scarcity-style 15" showFirstColumn="1" showLastColumn="1"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Table_71" displayName="Table_71" ref="A182:B205">
  <tableColumns count="2">
    <tableColumn id="1" xr3:uid="{00000000-0010-0000-4600-000001000000}" name="Material"/>
    <tableColumn id="2" xr3:uid="{00000000-0010-0000-4600-000002000000}" name="Share of scarcity impact"/>
  </tableColumns>
  <tableStyleInfo name="Material scarcity-style 16" showFirstColumn="1" showLastColumn="1"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Table_72" displayName="Table_72" ref="D182:E199">
  <tableColumns count="2">
    <tableColumn id="1" xr3:uid="{00000000-0010-0000-4700-000001000000}" name="Material"/>
    <tableColumn id="2" xr3:uid="{00000000-0010-0000-4700-000002000000}" name="Share of material footprint"/>
  </tableColumns>
  <tableStyleInfo name="Material scarcity-style 17" showFirstColumn="1" showLastColumn="1"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Table_73" displayName="Table_73" ref="A209:E222">
  <tableColumns count="5">
    <tableColumn id="1" xr3:uid="{00000000-0010-0000-4800-000001000000}" name="Flow name - short"/>
    <tableColumn id="2" xr3:uid="{00000000-0010-0000-4800-000002000000}" name="Share of inventory (excluding mining tailings)"/>
    <tableColumn id="3" xr3:uid="{00000000-0010-0000-4800-000003000000}" name="Share of impact"/>
    <tableColumn id="4" xr3:uid="{00000000-0010-0000-4800-000004000000}" name="Share of inventory - ppm"/>
    <tableColumn id="5" xr3:uid="{00000000-0010-0000-4800-000005000000}" name="Share of scarcity impact - ppm"/>
  </tableColumns>
  <tableStyleInfo name="Material scarcity-style 18" showFirstColumn="1" showLastColumn="1"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Table_74" displayName="Table_74" ref="G209:H222">
  <tableColumns count="2">
    <tableColumn id="1" xr3:uid="{00000000-0010-0000-4900-000001000000}" name="Material"/>
    <tableColumn id="2" xr3:uid="{00000000-0010-0000-4900-000002000000}" name="Concentration in material footprint of ventilation systems (ppm)"/>
  </tableColumns>
  <tableStyleInfo name="Material scarcity-style 19" showFirstColumn="1" showLastColumn="1"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Table_75" displayName="Table_75" ref="A2:D5">
  <tableColumns count="4">
    <tableColumn id="1" xr3:uid="{00000000-0010-0000-4A00-000001000000}" name="Proposed heating solution"/>
    <tableColumn id="2" xr3:uid="{00000000-0010-0000-4A00-000002000000}" name="Number of neighbourhoods"/>
    <tableColumn id="3" xr3:uid="{00000000-0010-0000-4A00-000003000000}" name="Number of residents (2022)"/>
    <tableColumn id="4" xr3:uid="{00000000-0010-0000-4A00-000004000000}" name="Share of population (2022)"/>
  </tableColumns>
  <tableStyleInfo name="Heat plans per neighbourhood-style" showFirstColumn="1" showLastColumn="1"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Table_76" displayName="Table_76" ref="H2:L108">
  <tableColumns count="5">
    <tableColumn id="1" xr3:uid="{00000000-0010-0000-4B00-000001000000}" name="Neighbourhood"/>
    <tableColumn id="2" xr3:uid="{00000000-0010-0000-4B00-000002000000}" name="Number of residents (2022)"/>
    <tableColumn id="3" xr3:uid="{00000000-0010-0000-4B00-000003000000}" name="Heat plan 2030"/>
    <tableColumn id="4" xr3:uid="{00000000-0010-0000-4B00-000004000000}" name="Heat plan 2040"/>
    <tableColumn id="5" xr3:uid="{00000000-0010-0000-4B00-000005000000}" name="Most important heat sources"/>
  </tableColumns>
  <tableStyleInfo name="Heat plans per neighbourhood-style 2" showFirstColumn="1" showLastColumn="1"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Table_77" displayName="Table_77" ref="O2:S108">
  <tableColumns count="5">
    <tableColumn id="1" xr3:uid="{00000000-0010-0000-4C00-000001000000}" name="Buurtnaam"/>
    <tableColumn id="2" xr3:uid="{00000000-0010-0000-4C00-000002000000}" name="Warmteoptie in 2030"/>
    <tableColumn id="3" xr3:uid="{00000000-0010-0000-4C00-000003000000}" name="Warmteopties in 2040"/>
    <tableColumn id="4" xr3:uid="{00000000-0010-0000-4C00-000004000000}" name="Belangrijkste beschikbare_x000a_ bronnen"/>
    <tableColumn id="5" xr3:uid="{00000000-0010-0000-4C00-000005000000}" name="Beschrijving"/>
  </tableColumns>
  <tableStyleInfo name="Heat plans per neighbourhood-style 3" showFirstColumn="1" showLastColumn="1"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Table_78" displayName="Table_78" ref="V2:W116">
  <tableColumns count="2">
    <tableColumn id="1" xr3:uid="{00000000-0010-0000-4D00-000001000000}" name="Neighbourhood"/>
    <tableColumn id="2" xr3:uid="{00000000-0010-0000-4D00-000002000000}" name="Population"/>
  </tableColumns>
  <tableStyleInfo name="Heat plans per neighbourhood-style 4" showFirstColumn="1" showLastColumn="1"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Table_79" displayName="Table_79" ref="Z2:AA23">
  <tableColumns count="2">
    <tableColumn id="1" xr3:uid="{00000000-0010-0000-4E00-000001000000}" name="Dutch"/>
    <tableColumn id="2" xr3:uid="{00000000-0010-0000-4E00-000002000000}" name="English"/>
  </tableColumns>
  <tableStyleInfo name="Heat plans per neighbourhood-style 5" showFirstColumn="1" showLastColumn="1"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Table_80" displayName="Table_80" ref="B3:D7">
  <tableColumns count="3">
    <tableColumn id="1" xr3:uid="{00000000-0010-0000-4F00-000001000000}" name="Scenario"/>
    <tableColumn id="2" xr3:uid="{00000000-0010-0000-4F00-000002000000}" name="Residential buildings (new buildings only)"/>
    <tableColumn id="3" xr3:uid="{00000000-0010-0000-4F00-000003000000}" name="Office buildings (old buildings only)"/>
  </tableColumns>
  <tableStyleInfo name="Building stock-style" showFirstColumn="1" showLastColumn="1"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Table_81" displayName="Table_81" ref="A17:E22">
  <tableColumns count="5">
    <tableColumn id="1" xr3:uid="{00000000-0010-0000-5000-000001000000}" name="Scenario"/>
    <tableColumn id="2" xr3:uid="{00000000-0010-0000-5000-000002000000}" name="Growth of total building stock"/>
    <tableColumn id="3" xr3:uid="{00000000-0010-0000-5000-000003000000}" name="Growth of post-2003 building stock"/>
    <tableColumn id="4" xr3:uid="{00000000-0010-0000-5000-000004000000}" name="Floor space of pre-2003 buildings (km2)"/>
    <tableColumn id="5" xr3:uid="{00000000-0010-0000-5000-000005000000}" name="Floor space of post-2003 buildings (km2)"/>
  </tableColumns>
  <tableStyleInfo name="Building stock-style 2" showFirstColumn="1" showLastColumn="1"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Table_82" displayName="Table_82" ref="A100:E104">
  <tableColumns count="5">
    <tableColumn id="1" xr3:uid="{00000000-0010-0000-5100-000001000000}" name="Scenario"/>
    <tableColumn id="2" xr3:uid="{00000000-0010-0000-5100-000002000000}" name="Growth of office building stock, compared to 2020"/>
    <tableColumn id="3" xr3:uid="{00000000-0010-0000-5100-000003000000}" name="Growth of pre-2003 building stock"/>
    <tableColumn id="4" xr3:uid="{00000000-0010-0000-5100-000004000000}" name="Floor space of pre-2003 buildings (km2)"/>
    <tableColumn id="5" xr3:uid="{00000000-0010-0000-5100-000005000000}" name="Floor space of post-2003 buildings (km2)"/>
  </tableColumns>
  <tableStyleInfo name="Building stock-style 3" showFirstColumn="1" showLastColumn="1"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Table_83" displayName="Table_83" ref="K100:M104">
  <tableColumns count="3">
    <tableColumn id="1" xr3:uid="{00000000-0010-0000-5200-000001000000}" name="Model scenario"/>
    <tableColumn id="2" xr3:uid="{00000000-0010-0000-5200-000002000000}" name="Growth of office floor space, compared to 2020"/>
    <tableColumn id="3" xr3:uid="{00000000-0010-0000-5200-000003000000}" name="Rationale"/>
  </tableColumns>
  <tableStyleInfo name="Building stock-style 4" showFirstColumn="1" showLastColumn="1"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Table_84" displayName="Table_84" ref="Q100:R105">
  <tableColumns count="2">
    <tableColumn id="1" xr3:uid="{00000000-0010-0000-5300-000001000000}" name="Scenario in source literature"/>
    <tableColumn id="2" xr3:uid="{00000000-0010-0000-5300-000002000000}" name="Growth of office space demand, compared to 2016"/>
  </tableColumns>
  <tableStyleInfo name="Building stock-style 5" showFirstColumn="1" showLastColumn="1"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Table_85" displayName="Table_85" ref="S100:S105">
  <tableColumns count="1">
    <tableColumn id="1" xr3:uid="{00000000-0010-0000-5400-000001000000}" name="Growth of office space demand, compared to 2020"/>
  </tableColumns>
  <tableStyleInfo name="Building stock-style 6" showFirstColumn="1" showLastColumn="1"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Table_86" displayName="Table_86" ref="A2:E104">
  <tableColumns count="5">
    <tableColumn id="1" xr3:uid="{00000000-0010-0000-5500-000001000000}" name="DECL_LAB"/>
    <tableColumn id="2" xr3:uid="{00000000-0010-0000-5500-000002000000}" name="PERIOD_LAB"/>
    <tableColumn id="3" xr3:uid="{00000000-0010-0000-5500-000003000000}" name="PRCCODE_LAB"/>
    <tableColumn id="4" xr3:uid="{00000000-0010-0000-5500-000004000000}" name="INDICATORS_LAB"/>
    <tableColumn id="5" xr3:uid="{00000000-0010-0000-5500-000005000000}" name="INDICATOR_VALUE"/>
  </tableColumns>
  <tableStyleInfo name="AC market-style" showFirstColumn="1" showLastColumn="1"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Table_87" displayName="Table_87" ref="M3:O23">
  <tableColumns count="3">
    <tableColumn id="1" xr3:uid="{00000000-0010-0000-5600-000001000000}" name="Year"/>
    <tableColumn id="2" xr3:uid="{00000000-0010-0000-5600-000002000000}" name="2002 - 2016"/>
    <tableColumn id="3" xr3:uid="{00000000-0010-0000-5600-000003000000}" name="2016 - 2021"/>
  </tableColumns>
  <tableStyleInfo name="AC market-style 2" showFirstColumn="1" showLastColumn="1"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Table_88" displayName="Table_88" ref="A16:Q32" headerRowCount="0">
  <tableColumns count="17">
    <tableColumn id="1" xr3:uid="{00000000-0010-0000-5700-000001000000}" name="Column1"/>
    <tableColumn id="2" xr3:uid="{00000000-0010-0000-5700-000002000000}" name="Column2"/>
    <tableColumn id="3" xr3:uid="{00000000-0010-0000-5700-000003000000}" name="Column3"/>
    <tableColumn id="4" xr3:uid="{00000000-0010-0000-5700-000004000000}" name="Column4"/>
    <tableColumn id="5" xr3:uid="{00000000-0010-0000-5700-000005000000}" name="Column5"/>
    <tableColumn id="6" xr3:uid="{00000000-0010-0000-5700-000006000000}" name="Column6"/>
    <tableColumn id="7" xr3:uid="{00000000-0010-0000-5700-000007000000}" name="Column7"/>
    <tableColumn id="8" xr3:uid="{00000000-0010-0000-5700-000008000000}" name="Column8"/>
    <tableColumn id="9" xr3:uid="{00000000-0010-0000-5700-000009000000}" name="Column9"/>
    <tableColumn id="10" xr3:uid="{00000000-0010-0000-5700-00000A000000}" name="Column10"/>
    <tableColumn id="11" xr3:uid="{00000000-0010-0000-5700-00000B000000}" name="Column11"/>
    <tableColumn id="12" xr3:uid="{00000000-0010-0000-5700-00000C000000}" name="Column12"/>
    <tableColumn id="13" xr3:uid="{00000000-0010-0000-5700-00000D000000}" name="Column13"/>
    <tableColumn id="14" xr3:uid="{00000000-0010-0000-5700-00000E000000}" name="Column14"/>
    <tableColumn id="15" xr3:uid="{00000000-0010-0000-5700-00000F000000}" name="Column15"/>
    <tableColumn id="16" xr3:uid="{00000000-0010-0000-5700-000010000000}" name="Column16"/>
    <tableColumn id="17" xr3:uid="{00000000-0010-0000-5700-000011000000}" name="Column17"/>
  </tableColumns>
  <tableStyleInfo name="Electricity mix analysis-style" showFirstColumn="1" showLastColumn="1" showRowStripes="1" showColumnStripes="0"/>
  <extLst>
    <ext uri="GoogleSheetsCustomDataVersion1">
      <go:sheetsCustomData xmlns:go="http://customooxmlschemas.google.com/" headerRowCount="1"/>
    </ext>
  </extLst>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Table_89" displayName="Table_89" ref="G36:J49">
  <tableColumns count="4">
    <tableColumn id="1" xr3:uid="{00000000-0010-0000-5800-000001000000}" name="Electricity source"/>
    <tableColumn id="2" xr3:uid="{00000000-0010-0000-5800-000002000000}" name="Ecoinvent product"/>
    <tableColumn id="3" xr3:uid="{00000000-0010-0000-5800-000003000000}" name="Product"/>
    <tableColumn id="4" xr3:uid="{00000000-0010-0000-5800-000004000000}" name="Notes"/>
  </tableColumns>
  <tableStyleInfo name="Electricity mix analysis-style 2" showFirstColumn="1" showLastColumn="1"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Table_90" displayName="Table_90" ref="A37:D73">
  <tableColumns count="4">
    <tableColumn id="1" xr3:uid="{00000000-0010-0000-5900-000001000000}" name="Activity Name"/>
    <tableColumn id="2" xr3:uid="{00000000-0010-0000-5900-000002000000}" name="Reference Product Name"/>
    <tableColumn id="3" xr3:uid="{00000000-0010-0000-5900-000003000000}" name="Geography"/>
    <tableColumn id="4" xr3:uid="{00000000-0010-0000-5900-000004000000}" name="ReCiPe Midpoint (H) V1.13 climate change GWP100 kg CO2-Eq Carbon footprint "/>
  </tableColumns>
  <tableStyleInfo name="Electricity mix analysis-style 3" showFirstColumn="1" showLastColumn="1"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Table_91" displayName="Table_91" ref="G54:I57">
  <tableColumns count="3">
    <tableColumn id="1" xr3:uid="{00000000-0010-0000-5A00-000001000000}" name="Production method"/>
    <tableColumn id="2" xr3:uid="{00000000-0010-0000-5A00-000002000000}" name="Alternative name"/>
    <tableColumn id="3" xr3:uid="{00000000-0010-0000-5A00-000003000000}" name="Life-cycle carbon footprint (kg CO2eq/MJ)"/>
  </tableColumns>
  <tableStyleInfo name="Electricity mix analysis-style 4" showFirstColumn="1" showLastColumn="1"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Table_92" displayName="Table_92" ref="L54:Q66" headerRowCount="0">
  <tableColumns count="6">
    <tableColumn id="1" xr3:uid="{00000000-0010-0000-5B00-000001000000}" name="Column1"/>
    <tableColumn id="2" xr3:uid="{00000000-0010-0000-5B00-000002000000}" name="Column2"/>
    <tableColumn id="3" xr3:uid="{00000000-0010-0000-5B00-000003000000}" name="Column3"/>
    <tableColumn id="4" xr3:uid="{00000000-0010-0000-5B00-000004000000}" name="Column4"/>
    <tableColumn id="5" xr3:uid="{00000000-0010-0000-5B00-000005000000}" name="Column5"/>
    <tableColumn id="6" xr3:uid="{00000000-0010-0000-5B00-000006000000}" name="Column6"/>
  </tableColumns>
  <tableStyleInfo name="Electricity mix analysis-style 5" showFirstColumn="1" showLastColumn="1" showRowStripes="1" showColumnStripes="0"/>
  <extLst>
    <ext uri="GoogleSheetsCustomDataVersion1">
      <go:sheetsCustomData xmlns:go="http://customooxmlschemas.google.com/" headerRowCount="1"/>
    </ext>
  </extLst>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Table_93" displayName="Table_93" ref="G61:I63" headerRowCount="0">
  <tableColumns count="3">
    <tableColumn id="1" xr3:uid="{00000000-0010-0000-5C00-000001000000}" name="Column1"/>
    <tableColumn id="2" xr3:uid="{00000000-0010-0000-5C00-000002000000}" name="Column2"/>
    <tableColumn id="3" xr3:uid="{00000000-0010-0000-5C00-000003000000}" name="Column3"/>
  </tableColumns>
  <tableStyleInfo name="Electricity mix analysis-style 6" showFirstColumn="1" showLastColumn="1" showRowStripes="1" showColumnStripes="0"/>
  <extLst>
    <ext uri="GoogleSheetsCustomDataVersion1">
      <go:sheetsCustomData xmlns:go="http://customooxmlschemas.google.com/" headerRowCount="1"/>
    </ext>
  </extLst>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Table_94" displayName="Table_94" ref="G66:I69">
  <tableColumns count="3">
    <tableColumn id="1" xr3:uid="{00000000-0010-0000-5D00-000001000000}" name="Scenario year"/>
    <tableColumn id="2" xr3:uid="{00000000-0010-0000-5D00-000002000000}" name="Production mix"/>
    <tableColumn id="3" xr3:uid="{00000000-0010-0000-5D00-000003000000}" name="Life-cycle carbon footprint (kg CO2eq/kWh)"/>
  </tableColumns>
  <tableStyleInfo name="Electricity mix analysis-style 7"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zenodo.org/records/834458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opendata.cbs.nl/statline/" TargetMode="External"/><Relationship Id="rId21" Type="http://schemas.openxmlformats.org/officeDocument/2006/relationships/hyperlink" Target="https://repository.tno.nl/islandora/object/uuid:bf274a3d-70a8-43f9-8fbc-ca09f7ddf678" TargetMode="External"/><Relationship Id="rId42" Type="http://schemas.openxmlformats.org/officeDocument/2006/relationships/hyperlink" Target="https://agupubs.onlinelibrary.wiley.com/doi/full/10.1029/2019RG000691" TargetMode="External"/><Relationship Id="rId47" Type="http://schemas.openxmlformats.org/officeDocument/2006/relationships/table" Target="../tables/table5.xml"/><Relationship Id="rId63" Type="http://schemas.openxmlformats.org/officeDocument/2006/relationships/table" Target="../tables/table21.xml"/><Relationship Id="rId68" Type="http://schemas.openxmlformats.org/officeDocument/2006/relationships/table" Target="../tables/table26.xml"/><Relationship Id="rId16" Type="http://schemas.openxmlformats.org/officeDocument/2006/relationships/hyperlink" Target="https://repository.tno.nl/islandora/object/uuid:bf274a3d-70a8-43f9-8fbc-ca09f7ddf678" TargetMode="External"/><Relationship Id="rId11" Type="http://schemas.openxmlformats.org/officeDocument/2006/relationships/hyperlink" Target="https://www.cvtotaal.nl/panasonic-kit-tz-35-wke-inverter.html" TargetMode="External"/><Relationship Id="rId32" Type="http://schemas.openxmlformats.org/officeDocument/2006/relationships/hyperlink" Target="https://www.iea.org/reports/the-future-of-cooling" TargetMode="External"/><Relationship Id="rId37" Type="http://schemas.openxmlformats.org/officeDocument/2006/relationships/hyperlink" Target="https://www.iea.org/reports/the-future-of-cooling" TargetMode="External"/><Relationship Id="rId53" Type="http://schemas.openxmlformats.org/officeDocument/2006/relationships/table" Target="../tables/table11.xml"/><Relationship Id="rId58" Type="http://schemas.openxmlformats.org/officeDocument/2006/relationships/table" Target="../tables/table16.xml"/><Relationship Id="rId74" Type="http://schemas.openxmlformats.org/officeDocument/2006/relationships/table" Target="../tables/table32.xml"/><Relationship Id="rId79" Type="http://schemas.openxmlformats.org/officeDocument/2006/relationships/table" Target="../tables/table37.xml"/><Relationship Id="rId5" Type="http://schemas.openxmlformats.org/officeDocument/2006/relationships/hyperlink" Target="https://www.cvtotaal.nl/panasonic-kit-tz-35-wke-inverter.html" TargetMode="External"/><Relationship Id="rId61" Type="http://schemas.openxmlformats.org/officeDocument/2006/relationships/table" Target="../tables/table19.xml"/><Relationship Id="rId19" Type="http://schemas.openxmlformats.org/officeDocument/2006/relationships/hyperlink" Target="https://repository.tno.nl/islandora/object/uuid:bf274a3d-70a8-43f9-8fbc-ca09f7ddf678" TargetMode="External"/><Relationship Id="rId14" Type="http://schemas.openxmlformats.org/officeDocument/2006/relationships/hyperlink" Target="https://repository.tno.nl/islandora/object/uuid:bf274a3d-70a8-43f9-8fbc-ca09f7ddf678" TargetMode="External"/><Relationship Id="rId22" Type="http://schemas.openxmlformats.org/officeDocument/2006/relationships/hyperlink" Target="https://opendata.cbs.nl/statline/" TargetMode="External"/><Relationship Id="rId27" Type="http://schemas.openxmlformats.org/officeDocument/2006/relationships/hyperlink" Target="https://opendata.cbs.nl/statline/" TargetMode="External"/><Relationship Id="rId30" Type="http://schemas.openxmlformats.org/officeDocument/2006/relationships/hyperlink" Target="https://www.iea.org/reports/the-future-of-cooling" TargetMode="External"/><Relationship Id="rId35" Type="http://schemas.openxmlformats.org/officeDocument/2006/relationships/hyperlink" Target="https://www.iea.org/reports/the-future-of-cooling" TargetMode="External"/><Relationship Id="rId43" Type="http://schemas.openxmlformats.org/officeDocument/2006/relationships/drawing" Target="../drawings/drawing1.xml"/><Relationship Id="rId48" Type="http://schemas.openxmlformats.org/officeDocument/2006/relationships/table" Target="../tables/table6.xml"/><Relationship Id="rId56" Type="http://schemas.openxmlformats.org/officeDocument/2006/relationships/table" Target="../tables/table14.xml"/><Relationship Id="rId64" Type="http://schemas.openxmlformats.org/officeDocument/2006/relationships/table" Target="../tables/table22.xml"/><Relationship Id="rId69" Type="http://schemas.openxmlformats.org/officeDocument/2006/relationships/table" Target="../tables/table27.xml"/><Relationship Id="rId77" Type="http://schemas.openxmlformats.org/officeDocument/2006/relationships/table" Target="../tables/table35.xml"/><Relationship Id="rId8" Type="http://schemas.openxmlformats.org/officeDocument/2006/relationships/hyperlink" Target="https://www.kensaheatpumps.com/shoebox-ground-source-heat-pump/" TargetMode="External"/><Relationship Id="rId51" Type="http://schemas.openxmlformats.org/officeDocument/2006/relationships/table" Target="../tables/table9.xml"/><Relationship Id="rId72" Type="http://schemas.openxmlformats.org/officeDocument/2006/relationships/table" Target="../tables/table30.xml"/><Relationship Id="rId80" Type="http://schemas.openxmlformats.org/officeDocument/2006/relationships/table" Target="../tables/table38.xml"/><Relationship Id="rId3" Type="http://schemas.openxmlformats.org/officeDocument/2006/relationships/hyperlink" Target="https://www.ithodaalderop.nl/nl-NL/consument/product/03-00508" TargetMode="External"/><Relationship Id="rId12" Type="http://schemas.openxmlformats.org/officeDocument/2006/relationships/hyperlink" Target="https://justfire.nl/airco9000-wifi-wit-1.html" TargetMode="External"/><Relationship Id="rId17" Type="http://schemas.openxmlformats.org/officeDocument/2006/relationships/hyperlink" Target="https://repository.tno.nl/islandora/object/uuid:bf274a3d-70a8-43f9-8fbc-ca09f7ddf678" TargetMode="External"/><Relationship Id="rId25" Type="http://schemas.openxmlformats.org/officeDocument/2006/relationships/hyperlink" Target="https://opendata.cbs.nl/statline/" TargetMode="External"/><Relationship Id="rId33" Type="http://schemas.openxmlformats.org/officeDocument/2006/relationships/hyperlink" Target="https://repository.tno.nl/islandora/object/uuid:bf274a3d-70a8-43f9-8fbc-ca09f7ddf678" TargetMode="External"/><Relationship Id="rId38" Type="http://schemas.openxmlformats.org/officeDocument/2006/relationships/hyperlink" Target="https://repository.tno.nl/islandora/object/uuid:bf274a3d-70a8-43f9-8fbc-ca09f7ddf678" TargetMode="External"/><Relationship Id="rId46" Type="http://schemas.openxmlformats.org/officeDocument/2006/relationships/table" Target="../tables/table4.xml"/><Relationship Id="rId59" Type="http://schemas.openxmlformats.org/officeDocument/2006/relationships/table" Target="../tables/table17.xml"/><Relationship Id="rId67" Type="http://schemas.openxmlformats.org/officeDocument/2006/relationships/table" Target="../tables/table25.xml"/><Relationship Id="rId20" Type="http://schemas.openxmlformats.org/officeDocument/2006/relationships/hyperlink" Target="https://repository.tno.nl/islandora/object/uuid:bf274a3d-70a8-43f9-8fbc-ca09f7ddf678" TargetMode="External"/><Relationship Id="rId41" Type="http://schemas.openxmlformats.org/officeDocument/2006/relationships/hyperlink" Target="https://www.ipcc.ch/publication/good-practice-guidance-and-uncertainty-management-in-national-greenhouse-gas-inventories/" TargetMode="External"/><Relationship Id="rId54" Type="http://schemas.openxmlformats.org/officeDocument/2006/relationships/table" Target="../tables/table12.xml"/><Relationship Id="rId62" Type="http://schemas.openxmlformats.org/officeDocument/2006/relationships/table" Target="../tables/table20.xml"/><Relationship Id="rId70" Type="http://schemas.openxmlformats.org/officeDocument/2006/relationships/table" Target="../tables/table28.xml"/><Relationship Id="rId75" Type="http://schemas.openxmlformats.org/officeDocument/2006/relationships/table" Target="../tables/table33.xml"/><Relationship Id="rId1" Type="http://schemas.openxmlformats.org/officeDocument/2006/relationships/hyperlink" Target="https://www.123klimaatshop.nl/product/daikin-altherma-3rf-ehvx08s23e9w-erga06ev-lucht-water-warmtepomp-60-kw-230-liter/" TargetMode="External"/><Relationship Id="rId6" Type="http://schemas.openxmlformats.org/officeDocument/2006/relationships/hyperlink" Target="https://justfire.nl/airco9000-wifi-wit-1.html" TargetMode="External"/><Relationship Id="rId15" Type="http://schemas.openxmlformats.org/officeDocument/2006/relationships/hyperlink" Target="https://repository.tno.nl/islandora/object/uuid:bf274a3d-70a8-43f9-8fbc-ca09f7ddf678" TargetMode="External"/><Relationship Id="rId23" Type="http://schemas.openxmlformats.org/officeDocument/2006/relationships/hyperlink" Target="https://opendata.cbs.nl/statline/" TargetMode="External"/><Relationship Id="rId28" Type="http://schemas.openxmlformats.org/officeDocument/2006/relationships/hyperlink" Target="https://opendata.cbs.nl/statline/" TargetMode="External"/><Relationship Id="rId36" Type="http://schemas.openxmlformats.org/officeDocument/2006/relationships/hyperlink" Target="https://repository.tno.nl/islandora/object/uuid:bf274a3d-70a8-43f9-8fbc-ca09f7ddf678" TargetMode="External"/><Relationship Id="rId49" Type="http://schemas.openxmlformats.org/officeDocument/2006/relationships/table" Target="../tables/table7.xml"/><Relationship Id="rId57" Type="http://schemas.openxmlformats.org/officeDocument/2006/relationships/table" Target="../tables/table15.xml"/><Relationship Id="rId10" Type="http://schemas.openxmlformats.org/officeDocument/2006/relationships/hyperlink" Target="https://www.systemair.com/en/products/air-conditioners/chillers-and-heat-pumps/air-cooled-chillers/aqvl?sku=AC-AQVL" TargetMode="External"/><Relationship Id="rId31" Type="http://schemas.openxmlformats.org/officeDocument/2006/relationships/hyperlink" Target="https://repository.tno.nl/islandora/object/uuid:bf274a3d-70a8-43f9-8fbc-ca09f7ddf678" TargetMode="External"/><Relationship Id="rId44" Type="http://schemas.openxmlformats.org/officeDocument/2006/relationships/table" Target="../tables/table2.xml"/><Relationship Id="rId52" Type="http://schemas.openxmlformats.org/officeDocument/2006/relationships/table" Target="../tables/table10.xml"/><Relationship Id="rId60" Type="http://schemas.openxmlformats.org/officeDocument/2006/relationships/table" Target="../tables/table18.xml"/><Relationship Id="rId65" Type="http://schemas.openxmlformats.org/officeDocument/2006/relationships/table" Target="../tables/table23.xml"/><Relationship Id="rId73" Type="http://schemas.openxmlformats.org/officeDocument/2006/relationships/table" Target="../tables/table31.xml"/><Relationship Id="rId78" Type="http://schemas.openxmlformats.org/officeDocument/2006/relationships/table" Target="../tables/table36.xml"/><Relationship Id="rId81" Type="http://schemas.openxmlformats.org/officeDocument/2006/relationships/table" Target="../tables/table39.xml"/><Relationship Id="rId4" Type="http://schemas.openxmlformats.org/officeDocument/2006/relationships/hyperlink" Target="https://www.systemair.com/en/products/air-conditioners/chillers-and-heat-pumps/air-cooled-chillers/aqvl?sku=AC-AQVL" TargetMode="External"/><Relationship Id="rId9" Type="http://schemas.openxmlformats.org/officeDocument/2006/relationships/hyperlink" Target="https://www.ithodaalderop.nl/nl-NL/consument/product/03-00508" TargetMode="External"/><Relationship Id="rId13" Type="http://schemas.openxmlformats.org/officeDocument/2006/relationships/hyperlink" Target="https://repository.tno.nl/islandora/object/uuid:bf274a3d-70a8-43f9-8fbc-ca09f7ddf678" TargetMode="External"/><Relationship Id="rId18" Type="http://schemas.openxmlformats.org/officeDocument/2006/relationships/hyperlink" Target="https://repository.tno.nl/islandora/object/uuid:bf274a3d-70a8-43f9-8fbc-ca09f7ddf678" TargetMode="External"/><Relationship Id="rId39" Type="http://schemas.openxmlformats.org/officeDocument/2006/relationships/hyperlink" Target="https://www.iea.org/reports/the-future-of-cooling" TargetMode="External"/><Relationship Id="rId34" Type="http://schemas.openxmlformats.org/officeDocument/2006/relationships/hyperlink" Target="https://repository.tno.nl/islandora/object/uuid:bf274a3d-70a8-43f9-8fbc-ca09f7ddf678" TargetMode="External"/><Relationship Id="rId50" Type="http://schemas.openxmlformats.org/officeDocument/2006/relationships/table" Target="../tables/table8.xml"/><Relationship Id="rId55" Type="http://schemas.openxmlformats.org/officeDocument/2006/relationships/table" Target="../tables/table13.xml"/><Relationship Id="rId76" Type="http://schemas.openxmlformats.org/officeDocument/2006/relationships/table" Target="../tables/table34.xml"/><Relationship Id="rId7" Type="http://schemas.openxmlformats.org/officeDocument/2006/relationships/hyperlink" Target="https://www.123klimaatshop.nl/product/daikin-altherma-3rf-ehvx08s23e9w-erga06ev-lucht-water-warmtepomp-60-kw-230-liter/" TargetMode="External"/><Relationship Id="rId71" Type="http://schemas.openxmlformats.org/officeDocument/2006/relationships/table" Target="../tables/table29.xml"/><Relationship Id="rId2" Type="http://schemas.openxmlformats.org/officeDocument/2006/relationships/hyperlink" Target="https://www.kensaheatpumps.com/shoebox-ground-source-heat-pump/" TargetMode="External"/><Relationship Id="rId29" Type="http://schemas.openxmlformats.org/officeDocument/2006/relationships/hyperlink" Target="https://opendata.cbs.nl/statline/" TargetMode="External"/><Relationship Id="rId24" Type="http://schemas.openxmlformats.org/officeDocument/2006/relationships/hyperlink" Target="https://opendata.cbs.nl/statline/" TargetMode="External"/><Relationship Id="rId40" Type="http://schemas.openxmlformats.org/officeDocument/2006/relationships/hyperlink" Target="https://heatroadmap.eu/wp-content/uploads/2018/11/HRE4_D3.2.pdf" TargetMode="External"/><Relationship Id="rId45" Type="http://schemas.openxmlformats.org/officeDocument/2006/relationships/table" Target="../tables/table3.xml"/><Relationship Id="rId66" Type="http://schemas.openxmlformats.org/officeDocument/2006/relationships/table" Target="../tables/table2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40.xml"/><Relationship Id="rId13" Type="http://schemas.openxmlformats.org/officeDocument/2006/relationships/table" Target="../tables/table45.xml"/><Relationship Id="rId18" Type="http://schemas.openxmlformats.org/officeDocument/2006/relationships/table" Target="../tables/table50.xml"/><Relationship Id="rId3" Type="http://schemas.openxmlformats.org/officeDocument/2006/relationships/hyperlink" Target="https://v38.ecoquery.ecoinvent.org/Details/PDF/287D7D87-8F79-4D5B-9562-102DF0ED6AAD/290C1F85-4CC4-4FA1-B0C8-2CB7F4276DCE" TargetMode="External"/><Relationship Id="rId21" Type="http://schemas.openxmlformats.org/officeDocument/2006/relationships/table" Target="../tables/table53.xml"/><Relationship Id="rId7" Type="http://schemas.openxmlformats.org/officeDocument/2006/relationships/drawing" Target="../drawings/drawing2.xml"/><Relationship Id="rId12" Type="http://schemas.openxmlformats.org/officeDocument/2006/relationships/table" Target="../tables/table44.xml"/><Relationship Id="rId17" Type="http://schemas.openxmlformats.org/officeDocument/2006/relationships/table" Target="../tables/table49.xml"/><Relationship Id="rId2" Type="http://schemas.openxmlformats.org/officeDocument/2006/relationships/hyperlink" Target="https://v38.ecoquery.ecoinvent.org/Details/PDF/25E172FE-742E-496B-97D7-4B77B337215D/290C1F85-4CC4-4FA1-B0C8-2CB7F4276DCE" TargetMode="External"/><Relationship Id="rId16" Type="http://schemas.openxmlformats.org/officeDocument/2006/relationships/table" Target="../tables/table48.xml"/><Relationship Id="rId20" Type="http://schemas.openxmlformats.org/officeDocument/2006/relationships/table" Target="../tables/table52.xml"/><Relationship Id="rId1" Type="http://schemas.openxmlformats.org/officeDocument/2006/relationships/hyperlink" Target="https://v38.ecoquery.ecoinvent.org/Details/PDF/6E972DC0-3AC7-40B7-90D2-365989115A36/290C1F85-4CC4-4FA1-B0C8-2CB7F4276DCE" TargetMode="External"/><Relationship Id="rId6" Type="http://schemas.openxmlformats.org/officeDocument/2006/relationships/hyperlink" Target="https://link.springer.com/article/10.1007/s11367-020-01781-1" TargetMode="External"/><Relationship Id="rId11" Type="http://schemas.openxmlformats.org/officeDocument/2006/relationships/table" Target="../tables/table43.xml"/><Relationship Id="rId5" Type="http://schemas.openxmlformats.org/officeDocument/2006/relationships/hyperlink" Target="https://www.universiteitleiden.nl/en/research/research-output/science/cml-ia-characterisation-factors" TargetMode="External"/><Relationship Id="rId15" Type="http://schemas.openxmlformats.org/officeDocument/2006/relationships/table" Target="../tables/table47.xml"/><Relationship Id="rId23" Type="http://schemas.openxmlformats.org/officeDocument/2006/relationships/table" Target="../tables/table55.xml"/><Relationship Id="rId10" Type="http://schemas.openxmlformats.org/officeDocument/2006/relationships/table" Target="../tables/table42.xml"/><Relationship Id="rId19" Type="http://schemas.openxmlformats.org/officeDocument/2006/relationships/table" Target="../tables/table51.xml"/><Relationship Id="rId4" Type="http://schemas.openxmlformats.org/officeDocument/2006/relationships/hyperlink" Target="https://www.rivm.nl/en/life-cycle-assessment-lca/downloads" TargetMode="External"/><Relationship Id="rId9" Type="http://schemas.openxmlformats.org/officeDocument/2006/relationships/table" Target="../tables/table41.xml"/><Relationship Id="rId14" Type="http://schemas.openxmlformats.org/officeDocument/2006/relationships/table" Target="../tables/table46.xml"/><Relationship Id="rId22" Type="http://schemas.openxmlformats.org/officeDocument/2006/relationships/table" Target="../tables/table54.xml"/></Relationships>
</file>

<file path=xl/worksheets/_rels/sheet4.xml.rels><?xml version="1.0" encoding="UTF-8" standalone="yes"?>
<Relationships xmlns="http://schemas.openxmlformats.org/package/2006/relationships"><Relationship Id="rId8" Type="http://schemas.openxmlformats.org/officeDocument/2006/relationships/table" Target="../tables/table62.xml"/><Relationship Id="rId13" Type="http://schemas.openxmlformats.org/officeDocument/2006/relationships/table" Target="../tables/table67.xml"/><Relationship Id="rId18" Type="http://schemas.openxmlformats.org/officeDocument/2006/relationships/table" Target="../tables/table72.xml"/><Relationship Id="rId3" Type="http://schemas.openxmlformats.org/officeDocument/2006/relationships/table" Target="../tables/table57.xml"/><Relationship Id="rId7" Type="http://schemas.openxmlformats.org/officeDocument/2006/relationships/table" Target="../tables/table61.xml"/><Relationship Id="rId12" Type="http://schemas.openxmlformats.org/officeDocument/2006/relationships/table" Target="../tables/table66.xml"/><Relationship Id="rId17" Type="http://schemas.openxmlformats.org/officeDocument/2006/relationships/table" Target="../tables/table71.xml"/><Relationship Id="rId2" Type="http://schemas.openxmlformats.org/officeDocument/2006/relationships/table" Target="../tables/table56.xml"/><Relationship Id="rId16" Type="http://schemas.openxmlformats.org/officeDocument/2006/relationships/table" Target="../tables/table70.xml"/><Relationship Id="rId20" Type="http://schemas.openxmlformats.org/officeDocument/2006/relationships/table" Target="../tables/table74.xml"/><Relationship Id="rId1" Type="http://schemas.openxmlformats.org/officeDocument/2006/relationships/drawing" Target="../drawings/drawing3.xml"/><Relationship Id="rId6" Type="http://schemas.openxmlformats.org/officeDocument/2006/relationships/table" Target="../tables/table60.xml"/><Relationship Id="rId11" Type="http://schemas.openxmlformats.org/officeDocument/2006/relationships/table" Target="../tables/table65.xml"/><Relationship Id="rId5" Type="http://schemas.openxmlformats.org/officeDocument/2006/relationships/table" Target="../tables/table59.xml"/><Relationship Id="rId15" Type="http://schemas.openxmlformats.org/officeDocument/2006/relationships/table" Target="../tables/table69.xml"/><Relationship Id="rId10" Type="http://schemas.openxmlformats.org/officeDocument/2006/relationships/table" Target="../tables/table64.xml"/><Relationship Id="rId19" Type="http://schemas.openxmlformats.org/officeDocument/2006/relationships/table" Target="../tables/table73.xml"/><Relationship Id="rId4" Type="http://schemas.openxmlformats.org/officeDocument/2006/relationships/table" Target="../tables/table58.xml"/><Relationship Id="rId9" Type="http://schemas.openxmlformats.org/officeDocument/2006/relationships/table" Target="../tables/table63.xml"/><Relationship Id="rId14" Type="http://schemas.openxmlformats.org/officeDocument/2006/relationships/table" Target="../tables/table68.xml"/></Relationships>
</file>

<file path=xl/worksheets/_rels/sheet5.xml.rels><?xml version="1.0" encoding="UTF-8" standalone="yes"?>
<Relationships xmlns="http://schemas.openxmlformats.org/package/2006/relationships"><Relationship Id="rId8" Type="http://schemas.openxmlformats.org/officeDocument/2006/relationships/table" Target="../tables/table79.xml"/><Relationship Id="rId3" Type="http://schemas.openxmlformats.org/officeDocument/2006/relationships/hyperlink" Target="https://denhaag.incijfers.nl/jive" TargetMode="External"/><Relationship Id="rId7" Type="http://schemas.openxmlformats.org/officeDocument/2006/relationships/table" Target="../tables/table78.xml"/><Relationship Id="rId2" Type="http://schemas.openxmlformats.org/officeDocument/2006/relationships/hyperlink" Target="https://denhaag.raadsinformatie.nl/document/10731340/1/RIS310442_Bijlage_Transitievisie_Warmte" TargetMode="External"/><Relationship Id="rId1" Type="http://schemas.openxmlformats.org/officeDocument/2006/relationships/pivotTable" Target="../pivotTables/pivotTable1.xml"/><Relationship Id="rId6" Type="http://schemas.openxmlformats.org/officeDocument/2006/relationships/table" Target="../tables/table77.xml"/><Relationship Id="rId5" Type="http://schemas.openxmlformats.org/officeDocument/2006/relationships/table" Target="../tables/table76.xml"/><Relationship Id="rId4" Type="http://schemas.openxmlformats.org/officeDocument/2006/relationships/table" Target="../tables/table7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82.xml"/><Relationship Id="rId3" Type="http://schemas.openxmlformats.org/officeDocument/2006/relationships/hyperlink" Target="https://www.cpb.nl/sites/default/files/omnidownload/PBL-CPB-Notitie-2mrt2017-De-toekomst-van-kantoren.pdf" TargetMode="External"/><Relationship Id="rId7" Type="http://schemas.openxmlformats.org/officeDocument/2006/relationships/table" Target="../tables/table81.xml"/><Relationship Id="rId2" Type="http://schemas.openxmlformats.org/officeDocument/2006/relationships/hyperlink" Target="https://opendata.cbs.nl/" TargetMode="External"/><Relationship Id="rId1" Type="http://schemas.openxmlformats.org/officeDocument/2006/relationships/hyperlink" Target="https://www.pbl.nl/sites/default/files/downloads/pbl2019-pbl-cbs-regionale-bev-en-hhprognose-2019-2050-belangrijkste-uitkomsten-3812.pdf" TargetMode="External"/><Relationship Id="rId6" Type="http://schemas.openxmlformats.org/officeDocument/2006/relationships/table" Target="../tables/table80.xml"/><Relationship Id="rId11" Type="http://schemas.openxmlformats.org/officeDocument/2006/relationships/table" Target="../tables/table85.xml"/><Relationship Id="rId5" Type="http://schemas.openxmlformats.org/officeDocument/2006/relationships/drawing" Target="../drawings/drawing4.xml"/><Relationship Id="rId10" Type="http://schemas.openxmlformats.org/officeDocument/2006/relationships/table" Target="../tables/table84.xml"/><Relationship Id="rId4" Type="http://schemas.openxmlformats.org/officeDocument/2006/relationships/hyperlink" Target="https://www.cpb.nl/sites/default/files/publicaties/download/cpb-pbl-boek-19-wlo-2015-nederland-2030-en-2050.pdf" TargetMode="External"/><Relationship Id="rId9" Type="http://schemas.openxmlformats.org/officeDocument/2006/relationships/table" Target="../tables/table8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ec.europa.eu/eurostat/web/prodcom" TargetMode="External"/><Relationship Id="rId1" Type="http://schemas.openxmlformats.org/officeDocument/2006/relationships/pivotTable" Target="../pivotTables/pivotTable2.xml"/><Relationship Id="rId5" Type="http://schemas.openxmlformats.org/officeDocument/2006/relationships/table" Target="../tables/table87.xml"/><Relationship Id="rId4" Type="http://schemas.openxmlformats.org/officeDocument/2006/relationships/table" Target="../tables/table86.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berenschot.nl/media/hl4dygfq/rapport_klimaatneutrale_energiescenario_s_2050_2.pdf" TargetMode="External"/><Relationship Id="rId13" Type="http://schemas.openxmlformats.org/officeDocument/2006/relationships/hyperlink" Target="https://ecoinvent.org/the-ecoinvent-database/data-releases/ecoinvent-3-8/" TargetMode="External"/><Relationship Id="rId18" Type="http://schemas.openxmlformats.org/officeDocument/2006/relationships/table" Target="../tables/table90.xml"/><Relationship Id="rId3" Type="http://schemas.openxmlformats.org/officeDocument/2006/relationships/hyperlink" Target="https://www.pbl.nl/publicaties/klimaat-en-energieverkenning-2021" TargetMode="External"/><Relationship Id="rId21" Type="http://schemas.openxmlformats.org/officeDocument/2006/relationships/table" Target="../tables/table93.xml"/><Relationship Id="rId7" Type="http://schemas.openxmlformats.org/officeDocument/2006/relationships/hyperlink" Target="https://www.berenschot.nl/media/hl4dygfq/rapport_klimaatneutrale_energiescenario_s_2050_2.pdf" TargetMode="External"/><Relationship Id="rId12" Type="http://schemas.openxmlformats.org/officeDocument/2006/relationships/hyperlink" Target="https://pro.energytransitionmodel.com/" TargetMode="External"/><Relationship Id="rId17" Type="http://schemas.openxmlformats.org/officeDocument/2006/relationships/table" Target="../tables/table89.xml"/><Relationship Id="rId2" Type="http://schemas.openxmlformats.org/officeDocument/2006/relationships/hyperlink" Target="https://www.pbl.nl/publicaties/klimaat-en-energieverkenning-2021" TargetMode="External"/><Relationship Id="rId16" Type="http://schemas.openxmlformats.org/officeDocument/2006/relationships/table" Target="../tables/table88.xml"/><Relationship Id="rId20" Type="http://schemas.openxmlformats.org/officeDocument/2006/relationships/table" Target="../tables/table92.xml"/><Relationship Id="rId1" Type="http://schemas.openxmlformats.org/officeDocument/2006/relationships/hyperlink" Target="https://ce.nl/wp-content/uploads/2022/01/CE_Delft_210436_Ketenemissies_elektriciteit_Def.pdf" TargetMode="External"/><Relationship Id="rId6" Type="http://schemas.openxmlformats.org/officeDocument/2006/relationships/hyperlink" Target="https://www.berenschot.nl/media/hl4dygfq/rapport_klimaatneutrale_energiescenario_s_2050_2.pdf" TargetMode="External"/><Relationship Id="rId11" Type="http://schemas.openxmlformats.org/officeDocument/2006/relationships/hyperlink" Target="https://www.pbl.nl/publicaties/klimaat-en-energieverkenning-2021" TargetMode="External"/><Relationship Id="rId5" Type="http://schemas.openxmlformats.org/officeDocument/2006/relationships/hyperlink" Target="https://www.berenschot.nl/media/hl4dygfq/rapport_klimaatneutrale_energiescenario_s_2050_2.pdf" TargetMode="External"/><Relationship Id="rId15" Type="http://schemas.openxmlformats.org/officeDocument/2006/relationships/hyperlink" Target="https://reader.elsevier.com/reader/sd/pii/S0360319918337248?token=B57673013E73632742FC66D3009D436F4BF355E2E3534A006D379A0475DCED6EED451016122AF97142BEC0B402078A26&amp;originRegion=eu-west-1&amp;originCreation=20221123210236" TargetMode="External"/><Relationship Id="rId10" Type="http://schemas.openxmlformats.org/officeDocument/2006/relationships/hyperlink" Target="https://www.berenschot.nl/media/hl4dygfq/rapport_klimaatneutrale_energiescenario_s_2050_2.pdf" TargetMode="External"/><Relationship Id="rId19" Type="http://schemas.openxmlformats.org/officeDocument/2006/relationships/table" Target="../tables/table91.xml"/><Relationship Id="rId4" Type="http://schemas.openxmlformats.org/officeDocument/2006/relationships/hyperlink" Target="https://www.berenschot.nl/media/hl4dygfq/rapport_klimaatneutrale_energiescenario_s_2050_2.pdf" TargetMode="External"/><Relationship Id="rId9" Type="http://schemas.openxmlformats.org/officeDocument/2006/relationships/hyperlink" Target="https://www.berenschot.nl/media/hl4dygfq/rapport_klimaatneutrale_energiescenario_s_2050_2.pdf" TargetMode="External"/><Relationship Id="rId14" Type="http://schemas.openxmlformats.org/officeDocument/2006/relationships/hyperlink" Target="https://north-sea-energy.eu/static/1a8004c68fb16f7ed588ef2d10ea51bf/9.-FINAL-NSE3_D4.1-Report-on-life-cycle-comparison-of-environmental-performance-of-grey-blue-green-hydrogen-pathways.pdf" TargetMode="External"/><Relationship Id="rId22" Type="http://schemas.openxmlformats.org/officeDocument/2006/relationships/table" Target="../tables/table9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4"/>
  <sheetViews>
    <sheetView workbookViewId="0">
      <selection activeCell="A2" sqref="A2"/>
    </sheetView>
  </sheetViews>
  <sheetFormatPr baseColWidth="10" defaultColWidth="12.6640625" defaultRowHeight="15.75" customHeight="1"/>
  <cols>
    <col min="1" max="1" width="26" customWidth="1"/>
    <col min="2" max="2" width="75" customWidth="1"/>
  </cols>
  <sheetData>
    <row r="1" spans="1:4" ht="15.75" customHeight="1">
      <c r="D1" s="1"/>
    </row>
    <row r="2" spans="1:4" ht="21" customHeight="1">
      <c r="A2" s="240" t="s">
        <v>1240</v>
      </c>
      <c r="D2" s="2"/>
    </row>
    <row r="3" spans="1:4" ht="54" customHeight="1">
      <c r="A3" s="222" t="s">
        <v>1241</v>
      </c>
      <c r="B3" s="223"/>
      <c r="D3" s="2"/>
    </row>
    <row r="4" spans="1:4" ht="15.75" customHeight="1">
      <c r="D4" s="2"/>
    </row>
    <row r="6" spans="1:4" ht="15.75" customHeight="1">
      <c r="A6" s="1" t="s">
        <v>0</v>
      </c>
      <c r="B6" s="1" t="s">
        <v>1</v>
      </c>
    </row>
    <row r="7" spans="1:4" s="221" customFormat="1" ht="42" customHeight="1">
      <c r="A7" s="3" t="s">
        <v>2</v>
      </c>
      <c r="B7" s="3" t="s">
        <v>3</v>
      </c>
    </row>
    <row r="8" spans="1:4" s="221" customFormat="1" ht="41" customHeight="1">
      <c r="A8" s="3" t="s">
        <v>4</v>
      </c>
      <c r="B8" s="3" t="s">
        <v>5</v>
      </c>
    </row>
    <row r="9" spans="1:4" s="221" customFormat="1" ht="28" customHeight="1">
      <c r="A9" s="3" t="s">
        <v>6</v>
      </c>
      <c r="B9" s="3" t="s">
        <v>7</v>
      </c>
    </row>
    <row r="10" spans="1:4" s="221" customFormat="1" ht="16" customHeight="1">
      <c r="A10" s="3" t="s">
        <v>8</v>
      </c>
      <c r="B10" s="3" t="s">
        <v>9</v>
      </c>
    </row>
    <row r="11" spans="1:4" s="221" customFormat="1" ht="13" customHeight="1">
      <c r="A11" s="3" t="s">
        <v>10</v>
      </c>
      <c r="B11" s="3" t="s">
        <v>11</v>
      </c>
    </row>
    <row r="12" spans="1:4" s="221" customFormat="1" ht="15" customHeight="1">
      <c r="A12" s="3" t="s">
        <v>12</v>
      </c>
      <c r="B12" s="3" t="s">
        <v>13</v>
      </c>
    </row>
    <row r="13" spans="1:4" s="221" customFormat="1" ht="14" customHeight="1">
      <c r="A13" s="3" t="s">
        <v>14</v>
      </c>
      <c r="B13" s="3" t="s">
        <v>15</v>
      </c>
    </row>
    <row r="14" spans="1:4" s="221" customFormat="1" ht="28" customHeight="1">
      <c r="A14" s="3" t="s">
        <v>16</v>
      </c>
      <c r="B14" s="3" t="s">
        <v>17</v>
      </c>
    </row>
  </sheetData>
  <mergeCells count="1">
    <mergeCell ref="A3:B3"/>
  </mergeCells>
  <hyperlinks>
    <hyperlink ref="A3" r:id="rId1" display="https://zenodo.org/records/8344581" xr:uid="{69D39AFF-13A6-B64D-A14E-280372899953}"/>
  </hyperlinks>
  <pageMargins left="0.7" right="0.7" top="0.75" bottom="0.75" header="0.3" footer="0.3"/>
  <pageSetup paperSize="9" orientation="portrait" horizontalDpi="0" verticalDpi="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218"/>
  <sheetViews>
    <sheetView tabSelected="1" topLeftCell="N13" workbookViewId="0">
      <selection activeCell="H115" sqref="H115"/>
    </sheetView>
  </sheetViews>
  <sheetFormatPr baseColWidth="10" defaultColWidth="12.6640625" defaultRowHeight="15.75" customHeight="1"/>
  <cols>
    <col min="1" max="1" width="24.1640625" customWidth="1"/>
    <col min="2" max="2" width="19.6640625" customWidth="1"/>
    <col min="3" max="3" width="21.33203125" customWidth="1"/>
    <col min="4" max="4" width="20.1640625" customWidth="1"/>
    <col min="5" max="5" width="30.6640625" customWidth="1"/>
    <col min="6" max="6" width="34.1640625" customWidth="1"/>
    <col min="7" max="7" width="22" customWidth="1"/>
    <col min="8" max="8" width="21.33203125" customWidth="1"/>
    <col min="9" max="9" width="25.1640625" customWidth="1"/>
    <col min="10" max="10" width="28.5" customWidth="1"/>
    <col min="11" max="11" width="23.1640625" customWidth="1"/>
    <col min="14" max="14" width="26.6640625" customWidth="1"/>
    <col min="19" max="19" width="24.5" customWidth="1"/>
    <col min="20" max="20" width="15.1640625" customWidth="1"/>
    <col min="25" max="25" width="23.83203125" customWidth="1"/>
    <col min="26" max="26" width="34.1640625" customWidth="1"/>
    <col min="29" max="29" width="28.33203125" customWidth="1"/>
    <col min="31" max="31" width="19.6640625" customWidth="1"/>
  </cols>
  <sheetData>
    <row r="1" spans="1:35" ht="13">
      <c r="A1" s="4"/>
      <c r="E1" s="5"/>
      <c r="F1" s="6"/>
    </row>
    <row r="2" spans="1:35" ht="13">
      <c r="A2" s="7" t="s">
        <v>18</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4">
      <c r="A3" s="8" t="s">
        <v>19</v>
      </c>
      <c r="B3" s="9" t="s">
        <v>20</v>
      </c>
      <c r="E3" s="5"/>
      <c r="F3" s="6"/>
      <c r="H3" s="9" t="s">
        <v>21</v>
      </c>
      <c r="K3" s="9" t="s">
        <v>22</v>
      </c>
      <c r="P3" s="9" t="s">
        <v>23</v>
      </c>
      <c r="U3" s="9" t="s">
        <v>24</v>
      </c>
      <c r="Z3" s="9" t="s">
        <v>25</v>
      </c>
      <c r="AE3" s="9" t="s">
        <v>26</v>
      </c>
      <c r="AH3" s="9" t="s">
        <v>27</v>
      </c>
    </row>
    <row r="4" spans="1:35" ht="13">
      <c r="A4" s="1" t="s">
        <v>28</v>
      </c>
      <c r="B4" s="10" t="s">
        <v>29</v>
      </c>
      <c r="C4" s="10" t="s">
        <v>30</v>
      </c>
      <c r="D4" s="10" t="s">
        <v>31</v>
      </c>
      <c r="E4" s="10" t="s">
        <v>32</v>
      </c>
      <c r="F4" s="10" t="s">
        <v>33</v>
      </c>
      <c r="G4" s="10" t="s">
        <v>34</v>
      </c>
      <c r="H4" s="11" t="s">
        <v>35</v>
      </c>
      <c r="I4" s="11" t="s">
        <v>36</v>
      </c>
      <c r="J4" s="12" t="s">
        <v>37</v>
      </c>
      <c r="K4" s="13" t="s">
        <v>38</v>
      </c>
      <c r="L4" s="14" t="s">
        <v>39</v>
      </c>
      <c r="M4" s="15" t="s">
        <v>40</v>
      </c>
      <c r="N4" s="15" t="s">
        <v>41</v>
      </c>
      <c r="O4" s="15" t="s">
        <v>42</v>
      </c>
      <c r="P4" s="16" t="s">
        <v>43</v>
      </c>
      <c r="Q4" s="17">
        <v>2030</v>
      </c>
      <c r="R4" s="16" t="s">
        <v>44</v>
      </c>
      <c r="S4" s="16" t="s">
        <v>45</v>
      </c>
      <c r="T4" s="17" t="s">
        <v>46</v>
      </c>
      <c r="U4" s="11" t="s">
        <v>43</v>
      </c>
      <c r="V4" s="12">
        <v>2030</v>
      </c>
      <c r="W4" s="11" t="s">
        <v>44</v>
      </c>
      <c r="X4" s="11" t="s">
        <v>45</v>
      </c>
      <c r="Y4" s="12" t="s">
        <v>46</v>
      </c>
      <c r="Z4" s="18" t="s">
        <v>43</v>
      </c>
      <c r="AA4" s="1">
        <v>2030</v>
      </c>
      <c r="AB4" s="18" t="s">
        <v>44</v>
      </c>
      <c r="AC4" s="18" t="s">
        <v>45</v>
      </c>
      <c r="AD4" s="1" t="s">
        <v>46</v>
      </c>
      <c r="AE4" s="17" t="s">
        <v>47</v>
      </c>
      <c r="AF4" s="17" t="s">
        <v>48</v>
      </c>
      <c r="AG4" s="17" t="s">
        <v>49</v>
      </c>
      <c r="AH4" s="19" t="s">
        <v>50</v>
      </c>
      <c r="AI4" s="19" t="s">
        <v>51</v>
      </c>
    </row>
    <row r="5" spans="1:35" ht="15">
      <c r="A5" s="2" t="s">
        <v>52</v>
      </c>
      <c r="B5" s="20" t="s">
        <v>53</v>
      </c>
      <c r="C5" s="21">
        <v>6</v>
      </c>
      <c r="D5" s="22">
        <v>197.5</v>
      </c>
      <c r="E5" s="23">
        <f>B188</f>
        <v>12.5</v>
      </c>
      <c r="F5" s="21">
        <v>1.5</v>
      </c>
      <c r="G5" s="24">
        <v>8399</v>
      </c>
      <c r="H5" s="21">
        <f t="shared" ref="H5:H10" si="0">D5/$C5</f>
        <v>32.916666666666664</v>
      </c>
      <c r="I5" s="21">
        <f t="shared" ref="I5:J5" si="1">F5/$C5</f>
        <v>0.25</v>
      </c>
      <c r="J5" s="24">
        <f t="shared" si="1"/>
        <v>1399.8333333333333</v>
      </c>
      <c r="K5" s="21">
        <f t="shared" ref="K5:O5" ca="1" si="2">B168</f>
        <v>4.7674437299035297</v>
      </c>
      <c r="L5" s="21">
        <f t="shared" ca="1" si="2"/>
        <v>6.5246946751343398</v>
      </c>
      <c r="M5" s="21">
        <f t="shared" ca="1" si="2"/>
        <v>8.8829415014681565</v>
      </c>
      <c r="N5" s="21">
        <f t="shared" ca="1" si="2"/>
        <v>8.0968592260235503</v>
      </c>
      <c r="O5" s="21">
        <f t="shared" ca="1" si="2"/>
        <v>7.3107769505789451</v>
      </c>
      <c r="P5" s="25">
        <f t="shared" ref="P5:T5" ca="1" si="3">1/K5</f>
        <v>0.20975601531016608</v>
      </c>
      <c r="Q5" s="25">
        <f t="shared" ca="1" si="3"/>
        <v>0.15326387667012334</v>
      </c>
      <c r="R5" s="25">
        <f t="shared" ca="1" si="3"/>
        <v>0.11257532201858154</v>
      </c>
      <c r="S5" s="25">
        <f t="shared" ca="1" si="3"/>
        <v>0.12350467904715075</v>
      </c>
      <c r="T5" s="25">
        <f t="shared" ca="1" si="3"/>
        <v>0.13678436734700397</v>
      </c>
      <c r="U5" s="26">
        <f t="shared" ref="U5:Y5" si="4">B193*$I5</f>
        <v>1.3025000000000002E-2</v>
      </c>
      <c r="V5" s="26">
        <f t="shared" si="4"/>
        <v>1.0050000000000002E-2</v>
      </c>
      <c r="W5" s="26">
        <f t="shared" si="4"/>
        <v>3.2562500000000005E-3</v>
      </c>
      <c r="X5" s="26">
        <f t="shared" si="4"/>
        <v>5.0250000000000008E-3</v>
      </c>
      <c r="Y5" s="26">
        <f t="shared" si="4"/>
        <v>1.3025000000000002E-2</v>
      </c>
      <c r="Z5" s="27">
        <f t="shared" ref="Z5:Z10" si="5">U5*$F$202</f>
        <v>20.879075000000004</v>
      </c>
      <c r="AA5" s="27">
        <f t="shared" ref="AA5:AA10" si="6">V5*$F$203</f>
        <v>8.1304500000000015</v>
      </c>
      <c r="AB5" s="27">
        <f t="shared" ref="AB5:AB10" si="7">W5*$F$204</f>
        <v>0</v>
      </c>
      <c r="AC5" s="27">
        <f t="shared" ref="AC5:AC10" si="8">X5*$F$205</f>
        <v>5.0250000000000008E-3</v>
      </c>
      <c r="AD5" s="27">
        <f t="shared" ref="AD5:AD10" si="9">Y5*$F$206</f>
        <v>10.537225000000001</v>
      </c>
      <c r="AE5" s="21">
        <f>H5*'LCA results of ventilation syst'!AA$8/$E5</f>
        <v>10.928842184743194</v>
      </c>
      <c r="AF5" s="21">
        <f>$H5*'LCA results of ventilation syst'!AB$8/$E5</f>
        <v>0.77686194924564334</v>
      </c>
      <c r="AG5" s="21">
        <f t="shared" ref="AG5:AG10" si="10">SUM(AE5:AF5)</f>
        <v>11.705704133988839</v>
      </c>
      <c r="AH5" s="28">
        <f>$H5*'LCA results of ventilation syst'!AD$8/$E5</f>
        <v>6.964379533414654E-4</v>
      </c>
      <c r="AI5" s="29">
        <f>$H5*'LCA results of ventilation syst'!AE$8/$E5</f>
        <v>4278.4619089122043</v>
      </c>
    </row>
    <row r="6" spans="1:35" ht="15">
      <c r="A6" s="2" t="s">
        <v>54</v>
      </c>
      <c r="B6" s="20" t="s">
        <v>55</v>
      </c>
      <c r="C6" s="21">
        <v>6</v>
      </c>
      <c r="D6" s="22">
        <v>100</v>
      </c>
      <c r="E6" s="23">
        <f>B188</f>
        <v>12.5</v>
      </c>
      <c r="F6" s="21">
        <v>1.6</v>
      </c>
      <c r="G6" s="24">
        <v>7000</v>
      </c>
      <c r="H6" s="21">
        <f t="shared" si="0"/>
        <v>16.666666666666668</v>
      </c>
      <c r="I6" s="21">
        <f t="shared" ref="I6:J6" si="11">F6/$C6</f>
        <v>0.26666666666666666</v>
      </c>
      <c r="J6" s="24">
        <f t="shared" si="11"/>
        <v>1166.6666666666667</v>
      </c>
      <c r="K6" s="21">
        <f t="shared" ref="K6:O6" ca="1" si="12">B169</f>
        <v>6.1976768488745888</v>
      </c>
      <c r="L6" s="21">
        <f t="shared" ca="1" si="12"/>
        <v>8.4821030776746422</v>
      </c>
      <c r="M6" s="21">
        <f t="shared" ca="1" si="12"/>
        <v>11.547823951908605</v>
      </c>
      <c r="N6" s="21">
        <f t="shared" ca="1" si="12"/>
        <v>10.525916993830617</v>
      </c>
      <c r="O6" s="21">
        <f t="shared" ca="1" si="12"/>
        <v>9.5040100357526285</v>
      </c>
      <c r="P6" s="25">
        <f t="shared" ref="P6:T6" ca="1" si="13">1/K6</f>
        <v>0.16135078100782005</v>
      </c>
      <c r="Q6" s="25">
        <f t="shared" ca="1" si="13"/>
        <v>0.11789528974624873</v>
      </c>
      <c r="R6" s="25">
        <f t="shared" ca="1" si="13"/>
        <v>8.6596401552755026E-2</v>
      </c>
      <c r="S6" s="25">
        <f t="shared" ca="1" si="13"/>
        <v>9.5003599267039024E-2</v>
      </c>
      <c r="T6" s="25">
        <f t="shared" ca="1" si="13"/>
        <v>0.10521874411307999</v>
      </c>
      <c r="U6" s="26">
        <f t="shared" ref="U6:Y6" si="14">B194*$I6</f>
        <v>1.3893333333333336E-2</v>
      </c>
      <c r="V6" s="26">
        <f t="shared" si="14"/>
        <v>1.0720000000000002E-2</v>
      </c>
      <c r="W6" s="26">
        <f t="shared" si="14"/>
        <v>3.4733333333333339E-3</v>
      </c>
      <c r="X6" s="26">
        <f t="shared" si="14"/>
        <v>5.360000000000001E-3</v>
      </c>
      <c r="Y6" s="26">
        <f t="shared" si="14"/>
        <v>1.3893333333333336E-2</v>
      </c>
      <c r="Z6" s="27">
        <f t="shared" si="5"/>
        <v>22.271013333333336</v>
      </c>
      <c r="AA6" s="27">
        <f t="shared" si="6"/>
        <v>8.672480000000002</v>
      </c>
      <c r="AB6" s="27">
        <f t="shared" si="7"/>
        <v>0</v>
      </c>
      <c r="AC6" s="27">
        <f t="shared" si="8"/>
        <v>5.360000000000001E-3</v>
      </c>
      <c r="AD6" s="27">
        <f t="shared" si="9"/>
        <v>11.239706666666669</v>
      </c>
      <c r="AE6" s="21">
        <f>$H6*'LCA results of ventilation syst'!AA$8/$E6</f>
        <v>5.5335909796168075</v>
      </c>
      <c r="AF6" s="21">
        <f>$H6*'LCA results of ventilation syst'!AB$8/$E6</f>
        <v>0.39334782240285743</v>
      </c>
      <c r="AG6" s="21">
        <f t="shared" si="10"/>
        <v>5.9269388020196647</v>
      </c>
      <c r="AH6" s="28">
        <f>$H6*'LCA results of ventilation syst'!AD$8/$E6</f>
        <v>3.5262681181846356E-4</v>
      </c>
      <c r="AI6" s="29">
        <f>$H6*'LCA results of ventilation syst'!AE$8/$E6</f>
        <v>2166.3098272973193</v>
      </c>
    </row>
    <row r="7" spans="1:35" ht="15">
      <c r="A7" s="2" t="s">
        <v>56</v>
      </c>
      <c r="B7" s="20" t="s">
        <v>57</v>
      </c>
      <c r="C7" s="21">
        <v>6.5</v>
      </c>
      <c r="D7" s="22">
        <v>92.35</v>
      </c>
      <c r="E7" s="23">
        <f>B188</f>
        <v>12.5</v>
      </c>
      <c r="F7" s="21">
        <v>1.5</v>
      </c>
      <c r="G7" s="24">
        <v>7209</v>
      </c>
      <c r="H7" s="21">
        <f t="shared" si="0"/>
        <v>14.207692307692307</v>
      </c>
      <c r="I7" s="21">
        <f t="shared" ref="I7:J7" si="15">F7/$C7</f>
        <v>0.23076923076923078</v>
      </c>
      <c r="J7" s="24">
        <f t="shared" si="15"/>
        <v>1109.0769230769231</v>
      </c>
      <c r="K7" s="21">
        <f t="shared" ref="K7:O7" ca="1" si="16">B170</f>
        <v>7.4848866559485421</v>
      </c>
      <c r="L7" s="21">
        <f t="shared" ca="1" si="16"/>
        <v>10.243770639960914</v>
      </c>
      <c r="M7" s="21">
        <f t="shared" ca="1" si="16"/>
        <v>13.946218157305005</v>
      </c>
      <c r="N7" s="21">
        <f t="shared" ca="1" si="16"/>
        <v>12.712068984856975</v>
      </c>
      <c r="O7" s="21">
        <f t="shared" ca="1" si="16"/>
        <v>11.477919812408945</v>
      </c>
      <c r="P7" s="25">
        <f t="shared" ref="P7:T7" ca="1" si="17">1/K7</f>
        <v>0.13360255752239877</v>
      </c>
      <c r="Q7" s="25">
        <f t="shared" ca="1" si="17"/>
        <v>9.762030361154353E-2</v>
      </c>
      <c r="R7" s="25">
        <f t="shared" ca="1" si="17"/>
        <v>7.1704026763427742E-2</v>
      </c>
      <c r="S7" s="25">
        <f t="shared" ca="1" si="17"/>
        <v>7.8665400666974999E-2</v>
      </c>
      <c r="T7" s="25">
        <f t="shared" ca="1" si="17"/>
        <v>8.7123800857964312E-2</v>
      </c>
      <c r="U7" s="26">
        <f t="shared" ref="U7:Y7" si="18">B195*$I7</f>
        <v>1.2023076923076926E-2</v>
      </c>
      <c r="V7" s="26">
        <f t="shared" si="18"/>
        <v>9.2769230769230784E-3</v>
      </c>
      <c r="W7" s="26">
        <f t="shared" si="18"/>
        <v>3.0057692307692316E-3</v>
      </c>
      <c r="X7" s="26">
        <f t="shared" si="18"/>
        <v>4.6384615384615392E-3</v>
      </c>
      <c r="Y7" s="26">
        <f t="shared" si="18"/>
        <v>1.2023076923076926E-2</v>
      </c>
      <c r="Z7" s="27">
        <f t="shared" si="5"/>
        <v>19.272992307692313</v>
      </c>
      <c r="AA7" s="27">
        <f t="shared" si="6"/>
        <v>7.5050307692307703</v>
      </c>
      <c r="AB7" s="27">
        <f t="shared" si="7"/>
        <v>0</v>
      </c>
      <c r="AC7" s="27">
        <f t="shared" si="8"/>
        <v>4.6384615384615392E-3</v>
      </c>
      <c r="AD7" s="27">
        <f t="shared" si="9"/>
        <v>9.7266692307692342</v>
      </c>
      <c r="AE7" s="21">
        <f>$H7*'LCA results of ventilation syst'!AA$8/$E7</f>
        <v>4.7171734797010352</v>
      </c>
      <c r="AF7" s="21">
        <f>$H7*'LCA results of ventilation syst'!AB$8/$E7</f>
        <v>0.33531388983603583</v>
      </c>
      <c r="AG7" s="21">
        <f t="shared" si="10"/>
        <v>5.0524873695370713</v>
      </c>
      <c r="AH7" s="28">
        <f>$H7*'LCA results of ventilation syst'!AD$8/$E7</f>
        <v>3.0060079450555476E-4</v>
      </c>
      <c r="AI7" s="29">
        <f>$H7*'LCA results of ventilation syst'!AE$8/$E7</f>
        <v>1846.6958081622222</v>
      </c>
    </row>
    <row r="8" spans="1:35" ht="15">
      <c r="A8" s="2" t="s">
        <v>58</v>
      </c>
      <c r="B8" s="20" t="s">
        <v>59</v>
      </c>
      <c r="C8" s="22">
        <v>105</v>
      </c>
      <c r="D8" s="22">
        <v>1111</v>
      </c>
      <c r="E8" s="23">
        <f t="shared" ref="E8:E10" si="19">B187</f>
        <v>20</v>
      </c>
      <c r="F8" s="21">
        <v>6</v>
      </c>
      <c r="G8" s="24"/>
      <c r="H8" s="21">
        <f t="shared" si="0"/>
        <v>10.580952380952381</v>
      </c>
      <c r="I8" s="21">
        <f t="shared" ref="I8:I10" si="20">F8/$C8</f>
        <v>5.7142857142857141E-2</v>
      </c>
      <c r="J8" s="24"/>
      <c r="K8" s="21">
        <f t="shared" ref="K8:O8" ca="1" si="21">B171</f>
        <v>4.1031949010183499</v>
      </c>
      <c r="L8" s="21">
        <f t="shared" ca="1" si="21"/>
        <v>4.9877225263706304</v>
      </c>
      <c r="M8" s="21">
        <f t="shared" ca="1" si="21"/>
        <v>6.4882866291595551</v>
      </c>
      <c r="N8" s="21">
        <f t="shared" ca="1" si="21"/>
        <v>5.9880985948965799</v>
      </c>
      <c r="O8" s="21">
        <f t="shared" ca="1" si="21"/>
        <v>5.4879105606336047</v>
      </c>
      <c r="P8" s="25">
        <f t="shared" ref="P8:T8" ca="1" si="22">1/K8</f>
        <v>0.24371252746288394</v>
      </c>
      <c r="Q8" s="25">
        <f t="shared" ca="1" si="22"/>
        <v>0.20049230780439198</v>
      </c>
      <c r="R8" s="25">
        <f t="shared" ca="1" si="22"/>
        <v>0.15412389389608896</v>
      </c>
      <c r="S8" s="25">
        <f t="shared" ca="1" si="22"/>
        <v>0.16699791831287825</v>
      </c>
      <c r="T8" s="25">
        <f t="shared" ca="1" si="22"/>
        <v>0.1822187131060943</v>
      </c>
      <c r="U8" s="26">
        <f t="shared" ref="U8:Y8" si="23">B196*$I8</f>
        <v>5.4914285714285707E-3</v>
      </c>
      <c r="V8" s="26">
        <f t="shared" si="23"/>
        <v>2.297142857142857E-3</v>
      </c>
      <c r="W8" s="26">
        <f t="shared" si="23"/>
        <v>1.3728571428571427E-3</v>
      </c>
      <c r="X8" s="26">
        <f t="shared" si="23"/>
        <v>1.1485714285714285E-3</v>
      </c>
      <c r="Y8" s="26">
        <f t="shared" si="23"/>
        <v>5.4914285714285707E-3</v>
      </c>
      <c r="Z8" s="27">
        <f t="shared" si="5"/>
        <v>8.8027599999999993</v>
      </c>
      <c r="AA8" s="27">
        <f t="shared" si="6"/>
        <v>1.8583885714285713</v>
      </c>
      <c r="AB8" s="27">
        <f t="shared" si="7"/>
        <v>0</v>
      </c>
      <c r="AC8" s="27">
        <f t="shared" si="8"/>
        <v>1.1485714285714285E-3</v>
      </c>
      <c r="AD8" s="27">
        <f t="shared" si="9"/>
        <v>4.4425657142857133</v>
      </c>
      <c r="AE8" s="21">
        <f>$H8*'LCA results of ventilation syst'!AA$8/$E8</f>
        <v>2.1956498494122405</v>
      </c>
      <c r="AF8" s="21">
        <f>$H8*'LCA results of ventilation syst'!AB$8/$E8</f>
        <v>0.15607479667484808</v>
      </c>
      <c r="AG8" s="21">
        <f t="shared" si="10"/>
        <v>2.3517246460870886</v>
      </c>
      <c r="AH8" s="28">
        <f>$H8*'LCA results of ventilation syst'!AD$8/$E8</f>
        <v>1.3991728140368319E-4</v>
      </c>
      <c r="AI8" s="29">
        <f>$H8*'LCA results of ventilation syst'!AE$8/$E8</f>
        <v>859.56079218832906</v>
      </c>
    </row>
    <row r="9" spans="1:35" ht="15">
      <c r="A9" s="2" t="s">
        <v>60</v>
      </c>
      <c r="B9" s="20" t="s">
        <v>61</v>
      </c>
      <c r="C9" s="21">
        <v>3.5</v>
      </c>
      <c r="D9" s="22">
        <v>40</v>
      </c>
      <c r="E9" s="23">
        <f t="shared" si="19"/>
        <v>12.5</v>
      </c>
      <c r="F9" s="21">
        <v>0.77</v>
      </c>
      <c r="G9" s="24">
        <v>1049</v>
      </c>
      <c r="H9" s="21">
        <f t="shared" si="0"/>
        <v>11.428571428571429</v>
      </c>
      <c r="I9" s="21">
        <f t="shared" si="20"/>
        <v>0.22</v>
      </c>
      <c r="J9" s="24">
        <f t="shared" ref="J9:J10" si="24">G9/$C9</f>
        <v>299.71428571428572</v>
      </c>
      <c r="K9" s="21">
        <f t="shared" ref="K9:O9" ca="1" si="25">B172</f>
        <v>4.7674437299035297</v>
      </c>
      <c r="L9" s="21">
        <f t="shared" ca="1" si="25"/>
        <v>6.5246946751343398</v>
      </c>
      <c r="M9" s="21">
        <f t="shared" ca="1" si="25"/>
        <v>8.8829415014681565</v>
      </c>
      <c r="N9" s="21">
        <f t="shared" ca="1" si="25"/>
        <v>8.0968592260235503</v>
      </c>
      <c r="O9" s="21">
        <f t="shared" ca="1" si="25"/>
        <v>7.3107769505789451</v>
      </c>
      <c r="P9" s="25">
        <f t="shared" ref="P9:T9" ca="1" si="26">1/K9</f>
        <v>0.20975601531016608</v>
      </c>
      <c r="Q9" s="25">
        <f t="shared" ca="1" si="26"/>
        <v>0.15326387667012334</v>
      </c>
      <c r="R9" s="25">
        <f t="shared" ca="1" si="26"/>
        <v>0.11257532201858154</v>
      </c>
      <c r="S9" s="25">
        <f t="shared" ca="1" si="26"/>
        <v>0.12350467904715075</v>
      </c>
      <c r="T9" s="25">
        <f t="shared" ca="1" si="26"/>
        <v>0.13678436734700397</v>
      </c>
      <c r="U9" s="26">
        <f t="shared" ref="U9:Y9" si="27">B197*$I9</f>
        <v>1.1462000000000002E-2</v>
      </c>
      <c r="V9" s="26">
        <f t="shared" si="27"/>
        <v>8.8440000000000012E-3</v>
      </c>
      <c r="W9" s="26">
        <f t="shared" si="27"/>
        <v>2.8655000000000004E-3</v>
      </c>
      <c r="X9" s="26">
        <f t="shared" si="27"/>
        <v>4.4220000000000006E-3</v>
      </c>
      <c r="Y9" s="26">
        <f t="shared" si="27"/>
        <v>1.1462000000000002E-2</v>
      </c>
      <c r="Z9" s="27">
        <f t="shared" si="5"/>
        <v>18.373586000000003</v>
      </c>
      <c r="AA9" s="27">
        <f t="shared" si="6"/>
        <v>7.154796000000001</v>
      </c>
      <c r="AB9" s="27">
        <f t="shared" si="7"/>
        <v>0</v>
      </c>
      <c r="AC9" s="27">
        <f t="shared" si="8"/>
        <v>4.4220000000000006E-3</v>
      </c>
      <c r="AD9" s="27">
        <f t="shared" si="9"/>
        <v>9.2727580000000014</v>
      </c>
      <c r="AE9" s="21">
        <f>$H9*'LCA results of ventilation syst'!AA$8/$E9</f>
        <v>3.7944623860229534</v>
      </c>
      <c r="AF9" s="21">
        <f>$H9*'LCA results of ventilation syst'!AB$8/$E9</f>
        <v>0.26972422107624511</v>
      </c>
      <c r="AG9" s="21">
        <f t="shared" si="10"/>
        <v>4.0641866070991988</v>
      </c>
      <c r="AH9" s="28">
        <f>$H9*'LCA results of ventilation syst'!AD$8/$E9</f>
        <v>2.4180124238980353E-4</v>
      </c>
      <c r="AI9" s="29">
        <f>$H9*'LCA results of ventilation syst'!AE$8/$E9</f>
        <v>1485.4695958610187</v>
      </c>
    </row>
    <row r="10" spans="1:35" ht="15">
      <c r="A10" s="2" t="s">
        <v>62</v>
      </c>
      <c r="B10" s="20" t="s">
        <v>63</v>
      </c>
      <c r="C10" s="21">
        <v>2.637</v>
      </c>
      <c r="D10" s="22">
        <v>27</v>
      </c>
      <c r="E10" s="23">
        <f t="shared" si="19"/>
        <v>12</v>
      </c>
      <c r="F10" s="21">
        <v>0.19</v>
      </c>
      <c r="G10" s="24">
        <v>159.94999999999999</v>
      </c>
      <c r="H10" s="21">
        <f t="shared" si="0"/>
        <v>10.238907849829351</v>
      </c>
      <c r="I10" s="21">
        <f t="shared" si="20"/>
        <v>7.2051573758058401E-2</v>
      </c>
      <c r="J10" s="24">
        <f t="shared" si="24"/>
        <v>60.656048540007582</v>
      </c>
      <c r="K10" s="21">
        <f t="shared" ref="K10:O10" si="28">B173</f>
        <v>2.5</v>
      </c>
      <c r="L10" s="21">
        <f t="shared" si="28"/>
        <v>2.9</v>
      </c>
      <c r="M10" s="21">
        <f t="shared" si="28"/>
        <v>4.1000000000000005</v>
      </c>
      <c r="N10" s="21">
        <f t="shared" si="28"/>
        <v>3.7</v>
      </c>
      <c r="O10" s="21">
        <f t="shared" si="28"/>
        <v>3.3</v>
      </c>
      <c r="P10" s="25">
        <f t="shared" ref="P10:T10" si="29">1/K10</f>
        <v>0.4</v>
      </c>
      <c r="Q10" s="25">
        <f t="shared" si="29"/>
        <v>0.34482758620689657</v>
      </c>
      <c r="R10" s="25">
        <f t="shared" si="29"/>
        <v>0.24390243902439021</v>
      </c>
      <c r="S10" s="25">
        <f t="shared" si="29"/>
        <v>0.27027027027027023</v>
      </c>
      <c r="T10" s="25">
        <f t="shared" si="29"/>
        <v>0.30303030303030304</v>
      </c>
      <c r="U10" s="26">
        <f t="shared" ref="U10:Y10" si="30">B198*$I10</f>
        <v>1.6842055365946153E-2</v>
      </c>
      <c r="V10" s="26">
        <f t="shared" si="30"/>
        <v>1.3239476678043231E-2</v>
      </c>
      <c r="W10" s="26">
        <f t="shared" si="30"/>
        <v>4.2105138414865384E-3</v>
      </c>
      <c r="X10" s="26">
        <f t="shared" si="30"/>
        <v>6.6197383390216155E-3</v>
      </c>
      <c r="Y10" s="26">
        <f t="shared" si="30"/>
        <v>1.6842055365946153E-2</v>
      </c>
      <c r="Z10" s="27">
        <f t="shared" si="5"/>
        <v>26.997814751611685</v>
      </c>
      <c r="AA10" s="27">
        <f t="shared" si="6"/>
        <v>10.710736632536975</v>
      </c>
      <c r="AB10" s="27">
        <f t="shared" si="7"/>
        <v>0</v>
      </c>
      <c r="AC10" s="27">
        <f t="shared" si="8"/>
        <v>6.6197383390216155E-3</v>
      </c>
      <c r="AD10" s="27">
        <f t="shared" si="9"/>
        <v>13.625222791050438</v>
      </c>
      <c r="AE10" s="21">
        <f>$H10*'LCA results of ventilation syst'!AA$8/$E10</f>
        <v>3.541120507433964</v>
      </c>
      <c r="AF10" s="21">
        <f>$H10*'LCA results of ventilation syst'!AB$8/$E10</f>
        <v>0.25171575665711865</v>
      </c>
      <c r="AG10" s="21">
        <f t="shared" si="10"/>
        <v>3.7928362640910827</v>
      </c>
      <c r="AH10" s="28">
        <f>$H10*'LCA results of ventilation syst'!AD$8/$E10</f>
        <v>2.256570894742727E-4</v>
      </c>
      <c r="AI10" s="29">
        <f>$H10*'LCA results of ventilation syst'!AE$8/$E10</f>
        <v>1386.2904184923116</v>
      </c>
    </row>
    <row r="13" spans="1:35" ht="13">
      <c r="A13" s="2" t="s">
        <v>64</v>
      </c>
      <c r="I13" s="2" t="s">
        <v>65</v>
      </c>
      <c r="R13" s="2" t="s">
        <v>66</v>
      </c>
      <c r="Z13" s="2" t="s">
        <v>67</v>
      </c>
    </row>
    <row r="14" spans="1:35" ht="13">
      <c r="A14" s="1" t="s">
        <v>68</v>
      </c>
      <c r="B14" s="1" t="s">
        <v>69</v>
      </c>
      <c r="C14" s="1" t="s">
        <v>70</v>
      </c>
      <c r="D14" s="1" t="s">
        <v>71</v>
      </c>
      <c r="E14" s="1" t="s">
        <v>72</v>
      </c>
      <c r="F14" s="1" t="s">
        <v>73</v>
      </c>
      <c r="G14" s="1" t="s">
        <v>74</v>
      </c>
      <c r="I14" s="1" t="s">
        <v>68</v>
      </c>
      <c r="J14" s="1" t="s">
        <v>69</v>
      </c>
      <c r="K14" s="1" t="s">
        <v>70</v>
      </c>
      <c r="L14" s="1" t="s">
        <v>71</v>
      </c>
      <c r="M14" s="1" t="s">
        <v>72</v>
      </c>
      <c r="N14" s="1" t="s">
        <v>73</v>
      </c>
      <c r="O14" s="1" t="s">
        <v>74</v>
      </c>
      <c r="R14" s="1" t="s">
        <v>68</v>
      </c>
      <c r="S14" s="1" t="s">
        <v>69</v>
      </c>
      <c r="T14" s="1" t="s">
        <v>70</v>
      </c>
      <c r="U14" s="1" t="s">
        <v>71</v>
      </c>
      <c r="V14" s="1" t="s">
        <v>72</v>
      </c>
      <c r="W14" s="1" t="s">
        <v>73</v>
      </c>
      <c r="X14" s="1" t="s">
        <v>74</v>
      </c>
      <c r="Z14" s="1" t="s">
        <v>28</v>
      </c>
      <c r="AA14" s="1" t="s">
        <v>29</v>
      </c>
      <c r="AB14" s="1" t="s">
        <v>31</v>
      </c>
      <c r="AC14" s="1" t="s">
        <v>32</v>
      </c>
      <c r="AD14" s="1" t="s">
        <v>75</v>
      </c>
      <c r="AE14" s="17" t="s">
        <v>47</v>
      </c>
      <c r="AF14" s="17" t="s">
        <v>48</v>
      </c>
      <c r="AG14" s="19" t="s">
        <v>76</v>
      </c>
      <c r="AH14" s="19" t="s">
        <v>77</v>
      </c>
    </row>
    <row r="15" spans="1:35" ht="15">
      <c r="A15" s="2">
        <v>1</v>
      </c>
      <c r="B15" s="2" t="s">
        <v>78</v>
      </c>
      <c r="C15" s="21">
        <f t="shared" ref="C15:C20" si="31">H5</f>
        <v>32.916666666666664</v>
      </c>
      <c r="D15" s="23">
        <f t="shared" ref="D15:D20" si="32">E5</f>
        <v>12.5</v>
      </c>
      <c r="E15" s="21">
        <f t="shared" ref="E15:E20" ca="1" si="33">K5</f>
        <v>4.7674437299035297</v>
      </c>
      <c r="F15" s="21">
        <f t="shared" ref="F15:F20" si="34">I5</f>
        <v>0.25</v>
      </c>
      <c r="G15" s="25">
        <f t="shared" ref="G15:G20" si="35">B193</f>
        <v>5.2100000000000007E-2</v>
      </c>
      <c r="I15" s="2">
        <v>1</v>
      </c>
      <c r="J15" s="2" t="s">
        <v>78</v>
      </c>
      <c r="K15" s="21">
        <f t="shared" ref="K15:K20" si="36">H5</f>
        <v>32.916666666666664</v>
      </c>
      <c r="L15" s="23">
        <f t="shared" ref="L15:L20" si="37">E5</f>
        <v>12.5</v>
      </c>
      <c r="M15" s="21">
        <f t="shared" ref="M15:M20" ca="1" si="38">M5</f>
        <v>8.8829415014681565</v>
      </c>
      <c r="N15" s="21">
        <f t="shared" ref="N15:N20" si="39">I5</f>
        <v>0.25</v>
      </c>
      <c r="O15" s="25">
        <f t="shared" ref="O15:O20" si="40">D193</f>
        <v>1.3025000000000002E-2</v>
      </c>
      <c r="R15" s="2">
        <v>1</v>
      </c>
      <c r="S15" s="2" t="s">
        <v>78</v>
      </c>
      <c r="T15" s="21">
        <f t="shared" ref="T15:T20" si="41">H5</f>
        <v>32.916666666666664</v>
      </c>
      <c r="U15" s="23">
        <f t="shared" ref="U15:U20" si="42">E5</f>
        <v>12.5</v>
      </c>
      <c r="V15" s="21">
        <f t="shared" ref="V15:V20" ca="1" si="43">O5</f>
        <v>7.3107769505789451</v>
      </c>
      <c r="W15" s="21">
        <f t="shared" ref="W15:W20" si="44">I5</f>
        <v>0.25</v>
      </c>
      <c r="X15" s="25">
        <f t="shared" ref="X15:X20" si="45">F193</f>
        <v>5.2100000000000007E-2</v>
      </c>
      <c r="Z15" s="2" t="s">
        <v>52</v>
      </c>
      <c r="AA15" s="20" t="s">
        <v>53</v>
      </c>
      <c r="AB15" s="6">
        <v>197.5</v>
      </c>
      <c r="AC15" s="6">
        <f t="shared" ref="AC15:AC20" si="46">E5</f>
        <v>12.5</v>
      </c>
      <c r="AD15" s="23">
        <f t="shared" ref="AD15:AD20" si="47">C5</f>
        <v>6</v>
      </c>
      <c r="AE15" s="23">
        <f t="shared" ref="AE15:AF15" si="48">AE5</f>
        <v>10.928842184743194</v>
      </c>
      <c r="AF15" s="25">
        <f t="shared" si="48"/>
        <v>0.77686194924564334</v>
      </c>
      <c r="AG15" s="30">
        <f t="shared" ref="AG15:AH15" si="49">AH5</f>
        <v>6.964379533414654E-4</v>
      </c>
      <c r="AH15" s="6">
        <f t="shared" si="49"/>
        <v>4278.4619089122043</v>
      </c>
    </row>
    <row r="16" spans="1:35" ht="15">
      <c r="A16" s="2">
        <v>2</v>
      </c>
      <c r="B16" s="2" t="s">
        <v>79</v>
      </c>
      <c r="C16" s="21">
        <f t="shared" si="31"/>
        <v>16.666666666666668</v>
      </c>
      <c r="D16" s="23">
        <f t="shared" si="32"/>
        <v>12.5</v>
      </c>
      <c r="E16" s="21">
        <f t="shared" ca="1" si="33"/>
        <v>6.1976768488745888</v>
      </c>
      <c r="F16" s="21">
        <f t="shared" si="34"/>
        <v>0.26666666666666666</v>
      </c>
      <c r="G16" s="25">
        <f t="shared" si="35"/>
        <v>5.2100000000000007E-2</v>
      </c>
      <c r="I16" s="2">
        <v>2</v>
      </c>
      <c r="J16" s="2" t="s">
        <v>79</v>
      </c>
      <c r="K16" s="21">
        <f t="shared" si="36"/>
        <v>16.666666666666668</v>
      </c>
      <c r="L16" s="23">
        <f t="shared" si="37"/>
        <v>12.5</v>
      </c>
      <c r="M16" s="21">
        <f t="shared" ca="1" si="38"/>
        <v>11.547823951908605</v>
      </c>
      <c r="N16" s="21">
        <f t="shared" si="39"/>
        <v>0.26666666666666666</v>
      </c>
      <c r="O16" s="25">
        <f t="shared" si="40"/>
        <v>1.3025000000000002E-2</v>
      </c>
      <c r="R16" s="2">
        <v>2</v>
      </c>
      <c r="S16" s="2" t="s">
        <v>79</v>
      </c>
      <c r="T16" s="21">
        <f t="shared" si="41"/>
        <v>16.666666666666668</v>
      </c>
      <c r="U16" s="23">
        <f t="shared" si="42"/>
        <v>12.5</v>
      </c>
      <c r="V16" s="21">
        <f t="shared" ca="1" si="43"/>
        <v>9.5040100357526285</v>
      </c>
      <c r="W16" s="21">
        <f t="shared" si="44"/>
        <v>0.26666666666666666</v>
      </c>
      <c r="X16" s="25">
        <f t="shared" si="45"/>
        <v>5.2100000000000007E-2</v>
      </c>
      <c r="Z16" s="2" t="s">
        <v>54</v>
      </c>
      <c r="AA16" s="20" t="s">
        <v>55</v>
      </c>
      <c r="AB16" s="6">
        <v>100</v>
      </c>
      <c r="AC16" s="6">
        <f t="shared" si="46"/>
        <v>12.5</v>
      </c>
      <c r="AD16" s="23">
        <f t="shared" si="47"/>
        <v>6</v>
      </c>
      <c r="AE16" s="23">
        <f t="shared" ref="AE16:AF16" si="50">AE6</f>
        <v>5.5335909796168075</v>
      </c>
      <c r="AF16" s="25">
        <f t="shared" si="50"/>
        <v>0.39334782240285743</v>
      </c>
      <c r="AG16" s="30">
        <f t="shared" ref="AG16:AH16" si="51">AH6</f>
        <v>3.5262681181846356E-4</v>
      </c>
      <c r="AH16" s="6">
        <f t="shared" si="51"/>
        <v>2166.3098272973193</v>
      </c>
    </row>
    <row r="17" spans="1:35" ht="15">
      <c r="A17" s="2">
        <v>3</v>
      </c>
      <c r="B17" s="2" t="s">
        <v>80</v>
      </c>
      <c r="C17" s="21">
        <f t="shared" si="31"/>
        <v>14.207692307692307</v>
      </c>
      <c r="D17" s="23">
        <f t="shared" si="32"/>
        <v>12.5</v>
      </c>
      <c r="E17" s="21">
        <f t="shared" ca="1" si="33"/>
        <v>7.4848866559485421</v>
      </c>
      <c r="F17" s="21">
        <f t="shared" si="34"/>
        <v>0.23076923076923078</v>
      </c>
      <c r="G17" s="25">
        <f t="shared" si="35"/>
        <v>5.2100000000000007E-2</v>
      </c>
      <c r="I17" s="2">
        <v>3</v>
      </c>
      <c r="J17" s="2" t="s">
        <v>80</v>
      </c>
      <c r="K17" s="21">
        <f t="shared" si="36"/>
        <v>14.207692307692307</v>
      </c>
      <c r="L17" s="23">
        <f t="shared" si="37"/>
        <v>12.5</v>
      </c>
      <c r="M17" s="21">
        <f t="shared" ca="1" si="38"/>
        <v>13.946218157305005</v>
      </c>
      <c r="N17" s="21">
        <f t="shared" si="39"/>
        <v>0.23076923076923078</v>
      </c>
      <c r="O17" s="25">
        <f t="shared" si="40"/>
        <v>1.3025000000000002E-2</v>
      </c>
      <c r="R17" s="2">
        <v>3</v>
      </c>
      <c r="S17" s="2" t="s">
        <v>80</v>
      </c>
      <c r="T17" s="21">
        <f t="shared" si="41"/>
        <v>14.207692307692307</v>
      </c>
      <c r="U17" s="23">
        <f t="shared" si="42"/>
        <v>12.5</v>
      </c>
      <c r="V17" s="21">
        <f t="shared" ca="1" si="43"/>
        <v>11.477919812408945</v>
      </c>
      <c r="W17" s="21">
        <f t="shared" si="44"/>
        <v>0.23076923076923078</v>
      </c>
      <c r="X17" s="25">
        <f t="shared" si="45"/>
        <v>5.2100000000000007E-2</v>
      </c>
      <c r="Z17" s="2" t="s">
        <v>56</v>
      </c>
      <c r="AA17" s="20" t="s">
        <v>57</v>
      </c>
      <c r="AB17" s="6">
        <v>92.35</v>
      </c>
      <c r="AC17" s="6">
        <f t="shared" si="46"/>
        <v>12.5</v>
      </c>
      <c r="AD17" s="23">
        <f t="shared" si="47"/>
        <v>6.5</v>
      </c>
      <c r="AE17" s="23">
        <f t="shared" ref="AE17:AF17" si="52">AE7</f>
        <v>4.7171734797010352</v>
      </c>
      <c r="AF17" s="25">
        <f t="shared" si="52"/>
        <v>0.33531388983603583</v>
      </c>
      <c r="AG17" s="30">
        <f t="shared" ref="AG17:AH17" si="53">AH7</f>
        <v>3.0060079450555476E-4</v>
      </c>
      <c r="AH17" s="6">
        <f t="shared" si="53"/>
        <v>1846.6958081622222</v>
      </c>
    </row>
    <row r="18" spans="1:35" ht="15">
      <c r="A18" s="2">
        <v>4</v>
      </c>
      <c r="B18" s="2" t="s">
        <v>81</v>
      </c>
      <c r="C18" s="21">
        <f t="shared" si="31"/>
        <v>10.580952380952381</v>
      </c>
      <c r="D18" s="23">
        <f t="shared" si="32"/>
        <v>20</v>
      </c>
      <c r="E18" s="21">
        <f t="shared" ca="1" si="33"/>
        <v>4.1031949010183499</v>
      </c>
      <c r="F18" s="21">
        <f t="shared" si="34"/>
        <v>5.7142857142857141E-2</v>
      </c>
      <c r="G18" s="25">
        <f t="shared" si="35"/>
        <v>9.6099999999999991E-2</v>
      </c>
      <c r="I18" s="2">
        <v>4</v>
      </c>
      <c r="J18" s="2" t="s">
        <v>81</v>
      </c>
      <c r="K18" s="21">
        <f t="shared" si="36"/>
        <v>10.580952380952381</v>
      </c>
      <c r="L18" s="23">
        <f t="shared" si="37"/>
        <v>20</v>
      </c>
      <c r="M18" s="21">
        <f t="shared" ca="1" si="38"/>
        <v>6.4882866291595551</v>
      </c>
      <c r="N18" s="21">
        <f t="shared" si="39"/>
        <v>5.7142857142857141E-2</v>
      </c>
      <c r="O18" s="25">
        <f t="shared" si="40"/>
        <v>2.4024999999999998E-2</v>
      </c>
      <c r="R18" s="2">
        <v>4</v>
      </c>
      <c r="S18" s="2" t="s">
        <v>81</v>
      </c>
      <c r="T18" s="21">
        <f t="shared" si="41"/>
        <v>10.580952380952381</v>
      </c>
      <c r="U18" s="23">
        <f t="shared" si="42"/>
        <v>20</v>
      </c>
      <c r="V18" s="21">
        <f t="shared" ca="1" si="43"/>
        <v>5.4879105606336047</v>
      </c>
      <c r="W18" s="21">
        <f t="shared" si="44"/>
        <v>5.7142857142857141E-2</v>
      </c>
      <c r="X18" s="25">
        <f t="shared" si="45"/>
        <v>9.6099999999999991E-2</v>
      </c>
      <c r="Z18" s="2" t="s">
        <v>58</v>
      </c>
      <c r="AA18" s="20" t="s">
        <v>59</v>
      </c>
      <c r="AB18" s="6">
        <v>1111</v>
      </c>
      <c r="AC18" s="6">
        <f t="shared" si="46"/>
        <v>20</v>
      </c>
      <c r="AD18" s="23">
        <f t="shared" si="47"/>
        <v>105</v>
      </c>
      <c r="AE18" s="23">
        <f t="shared" ref="AE18:AF18" si="54">AE8</f>
        <v>2.1956498494122405</v>
      </c>
      <c r="AF18" s="25">
        <f t="shared" si="54"/>
        <v>0.15607479667484808</v>
      </c>
      <c r="AG18" s="30">
        <f t="shared" ref="AG18:AH18" si="55">AH8</f>
        <v>1.3991728140368319E-4</v>
      </c>
      <c r="AH18" s="6">
        <f t="shared" si="55"/>
        <v>859.56079218832906</v>
      </c>
    </row>
    <row r="19" spans="1:35" ht="15">
      <c r="A19" s="2">
        <v>5</v>
      </c>
      <c r="B19" s="2" t="s">
        <v>82</v>
      </c>
      <c r="C19" s="21">
        <f t="shared" si="31"/>
        <v>11.428571428571429</v>
      </c>
      <c r="D19" s="23">
        <f t="shared" si="32"/>
        <v>12.5</v>
      </c>
      <c r="E19" s="21">
        <f t="shared" ca="1" si="33"/>
        <v>4.7674437299035297</v>
      </c>
      <c r="F19" s="21">
        <f t="shared" si="34"/>
        <v>0.22</v>
      </c>
      <c r="G19" s="25">
        <f t="shared" si="35"/>
        <v>5.2100000000000007E-2</v>
      </c>
      <c r="I19" s="2">
        <v>5</v>
      </c>
      <c r="J19" s="2" t="s">
        <v>82</v>
      </c>
      <c r="K19" s="21">
        <f t="shared" si="36"/>
        <v>11.428571428571429</v>
      </c>
      <c r="L19" s="23">
        <f t="shared" si="37"/>
        <v>12.5</v>
      </c>
      <c r="M19" s="21">
        <f t="shared" ca="1" si="38"/>
        <v>8.8829415014681565</v>
      </c>
      <c r="N19" s="21">
        <f t="shared" si="39"/>
        <v>0.22</v>
      </c>
      <c r="O19" s="25">
        <f t="shared" si="40"/>
        <v>1.3025000000000002E-2</v>
      </c>
      <c r="R19" s="2">
        <v>5</v>
      </c>
      <c r="S19" s="2" t="s">
        <v>82</v>
      </c>
      <c r="T19" s="21">
        <f t="shared" si="41"/>
        <v>11.428571428571429</v>
      </c>
      <c r="U19" s="23">
        <f t="shared" si="42"/>
        <v>12.5</v>
      </c>
      <c r="V19" s="21">
        <f t="shared" ca="1" si="43"/>
        <v>7.3107769505789451</v>
      </c>
      <c r="W19" s="21">
        <f t="shared" si="44"/>
        <v>0.22</v>
      </c>
      <c r="X19" s="25">
        <f t="shared" si="45"/>
        <v>5.2100000000000007E-2</v>
      </c>
      <c r="Z19" s="2" t="s">
        <v>60</v>
      </c>
      <c r="AA19" s="20" t="s">
        <v>61</v>
      </c>
      <c r="AB19" s="6">
        <v>40</v>
      </c>
      <c r="AC19" s="6">
        <f t="shared" si="46"/>
        <v>12.5</v>
      </c>
      <c r="AD19" s="23">
        <f t="shared" si="47"/>
        <v>3.5</v>
      </c>
      <c r="AE19" s="23">
        <f t="shared" ref="AE19:AF19" si="56">AE9</f>
        <v>3.7944623860229534</v>
      </c>
      <c r="AF19" s="25">
        <f t="shared" si="56"/>
        <v>0.26972422107624511</v>
      </c>
      <c r="AG19" s="30">
        <f t="shared" ref="AG19:AH19" si="57">AH9</f>
        <v>2.4180124238980353E-4</v>
      </c>
      <c r="AH19" s="6">
        <f t="shared" si="57"/>
        <v>1485.4695958610187</v>
      </c>
    </row>
    <row r="20" spans="1:35" ht="15">
      <c r="A20" s="2">
        <v>6</v>
      </c>
      <c r="B20" s="2" t="s">
        <v>83</v>
      </c>
      <c r="C20" s="21">
        <f t="shared" si="31"/>
        <v>10.238907849829351</v>
      </c>
      <c r="D20" s="23">
        <f t="shared" si="32"/>
        <v>12</v>
      </c>
      <c r="E20" s="21">
        <f t="shared" si="33"/>
        <v>2.5</v>
      </c>
      <c r="F20" s="21">
        <f t="shared" si="34"/>
        <v>7.2051573758058401E-2</v>
      </c>
      <c r="G20" s="25">
        <f t="shared" si="35"/>
        <v>0.23375000000000001</v>
      </c>
      <c r="I20" s="2">
        <v>6</v>
      </c>
      <c r="J20" s="2" t="s">
        <v>83</v>
      </c>
      <c r="K20" s="21">
        <f t="shared" si="36"/>
        <v>10.238907849829351</v>
      </c>
      <c r="L20" s="23">
        <f t="shared" si="37"/>
        <v>12</v>
      </c>
      <c r="M20" s="21">
        <f t="shared" si="38"/>
        <v>4.1000000000000005</v>
      </c>
      <c r="N20" s="21">
        <f t="shared" si="39"/>
        <v>7.2051573758058401E-2</v>
      </c>
      <c r="O20" s="25">
        <f t="shared" si="40"/>
        <v>5.8437500000000003E-2</v>
      </c>
      <c r="R20" s="2">
        <v>6</v>
      </c>
      <c r="S20" s="2" t="s">
        <v>83</v>
      </c>
      <c r="T20" s="21">
        <f t="shared" si="41"/>
        <v>10.238907849829351</v>
      </c>
      <c r="U20" s="23">
        <f t="shared" si="42"/>
        <v>12</v>
      </c>
      <c r="V20" s="21">
        <f t="shared" si="43"/>
        <v>3.3</v>
      </c>
      <c r="W20" s="21">
        <f t="shared" si="44"/>
        <v>7.2051573758058401E-2</v>
      </c>
      <c r="X20" s="25">
        <f t="shared" si="45"/>
        <v>0.23375000000000001</v>
      </c>
      <c r="Z20" s="2" t="s">
        <v>62</v>
      </c>
      <c r="AA20" s="20" t="s">
        <v>63</v>
      </c>
      <c r="AB20" s="6">
        <v>27</v>
      </c>
      <c r="AC20" s="6">
        <f t="shared" si="46"/>
        <v>12</v>
      </c>
      <c r="AD20" s="23">
        <f t="shared" si="47"/>
        <v>2.637</v>
      </c>
      <c r="AE20" s="23">
        <f t="shared" ref="AE20:AF20" si="58">AE10</f>
        <v>3.541120507433964</v>
      </c>
      <c r="AF20" s="25">
        <f t="shared" si="58"/>
        <v>0.25171575665711865</v>
      </c>
      <c r="AG20" s="30">
        <f t="shared" ref="AG20:AH20" si="59">AH10</f>
        <v>2.256570894742727E-4</v>
      </c>
      <c r="AH20" s="6">
        <f t="shared" si="59"/>
        <v>1386.2904184923116</v>
      </c>
    </row>
    <row r="22" spans="1:35" ht="13">
      <c r="A22" s="2" t="s">
        <v>84</v>
      </c>
      <c r="I22" s="2" t="s">
        <v>85</v>
      </c>
    </row>
    <row r="23" spans="1:35" ht="13">
      <c r="A23" s="1" t="s">
        <v>68</v>
      </c>
      <c r="B23" s="1" t="s">
        <v>69</v>
      </c>
      <c r="C23" s="1" t="s">
        <v>70</v>
      </c>
      <c r="D23" s="1" t="s">
        <v>71</v>
      </c>
      <c r="E23" s="1" t="s">
        <v>72</v>
      </c>
      <c r="F23" s="1" t="s">
        <v>73</v>
      </c>
      <c r="G23" s="1" t="s">
        <v>74</v>
      </c>
      <c r="I23" s="1" t="s">
        <v>68</v>
      </c>
      <c r="J23" s="1" t="s">
        <v>69</v>
      </c>
      <c r="K23" s="1" t="s">
        <v>70</v>
      </c>
      <c r="L23" s="1" t="s">
        <v>71</v>
      </c>
      <c r="M23" s="1" t="s">
        <v>72</v>
      </c>
      <c r="N23" s="1" t="s">
        <v>73</v>
      </c>
      <c r="O23" s="1" t="s">
        <v>74</v>
      </c>
    </row>
    <row r="24" spans="1:35" ht="13">
      <c r="A24" s="2">
        <v>1</v>
      </c>
      <c r="B24" s="2" t="s">
        <v>78</v>
      </c>
      <c r="C24" s="21">
        <f t="shared" ref="C24:C29" si="60">H5</f>
        <v>32.916666666666664</v>
      </c>
      <c r="D24" s="23">
        <f t="shared" ref="D24:D29" si="61">E5</f>
        <v>12.5</v>
      </c>
      <c r="E24" s="21">
        <f t="shared" ref="E24:E29" ca="1" si="62">L5</f>
        <v>6.5246946751343398</v>
      </c>
      <c r="F24" s="21">
        <f t="shared" ref="F24:F29" si="63">I5</f>
        <v>0.25</v>
      </c>
      <c r="G24" s="25">
        <f t="shared" ref="G24:G29" si="64">C193</f>
        <v>4.0200000000000007E-2</v>
      </c>
      <c r="I24" s="2">
        <v>1</v>
      </c>
      <c r="J24" s="2" t="s">
        <v>78</v>
      </c>
      <c r="K24" s="21">
        <f t="shared" ref="K24:K29" si="65">H5</f>
        <v>32.916666666666664</v>
      </c>
      <c r="L24" s="23">
        <f t="shared" ref="L24:L29" si="66">E5</f>
        <v>12.5</v>
      </c>
      <c r="M24" s="21">
        <f t="shared" ref="M24:M29" ca="1" si="67">N5</f>
        <v>8.0968592260235503</v>
      </c>
      <c r="N24" s="21">
        <f t="shared" ref="N24:N29" si="68">I5</f>
        <v>0.25</v>
      </c>
      <c r="O24" s="25">
        <f t="shared" ref="O24:O29" si="69">E193</f>
        <v>2.0100000000000003E-2</v>
      </c>
    </row>
    <row r="25" spans="1:35" ht="13">
      <c r="A25" s="2">
        <v>2</v>
      </c>
      <c r="B25" s="2" t="s">
        <v>79</v>
      </c>
      <c r="C25" s="21">
        <f t="shared" si="60"/>
        <v>16.666666666666668</v>
      </c>
      <c r="D25" s="23">
        <f t="shared" si="61"/>
        <v>12.5</v>
      </c>
      <c r="E25" s="21">
        <f t="shared" ca="1" si="62"/>
        <v>8.4821030776746422</v>
      </c>
      <c r="F25" s="21">
        <f t="shared" si="63"/>
        <v>0.26666666666666666</v>
      </c>
      <c r="G25" s="25">
        <f t="shared" si="64"/>
        <v>4.0200000000000007E-2</v>
      </c>
      <c r="I25" s="2">
        <v>2</v>
      </c>
      <c r="J25" s="2" t="s">
        <v>79</v>
      </c>
      <c r="K25" s="21">
        <f t="shared" si="65"/>
        <v>16.666666666666668</v>
      </c>
      <c r="L25" s="23">
        <f t="shared" si="66"/>
        <v>12.5</v>
      </c>
      <c r="M25" s="21">
        <f t="shared" ca="1" si="67"/>
        <v>10.525916993830617</v>
      </c>
      <c r="N25" s="21">
        <f t="shared" si="68"/>
        <v>0.26666666666666666</v>
      </c>
      <c r="O25" s="25">
        <f t="shared" si="69"/>
        <v>2.0100000000000003E-2</v>
      </c>
    </row>
    <row r="26" spans="1:35" ht="13">
      <c r="A26" s="2">
        <v>3</v>
      </c>
      <c r="B26" s="2" t="s">
        <v>80</v>
      </c>
      <c r="C26" s="21">
        <f t="shared" si="60"/>
        <v>14.207692307692307</v>
      </c>
      <c r="D26" s="23">
        <f t="shared" si="61"/>
        <v>12.5</v>
      </c>
      <c r="E26" s="21">
        <f t="shared" ca="1" si="62"/>
        <v>10.243770639960914</v>
      </c>
      <c r="F26" s="21">
        <f t="shared" si="63"/>
        <v>0.23076923076923078</v>
      </c>
      <c r="G26" s="25">
        <f t="shared" si="64"/>
        <v>4.0200000000000007E-2</v>
      </c>
      <c r="I26" s="2">
        <v>3</v>
      </c>
      <c r="J26" s="2" t="s">
        <v>80</v>
      </c>
      <c r="K26" s="21">
        <f t="shared" si="65"/>
        <v>14.207692307692307</v>
      </c>
      <c r="L26" s="23">
        <f t="shared" si="66"/>
        <v>12.5</v>
      </c>
      <c r="M26" s="21">
        <f t="shared" ca="1" si="67"/>
        <v>12.712068984856975</v>
      </c>
      <c r="N26" s="21">
        <f t="shared" si="68"/>
        <v>0.23076923076923078</v>
      </c>
      <c r="O26" s="25">
        <f t="shared" si="69"/>
        <v>2.0100000000000003E-2</v>
      </c>
    </row>
    <row r="27" spans="1:35" ht="13">
      <c r="A27" s="2">
        <v>4</v>
      </c>
      <c r="B27" s="2" t="s">
        <v>81</v>
      </c>
      <c r="C27" s="21">
        <f t="shared" si="60"/>
        <v>10.580952380952381</v>
      </c>
      <c r="D27" s="23">
        <f t="shared" si="61"/>
        <v>20</v>
      </c>
      <c r="E27" s="21">
        <f t="shared" ca="1" si="62"/>
        <v>4.9877225263706304</v>
      </c>
      <c r="F27" s="21">
        <f t="shared" si="63"/>
        <v>5.7142857142857141E-2</v>
      </c>
      <c r="G27" s="25">
        <f t="shared" si="64"/>
        <v>4.02E-2</v>
      </c>
      <c r="I27" s="2">
        <v>4</v>
      </c>
      <c r="J27" s="2" t="s">
        <v>81</v>
      </c>
      <c r="K27" s="21">
        <f t="shared" si="65"/>
        <v>10.580952380952381</v>
      </c>
      <c r="L27" s="23">
        <f t="shared" si="66"/>
        <v>20</v>
      </c>
      <c r="M27" s="21">
        <f t="shared" ca="1" si="67"/>
        <v>5.9880985948965799</v>
      </c>
      <c r="N27" s="21">
        <f t="shared" si="68"/>
        <v>5.7142857142857141E-2</v>
      </c>
      <c r="O27" s="25">
        <f t="shared" si="69"/>
        <v>2.01E-2</v>
      </c>
    </row>
    <row r="28" spans="1:35" ht="13">
      <c r="A28" s="2">
        <v>5</v>
      </c>
      <c r="B28" s="2" t="s">
        <v>82</v>
      </c>
      <c r="C28" s="21">
        <f t="shared" si="60"/>
        <v>11.428571428571429</v>
      </c>
      <c r="D28" s="23">
        <f t="shared" si="61"/>
        <v>12.5</v>
      </c>
      <c r="E28" s="21">
        <f t="shared" ca="1" si="62"/>
        <v>6.5246946751343398</v>
      </c>
      <c r="F28" s="21">
        <f t="shared" si="63"/>
        <v>0.22</v>
      </c>
      <c r="G28" s="25">
        <f t="shared" si="64"/>
        <v>4.0200000000000007E-2</v>
      </c>
      <c r="I28" s="2">
        <v>5</v>
      </c>
      <c r="J28" s="2" t="s">
        <v>82</v>
      </c>
      <c r="K28" s="21">
        <f t="shared" si="65"/>
        <v>11.428571428571429</v>
      </c>
      <c r="L28" s="23">
        <f t="shared" si="66"/>
        <v>12.5</v>
      </c>
      <c r="M28" s="21">
        <f t="shared" ca="1" si="67"/>
        <v>8.0968592260235503</v>
      </c>
      <c r="N28" s="21">
        <f t="shared" si="68"/>
        <v>0.22</v>
      </c>
      <c r="O28" s="25">
        <f t="shared" si="69"/>
        <v>2.0100000000000003E-2</v>
      </c>
    </row>
    <row r="29" spans="1:35" ht="13">
      <c r="A29" s="2">
        <v>6</v>
      </c>
      <c r="B29" s="2" t="s">
        <v>83</v>
      </c>
      <c r="C29" s="21">
        <f t="shared" si="60"/>
        <v>10.238907849829351</v>
      </c>
      <c r="D29" s="23">
        <f t="shared" si="61"/>
        <v>12</v>
      </c>
      <c r="E29" s="21">
        <f t="shared" si="62"/>
        <v>2.9</v>
      </c>
      <c r="F29" s="21">
        <f t="shared" si="63"/>
        <v>7.2051573758058401E-2</v>
      </c>
      <c r="G29" s="25">
        <f t="shared" si="64"/>
        <v>0.18375</v>
      </c>
      <c r="I29" s="2">
        <v>6</v>
      </c>
      <c r="J29" s="2" t="s">
        <v>83</v>
      </c>
      <c r="K29" s="21">
        <f t="shared" si="65"/>
        <v>10.238907849829351</v>
      </c>
      <c r="L29" s="23">
        <f t="shared" si="66"/>
        <v>12</v>
      </c>
      <c r="M29" s="21">
        <f t="shared" si="67"/>
        <v>3.7</v>
      </c>
      <c r="N29" s="21">
        <f t="shared" si="68"/>
        <v>7.2051573758058401E-2</v>
      </c>
      <c r="O29" s="25">
        <f t="shared" si="69"/>
        <v>9.1874999999999998E-2</v>
      </c>
    </row>
    <row r="31" spans="1:35" ht="13">
      <c r="A31" s="7" t="s">
        <v>86</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spans="1:35" ht="13">
      <c r="T32" s="13" t="s">
        <v>87</v>
      </c>
      <c r="U32" s="13"/>
      <c r="V32" s="13"/>
      <c r="W32" s="13"/>
      <c r="X32" s="13"/>
      <c r="Y32" s="13"/>
      <c r="Z32" s="13"/>
    </row>
    <row r="33" spans="1:32" ht="13">
      <c r="A33" s="2" t="s">
        <v>88</v>
      </c>
      <c r="T33" s="2" t="s">
        <v>43</v>
      </c>
      <c r="AC33" s="2" t="s">
        <v>89</v>
      </c>
    </row>
    <row r="34" spans="1:32" ht="13">
      <c r="A34" s="1" t="s">
        <v>90</v>
      </c>
      <c r="B34" s="1" t="s">
        <v>91</v>
      </c>
      <c r="C34" s="1" t="s">
        <v>92</v>
      </c>
      <c r="D34" s="1" t="s">
        <v>93</v>
      </c>
      <c r="E34" s="1" t="s">
        <v>94</v>
      </c>
      <c r="F34" s="31" t="s">
        <v>95</v>
      </c>
      <c r="G34" s="1" t="s">
        <v>96</v>
      </c>
      <c r="H34" s="1" t="s">
        <v>97</v>
      </c>
      <c r="I34" s="1" t="s">
        <v>98</v>
      </c>
      <c r="J34" s="1" t="s">
        <v>99</v>
      </c>
      <c r="K34" s="1" t="s">
        <v>100</v>
      </c>
      <c r="L34" s="1" t="s">
        <v>101</v>
      </c>
      <c r="M34" s="1" t="s">
        <v>102</v>
      </c>
      <c r="N34" s="1" t="s">
        <v>103</v>
      </c>
      <c r="T34" s="1" t="s">
        <v>104</v>
      </c>
      <c r="U34" s="1" t="s">
        <v>78</v>
      </c>
      <c r="V34" s="1" t="s">
        <v>79</v>
      </c>
      <c r="W34" s="1" t="s">
        <v>80</v>
      </c>
      <c r="X34" s="1" t="s">
        <v>81</v>
      </c>
      <c r="Y34" s="1" t="s">
        <v>82</v>
      </c>
      <c r="Z34" s="1" t="s">
        <v>83</v>
      </c>
      <c r="AC34" s="1" t="s">
        <v>90</v>
      </c>
      <c r="AD34" s="1" t="s">
        <v>105</v>
      </c>
      <c r="AE34" s="1" t="s">
        <v>106</v>
      </c>
      <c r="AF34" s="1" t="s">
        <v>107</v>
      </c>
    </row>
    <row r="35" spans="1:32" ht="13">
      <c r="A35" s="2">
        <v>1</v>
      </c>
      <c r="B35" s="2" t="s">
        <v>108</v>
      </c>
      <c r="C35" s="2" t="s">
        <v>109</v>
      </c>
      <c r="D35" s="2" t="s">
        <v>110</v>
      </c>
      <c r="E35" s="25">
        <v>1.1599999999999999</v>
      </c>
      <c r="F35" s="32">
        <f t="shared" ref="F35:F42" si="70">SUM(G35:L35)</f>
        <v>0.18256880733944952</v>
      </c>
      <c r="G35" s="5">
        <f>H35*$E$114</f>
        <v>2.5541284403669727E-2</v>
      </c>
      <c r="H35" s="5">
        <f>0.9%</f>
        <v>9.0000000000000011E-3</v>
      </c>
      <c r="I35" s="5">
        <f>H35*$E$115</f>
        <v>1.2027522935779819E-2</v>
      </c>
      <c r="J35" s="5">
        <f>14.5%-H35</f>
        <v>0.13599999999999998</v>
      </c>
      <c r="K35" s="5">
        <v>0</v>
      </c>
      <c r="L35" s="5">
        <v>0</v>
      </c>
      <c r="M35" s="2" t="s">
        <v>111</v>
      </c>
      <c r="N35" s="33" t="s">
        <v>112</v>
      </c>
      <c r="T35" s="2">
        <v>1</v>
      </c>
      <c r="U35" s="25">
        <f t="shared" ref="U35:Z35" si="71">G35</f>
        <v>2.5541284403669727E-2</v>
      </c>
      <c r="V35" s="25">
        <f t="shared" si="71"/>
        <v>9.0000000000000011E-3</v>
      </c>
      <c r="W35" s="25">
        <f t="shared" si="71"/>
        <v>1.2027522935779819E-2</v>
      </c>
      <c r="X35" s="25">
        <f t="shared" si="71"/>
        <v>0.13599999999999998</v>
      </c>
      <c r="Y35" s="25">
        <f t="shared" si="71"/>
        <v>0</v>
      </c>
      <c r="Z35" s="25">
        <f t="shared" si="71"/>
        <v>0</v>
      </c>
      <c r="AC35" s="22">
        <f t="shared" ref="AC35:AC42" si="72">A35</f>
        <v>1</v>
      </c>
      <c r="AD35" s="22" cm="1">
        <f t="array" ref="AD35">SUMPRODUCT($G35:$L35/F35, TRANSPOSE(E$5:E$10))</f>
        <v>18.086934673366834</v>
      </c>
      <c r="AE35" s="5">
        <f t="shared" ref="AE35:AE42" si="73">F35</f>
        <v>0.18256880733944952</v>
      </c>
      <c r="AF35" s="22">
        <f t="shared" ref="AF35:AF42" si="74">E35*100</f>
        <v>115.99999999999999</v>
      </c>
    </row>
    <row r="36" spans="1:32" ht="13">
      <c r="A36" s="2">
        <v>2</v>
      </c>
      <c r="B36" s="2" t="s">
        <v>108</v>
      </c>
      <c r="C36" s="2" t="s">
        <v>109</v>
      </c>
      <c r="D36" s="2" t="s">
        <v>113</v>
      </c>
      <c r="E36" s="25">
        <v>2.84</v>
      </c>
      <c r="F36" s="32">
        <f t="shared" si="70"/>
        <v>0.14499999999999999</v>
      </c>
      <c r="G36" s="5">
        <v>0</v>
      </c>
      <c r="H36" s="5">
        <v>0</v>
      </c>
      <c r="I36" s="5">
        <v>0</v>
      </c>
      <c r="J36" s="5">
        <v>0</v>
      </c>
      <c r="K36" s="5">
        <v>0</v>
      </c>
      <c r="L36" s="5">
        <v>0.14499999999999999</v>
      </c>
      <c r="M36" s="2" t="s">
        <v>114</v>
      </c>
      <c r="N36" s="33" t="s">
        <v>112</v>
      </c>
      <c r="T36" s="2">
        <v>2</v>
      </c>
      <c r="U36" s="25">
        <f t="shared" ref="U36:Z36" si="75">G36</f>
        <v>0</v>
      </c>
      <c r="V36" s="25">
        <f t="shared" si="75"/>
        <v>0</v>
      </c>
      <c r="W36" s="25">
        <f t="shared" si="75"/>
        <v>0</v>
      </c>
      <c r="X36" s="25">
        <f t="shared" si="75"/>
        <v>0</v>
      </c>
      <c r="Y36" s="25">
        <f t="shared" si="75"/>
        <v>0</v>
      </c>
      <c r="Z36" s="25">
        <f t="shared" si="75"/>
        <v>0.14499999999999999</v>
      </c>
      <c r="AC36" s="22">
        <f t="shared" si="72"/>
        <v>2</v>
      </c>
      <c r="AD36" s="22" cm="1">
        <f t="array" ref="AD36">SUMPRODUCT($G36:$L36/F36, TRANSPOSE(E$5:E$10))</f>
        <v>12</v>
      </c>
      <c r="AE36" s="5">
        <f t="shared" si="73"/>
        <v>0.14499999999999999</v>
      </c>
      <c r="AF36" s="22">
        <f t="shared" si="74"/>
        <v>284</v>
      </c>
    </row>
    <row r="37" spans="1:32" ht="13">
      <c r="A37" s="2">
        <v>3</v>
      </c>
      <c r="B37" s="2" t="s">
        <v>108</v>
      </c>
      <c r="C37" s="2" t="s">
        <v>115</v>
      </c>
      <c r="D37" s="2" t="s">
        <v>110</v>
      </c>
      <c r="E37" s="25">
        <v>2.2599999999999998</v>
      </c>
      <c r="F37" s="32">
        <f t="shared" si="70"/>
        <v>0.14287155963302753</v>
      </c>
      <c r="G37" s="5">
        <f t="shared" ref="G37:G38" si="76">H37*$E$114</f>
        <v>1.4189602446483181E-2</v>
      </c>
      <c r="H37" s="5">
        <v>5.0000000000000001E-3</v>
      </c>
      <c r="I37" s="5">
        <f t="shared" ref="I37:I38" si="77">H37*$E$115</f>
        <v>6.681957186544343E-3</v>
      </c>
      <c r="J37" s="5">
        <v>0</v>
      </c>
      <c r="K37" s="5">
        <v>5.5E-2</v>
      </c>
      <c r="L37" s="5">
        <v>6.2E-2</v>
      </c>
      <c r="M37" s="2" t="s">
        <v>116</v>
      </c>
      <c r="N37" s="33" t="s">
        <v>112</v>
      </c>
      <c r="T37" s="2">
        <v>3</v>
      </c>
      <c r="U37" s="25">
        <f t="shared" ref="U37:Z37" si="78">G37</f>
        <v>1.4189602446483181E-2</v>
      </c>
      <c r="V37" s="25">
        <f t="shared" si="78"/>
        <v>5.0000000000000001E-3</v>
      </c>
      <c r="W37" s="25">
        <f t="shared" si="78"/>
        <v>6.681957186544343E-3</v>
      </c>
      <c r="X37" s="25">
        <f t="shared" si="78"/>
        <v>0</v>
      </c>
      <c r="Y37" s="25">
        <f t="shared" si="78"/>
        <v>5.5E-2</v>
      </c>
      <c r="Z37" s="25">
        <f t="shared" si="78"/>
        <v>6.2E-2</v>
      </c>
      <c r="AC37" s="22">
        <f t="shared" si="72"/>
        <v>3</v>
      </c>
      <c r="AD37" s="22" cm="1">
        <f t="array" ref="AD37">SUMPRODUCT($G37:$L37/F37, TRANSPOSE(E$5:E$10))</f>
        <v>12.283021896872793</v>
      </c>
      <c r="AE37" s="5">
        <f t="shared" si="73"/>
        <v>0.14287155963302753</v>
      </c>
      <c r="AF37" s="22">
        <f t="shared" si="74"/>
        <v>225.99999999999997</v>
      </c>
    </row>
    <row r="38" spans="1:32" ht="13">
      <c r="A38" s="2">
        <v>4</v>
      </c>
      <c r="B38" s="2" t="s">
        <v>108</v>
      </c>
      <c r="C38" s="2" t="s">
        <v>115</v>
      </c>
      <c r="D38" s="2" t="s">
        <v>113</v>
      </c>
      <c r="E38" s="25">
        <v>15.18</v>
      </c>
      <c r="F38" s="32">
        <f t="shared" si="70"/>
        <v>0.14287155963302753</v>
      </c>
      <c r="G38" s="5">
        <f t="shared" si="76"/>
        <v>1.4189602446483181E-2</v>
      </c>
      <c r="H38" s="5">
        <v>5.0000000000000001E-3</v>
      </c>
      <c r="I38" s="5">
        <f t="shared" si="77"/>
        <v>6.681957186544343E-3</v>
      </c>
      <c r="J38" s="5">
        <v>0</v>
      </c>
      <c r="K38" s="5">
        <v>5.5E-2</v>
      </c>
      <c r="L38" s="5">
        <v>6.2E-2</v>
      </c>
      <c r="M38" s="2"/>
      <c r="N38" s="33" t="s">
        <v>112</v>
      </c>
      <c r="T38" s="2">
        <v>4</v>
      </c>
      <c r="U38" s="25">
        <f t="shared" ref="U38:Z38" si="79">G38</f>
        <v>1.4189602446483181E-2</v>
      </c>
      <c r="V38" s="25">
        <f t="shared" si="79"/>
        <v>5.0000000000000001E-3</v>
      </c>
      <c r="W38" s="25">
        <f t="shared" si="79"/>
        <v>6.681957186544343E-3</v>
      </c>
      <c r="X38" s="25">
        <f t="shared" si="79"/>
        <v>0</v>
      </c>
      <c r="Y38" s="25">
        <f t="shared" si="79"/>
        <v>5.5E-2</v>
      </c>
      <c r="Z38" s="25">
        <f t="shared" si="79"/>
        <v>6.2E-2</v>
      </c>
      <c r="AC38" s="22">
        <f t="shared" si="72"/>
        <v>4</v>
      </c>
      <c r="AD38" s="22" cm="1">
        <f t="array" ref="AD38">SUMPRODUCT($G38:$L38/F38, TRANSPOSE(E$5:E$10))</f>
        <v>12.283021896872793</v>
      </c>
      <c r="AE38" s="5">
        <f t="shared" si="73"/>
        <v>0.14287155963302753</v>
      </c>
      <c r="AF38" s="22">
        <f t="shared" si="74"/>
        <v>1518</v>
      </c>
    </row>
    <row r="39" spans="1:32" ht="13">
      <c r="A39" s="2">
        <v>5</v>
      </c>
      <c r="B39" s="2" t="s">
        <v>117</v>
      </c>
      <c r="C39" s="2" t="s">
        <v>109</v>
      </c>
      <c r="D39" s="2" t="s">
        <v>110</v>
      </c>
      <c r="E39" s="25">
        <v>0.39</v>
      </c>
      <c r="F39" s="32">
        <f t="shared" si="70"/>
        <v>0.69448084295999024</v>
      </c>
      <c r="G39" s="5">
        <f t="shared" ref="G39:G40" si="80">H39*$E$117</f>
        <v>9.6754608929620817E-2</v>
      </c>
      <c r="H39" s="5">
        <f>H35*$D$109</f>
        <v>3.6001714950556582E-2</v>
      </c>
      <c r="I39" s="5">
        <f t="shared" ref="I39:I42" si="81">H39*$E$118</f>
        <v>1.7698604271402352E-2</v>
      </c>
      <c r="J39" s="5">
        <f>J35*$D$109</f>
        <v>0.54402591480841045</v>
      </c>
      <c r="K39" s="5">
        <v>0</v>
      </c>
      <c r="L39" s="5">
        <v>0</v>
      </c>
      <c r="M39" s="2"/>
      <c r="N39" s="33" t="s">
        <v>112</v>
      </c>
      <c r="T39" s="2">
        <v>5</v>
      </c>
      <c r="U39" s="25">
        <f t="shared" ref="U39:Z39" si="82">G39</f>
        <v>9.6754608929620817E-2</v>
      </c>
      <c r="V39" s="25">
        <f t="shared" si="82"/>
        <v>3.6001714950556582E-2</v>
      </c>
      <c r="W39" s="25">
        <f t="shared" si="82"/>
        <v>1.7698604271402352E-2</v>
      </c>
      <c r="X39" s="25">
        <f t="shared" si="82"/>
        <v>0.54402591480841045</v>
      </c>
      <c r="Y39" s="25">
        <f t="shared" si="82"/>
        <v>0</v>
      </c>
      <c r="Z39" s="25">
        <f t="shared" si="82"/>
        <v>0</v>
      </c>
      <c r="AC39" s="22">
        <f t="shared" si="72"/>
        <v>5</v>
      </c>
      <c r="AD39" s="22" cm="1">
        <f t="array" ref="AD39">SUMPRODUCT($G39:$L39/F39, TRANSPOSE(E$5:E$10))</f>
        <v>18.375171939477301</v>
      </c>
      <c r="AE39" s="5">
        <f t="shared" si="73"/>
        <v>0.69448084295999024</v>
      </c>
      <c r="AF39" s="22">
        <f t="shared" si="74"/>
        <v>39</v>
      </c>
    </row>
    <row r="40" spans="1:32" ht="13">
      <c r="A40" s="2">
        <v>6</v>
      </c>
      <c r="B40" s="2" t="s">
        <v>117</v>
      </c>
      <c r="C40" s="2" t="s">
        <v>109</v>
      </c>
      <c r="D40" s="2" t="s">
        <v>113</v>
      </c>
      <c r="E40" s="25">
        <v>2.13</v>
      </c>
      <c r="F40" s="32">
        <f t="shared" si="70"/>
        <v>0.69448084295999024</v>
      </c>
      <c r="G40" s="5">
        <f t="shared" si="80"/>
        <v>9.6754608929620817E-2</v>
      </c>
      <c r="H40" s="5">
        <f>H35*$D$109</f>
        <v>3.6001714950556582E-2</v>
      </c>
      <c r="I40" s="5">
        <f t="shared" si="81"/>
        <v>1.7698604271402352E-2</v>
      </c>
      <c r="J40" s="5">
        <f>J35*$D$109</f>
        <v>0.54402591480841045</v>
      </c>
      <c r="K40" s="5">
        <v>0</v>
      </c>
      <c r="L40" s="5">
        <v>0</v>
      </c>
      <c r="M40" s="2"/>
      <c r="N40" s="33" t="s">
        <v>112</v>
      </c>
      <c r="T40" s="2">
        <v>6</v>
      </c>
      <c r="U40" s="25">
        <f t="shared" ref="U40:Z40" si="83">G40</f>
        <v>9.6754608929620817E-2</v>
      </c>
      <c r="V40" s="25">
        <f t="shared" si="83"/>
        <v>3.6001714950556582E-2</v>
      </c>
      <c r="W40" s="25">
        <f t="shared" si="83"/>
        <v>1.7698604271402352E-2</v>
      </c>
      <c r="X40" s="25">
        <f t="shared" si="83"/>
        <v>0.54402591480841045</v>
      </c>
      <c r="Y40" s="25">
        <f t="shared" si="83"/>
        <v>0</v>
      </c>
      <c r="Z40" s="25">
        <f t="shared" si="83"/>
        <v>0</v>
      </c>
      <c r="AC40" s="22">
        <f t="shared" si="72"/>
        <v>6</v>
      </c>
      <c r="AD40" s="22" cm="1">
        <f t="array" ref="AD40">SUMPRODUCT($G40:$L40/F40, TRANSPOSE(E$5:E$10))</f>
        <v>18.375171939477301</v>
      </c>
      <c r="AE40" s="5">
        <f t="shared" si="73"/>
        <v>0.69448084295999024</v>
      </c>
      <c r="AF40" s="22">
        <f t="shared" si="74"/>
        <v>213</v>
      </c>
    </row>
    <row r="41" spans="1:32" ht="13">
      <c r="A41" s="2">
        <v>7</v>
      </c>
      <c r="B41" s="2" t="s">
        <v>117</v>
      </c>
      <c r="C41" s="2" t="s">
        <v>115</v>
      </c>
      <c r="D41" s="2" t="s">
        <v>110</v>
      </c>
      <c r="E41" s="25">
        <v>0.14000000000000001</v>
      </c>
      <c r="F41" s="32">
        <f t="shared" si="70"/>
        <v>0.50768836296465847</v>
      </c>
      <c r="G41" s="5">
        <f t="shared" ref="G41:G42" si="84">H41*$E$118</f>
        <v>9.8325579285568621E-3</v>
      </c>
      <c r="H41" s="5">
        <f t="shared" ref="H41:H42" si="85">H37*$D$109</f>
        <v>2.0000952750309213E-2</v>
      </c>
      <c r="I41" s="5">
        <f t="shared" si="81"/>
        <v>9.8325579285568621E-3</v>
      </c>
      <c r="J41" s="5">
        <v>0</v>
      </c>
      <c r="K41" s="5">
        <f t="shared" ref="K41:L41" si="86">K38*$D$109</f>
        <v>0.22001048025340134</v>
      </c>
      <c r="L41" s="5">
        <f t="shared" si="86"/>
        <v>0.24801181410383422</v>
      </c>
      <c r="M41" s="2"/>
      <c r="N41" s="33" t="s">
        <v>112</v>
      </c>
      <c r="T41" s="2">
        <v>7</v>
      </c>
      <c r="U41" s="25">
        <f t="shared" ref="U41:Z41" si="87">G41</f>
        <v>9.8325579285568621E-3</v>
      </c>
      <c r="V41" s="25">
        <f t="shared" si="87"/>
        <v>2.0000952750309213E-2</v>
      </c>
      <c r="W41" s="25">
        <f t="shared" si="87"/>
        <v>9.8325579285568621E-3</v>
      </c>
      <c r="X41" s="25">
        <f t="shared" si="87"/>
        <v>0</v>
      </c>
      <c r="Y41" s="25">
        <f t="shared" si="87"/>
        <v>0.22001048025340134</v>
      </c>
      <c r="Z41" s="25">
        <f t="shared" si="87"/>
        <v>0.24801181410383422</v>
      </c>
      <c r="AC41" s="22">
        <f t="shared" si="72"/>
        <v>7</v>
      </c>
      <c r="AD41" s="22" cm="1">
        <f t="array" ref="AD41">SUMPRODUCT($G41:$L41/F41, TRANSPOSE(E$5:E$10))</f>
        <v>12.255744042806533</v>
      </c>
      <c r="AE41" s="5">
        <f t="shared" si="73"/>
        <v>0.50768836296465847</v>
      </c>
      <c r="AF41" s="22">
        <f t="shared" si="74"/>
        <v>14.000000000000002</v>
      </c>
    </row>
    <row r="42" spans="1:32" ht="13">
      <c r="A42" s="2">
        <v>8</v>
      </c>
      <c r="B42" s="2" t="s">
        <v>117</v>
      </c>
      <c r="C42" s="2" t="s">
        <v>115</v>
      </c>
      <c r="D42" s="2" t="s">
        <v>113</v>
      </c>
      <c r="E42" s="25">
        <v>0.68</v>
      </c>
      <c r="F42" s="32">
        <f t="shared" si="70"/>
        <v>0.50768836296465847</v>
      </c>
      <c r="G42" s="5">
        <f t="shared" si="84"/>
        <v>9.8325579285568621E-3</v>
      </c>
      <c r="H42" s="5">
        <f t="shared" si="85"/>
        <v>2.0000952750309213E-2</v>
      </c>
      <c r="I42" s="5">
        <f t="shared" si="81"/>
        <v>9.8325579285568621E-3</v>
      </c>
      <c r="J42" s="5">
        <v>0</v>
      </c>
      <c r="K42" s="5">
        <f t="shared" ref="K42:L42" si="88">K38*$D$109</f>
        <v>0.22001048025340134</v>
      </c>
      <c r="L42" s="5">
        <f t="shared" si="88"/>
        <v>0.24801181410383422</v>
      </c>
      <c r="M42" s="2"/>
      <c r="N42" s="33" t="s">
        <v>112</v>
      </c>
      <c r="T42" s="2">
        <v>8</v>
      </c>
      <c r="U42" s="25">
        <f t="shared" ref="U42:Z42" si="89">G42</f>
        <v>9.8325579285568621E-3</v>
      </c>
      <c r="V42" s="25">
        <f t="shared" si="89"/>
        <v>2.0000952750309213E-2</v>
      </c>
      <c r="W42" s="25">
        <f t="shared" si="89"/>
        <v>9.8325579285568621E-3</v>
      </c>
      <c r="X42" s="25">
        <f t="shared" si="89"/>
        <v>0</v>
      </c>
      <c r="Y42" s="25">
        <f t="shared" si="89"/>
        <v>0.22001048025340134</v>
      </c>
      <c r="Z42" s="25">
        <f t="shared" si="89"/>
        <v>0.24801181410383422</v>
      </c>
      <c r="AC42" s="22">
        <f t="shared" si="72"/>
        <v>8</v>
      </c>
      <c r="AD42" s="22" cm="1">
        <f t="array" ref="AD42">SUMPRODUCT($G42:$L42/F42, TRANSPOSE(E$5:E$10))</f>
        <v>12.255744042806533</v>
      </c>
      <c r="AE42" s="5">
        <f t="shared" si="73"/>
        <v>0.50768836296465847</v>
      </c>
      <c r="AF42" s="22">
        <f t="shared" si="74"/>
        <v>68</v>
      </c>
    </row>
    <row r="43" spans="1:32" ht="13">
      <c r="AC43" s="4" t="s">
        <v>118</v>
      </c>
      <c r="AD43" s="21">
        <f ca="1">IFERROR(__xludf.DUMMYFUNCTION("AVERAGE.WEIGHTED(AD35:AD42,$AF$35:$AF$42)"),13.1409156378188)</f>
        <v>13.1409156378188</v>
      </c>
      <c r="AE43" s="34">
        <f ca="1">IFERROR(__xludf.DUMMYFUNCTION("AVERAGE.WEIGHTED(AE35:AE42,$AF$35:$AF$42)"),0.213141888555446)</f>
        <v>0.213141888555446</v>
      </c>
    </row>
    <row r="44" spans="1:32" ht="13">
      <c r="A44" s="2" t="s">
        <v>119</v>
      </c>
      <c r="C44" s="35"/>
      <c r="T44" s="36">
        <v>2030</v>
      </c>
    </row>
    <row r="45" spans="1:32" ht="13">
      <c r="A45" s="1" t="s">
        <v>90</v>
      </c>
      <c r="B45" s="31" t="s">
        <v>120</v>
      </c>
      <c r="C45" s="1" t="s">
        <v>78</v>
      </c>
      <c r="D45" s="1" t="s">
        <v>79</v>
      </c>
      <c r="E45" s="1" t="s">
        <v>80</v>
      </c>
      <c r="F45" s="1" t="s">
        <v>58</v>
      </c>
      <c r="G45" s="1" t="s">
        <v>60</v>
      </c>
      <c r="H45" s="1" t="s">
        <v>62</v>
      </c>
      <c r="I45" s="1" t="s">
        <v>121</v>
      </c>
      <c r="J45" s="1" t="s">
        <v>122</v>
      </c>
      <c r="T45" s="1" t="s">
        <v>104</v>
      </c>
      <c r="U45" s="1" t="s">
        <v>78</v>
      </c>
      <c r="V45" s="1" t="s">
        <v>79</v>
      </c>
      <c r="W45" s="1" t="s">
        <v>80</v>
      </c>
      <c r="X45" s="1" t="s">
        <v>81</v>
      </c>
      <c r="Y45" s="1" t="s">
        <v>82</v>
      </c>
      <c r="Z45" s="1" t="s">
        <v>83</v>
      </c>
      <c r="AC45" s="1"/>
      <c r="AD45" s="1"/>
      <c r="AE45" s="1"/>
      <c r="AF45" s="1"/>
    </row>
    <row r="46" spans="1:32" ht="13">
      <c r="A46" s="2">
        <f t="shared" ref="A46:A53" si="90">A35</f>
        <v>1</v>
      </c>
      <c r="B46" s="32">
        <f t="shared" ref="B46:B49" ca="1" si="91">F35*(1+$E$128)</f>
        <v>0.46178685041123402</v>
      </c>
      <c r="C46" s="5">
        <f t="shared" ref="C46:E46" ca="1" si="92">$B46*$I$127/SUM($I$127:$J$127)*L107</f>
        <v>5.5130850301050811E-2</v>
      </c>
      <c r="D46" s="5">
        <f t="shared" ca="1" si="92"/>
        <v>1.9426495741857345E-2</v>
      </c>
      <c r="E46" s="5">
        <f t="shared" ca="1" si="92"/>
        <v>2.5961402566335352E-2</v>
      </c>
      <c r="F46" s="5">
        <f t="shared" ref="F46:H46" ca="1" si="93">$B46*$J$127/SUM($I$127:$J$127)*Q107</f>
        <v>0.36126810180199048</v>
      </c>
      <c r="G46" s="5">
        <f t="shared" ca="1" si="93"/>
        <v>0</v>
      </c>
      <c r="H46" s="5">
        <f t="shared" ca="1" si="93"/>
        <v>0</v>
      </c>
      <c r="I46" s="5">
        <f t="shared" ref="I46:I53" ca="1" si="94">1-B46</f>
        <v>0.53821314958876598</v>
      </c>
      <c r="J46" s="2"/>
      <c r="T46" s="2">
        <v>1</v>
      </c>
      <c r="U46" s="25">
        <f t="shared" ref="U46:Z46" ca="1" si="95">C46</f>
        <v>5.5130850301050811E-2</v>
      </c>
      <c r="V46" s="25">
        <f t="shared" ca="1" si="95"/>
        <v>1.9426495741857345E-2</v>
      </c>
      <c r="W46" s="25">
        <f t="shared" ca="1" si="95"/>
        <v>2.5961402566335352E-2</v>
      </c>
      <c r="X46" s="25">
        <f t="shared" ca="1" si="95"/>
        <v>0.36126810180199048</v>
      </c>
      <c r="Y46" s="25">
        <f t="shared" ca="1" si="95"/>
        <v>0</v>
      </c>
      <c r="Z46" s="25">
        <f t="shared" ca="1" si="95"/>
        <v>0</v>
      </c>
      <c r="AC46" s="22"/>
      <c r="AD46" s="22"/>
      <c r="AF46" s="22"/>
    </row>
    <row r="47" spans="1:32" ht="13">
      <c r="A47" s="2">
        <f t="shared" si="90"/>
        <v>2</v>
      </c>
      <c r="B47" s="32">
        <f t="shared" ca="1" si="91"/>
        <v>0.36676086285173637</v>
      </c>
      <c r="C47" s="5">
        <f t="shared" ref="C47:E47" ca="1" si="96">C48</f>
        <v>4.3143353353681628E-2</v>
      </c>
      <c r="D47" s="5">
        <f t="shared" ca="1" si="96"/>
        <v>1.520245317527359E-2</v>
      </c>
      <c r="E47" s="5">
        <f t="shared" ca="1" si="96"/>
        <v>2.0316428249524645E-2</v>
      </c>
      <c r="F47" s="5">
        <f t="shared" ref="F47:H47" ca="1" si="97">$B47*$J$127/SUM($I$127:$J$127)*Q108</f>
        <v>0</v>
      </c>
      <c r="G47" s="5">
        <f t="shared" ca="1" si="97"/>
        <v>0</v>
      </c>
      <c r="H47" s="5">
        <f t="shared" ca="1" si="97"/>
        <v>0.28692675120504824</v>
      </c>
      <c r="I47" s="5">
        <f t="shared" ca="1" si="94"/>
        <v>0.63323913714826363</v>
      </c>
      <c r="J47" s="2" t="s">
        <v>123</v>
      </c>
      <c r="K47" s="37"/>
      <c r="T47" s="2">
        <v>2</v>
      </c>
      <c r="U47" s="25">
        <f t="shared" ref="U47:Z47" ca="1" si="98">C47</f>
        <v>4.3143353353681628E-2</v>
      </c>
      <c r="V47" s="25">
        <f t="shared" ca="1" si="98"/>
        <v>1.520245317527359E-2</v>
      </c>
      <c r="W47" s="25">
        <f t="shared" ca="1" si="98"/>
        <v>2.0316428249524645E-2</v>
      </c>
      <c r="X47" s="25">
        <f t="shared" ca="1" si="98"/>
        <v>0</v>
      </c>
      <c r="Y47" s="25">
        <f t="shared" ca="1" si="98"/>
        <v>0</v>
      </c>
      <c r="Z47" s="25">
        <f t="shared" ca="1" si="98"/>
        <v>0.28692675120504824</v>
      </c>
      <c r="AC47" s="22"/>
      <c r="AD47" s="22"/>
      <c r="AF47" s="22"/>
    </row>
    <row r="48" spans="1:32" ht="13">
      <c r="A48" s="2">
        <f t="shared" si="90"/>
        <v>3</v>
      </c>
      <c r="B48" s="32">
        <f t="shared" ca="1" si="91"/>
        <v>0.36137721715849991</v>
      </c>
      <c r="C48" s="5">
        <f t="shared" ref="C48:E48" ca="1" si="99">$B48*$I$127/SUM($I$127:$J$127)*L109</f>
        <v>4.3143353353681628E-2</v>
      </c>
      <c r="D48" s="5">
        <f t="shared" ca="1" si="99"/>
        <v>1.520245317527359E-2</v>
      </c>
      <c r="E48" s="5">
        <f t="shared" ca="1" si="99"/>
        <v>2.0316428249524645E-2</v>
      </c>
      <c r="F48" s="5">
        <f t="shared" ref="F48:H48" ca="1" si="100">$B48*$J$127/SUM($I$127:$J$127)*Q109</f>
        <v>0</v>
      </c>
      <c r="G48" s="5">
        <f t="shared" ca="1" si="100"/>
        <v>0.13290020539231712</v>
      </c>
      <c r="H48" s="5">
        <f t="shared" ca="1" si="100"/>
        <v>0.14981477698770293</v>
      </c>
      <c r="I48" s="5">
        <f t="shared" ca="1" si="94"/>
        <v>0.63862278284150009</v>
      </c>
      <c r="J48" s="2"/>
      <c r="T48" s="2">
        <v>3</v>
      </c>
      <c r="U48" s="25">
        <f t="shared" ref="U48:Z48" ca="1" si="101">C48</f>
        <v>4.3143353353681628E-2</v>
      </c>
      <c r="V48" s="25">
        <f t="shared" ca="1" si="101"/>
        <v>1.520245317527359E-2</v>
      </c>
      <c r="W48" s="25">
        <f t="shared" ca="1" si="101"/>
        <v>2.0316428249524645E-2</v>
      </c>
      <c r="X48" s="25">
        <f t="shared" ca="1" si="101"/>
        <v>0</v>
      </c>
      <c r="Y48" s="25">
        <f t="shared" ca="1" si="101"/>
        <v>0.13290020539231712</v>
      </c>
      <c r="Z48" s="25">
        <f t="shared" ca="1" si="101"/>
        <v>0.14981477698770293</v>
      </c>
      <c r="AC48" s="22"/>
      <c r="AD48" s="22"/>
      <c r="AF48" s="22"/>
    </row>
    <row r="49" spans="1:32" ht="13">
      <c r="A49" s="2">
        <f t="shared" si="90"/>
        <v>4</v>
      </c>
      <c r="B49" s="32">
        <f t="shared" ca="1" si="91"/>
        <v>0.36137721715849991</v>
      </c>
      <c r="C49" s="5">
        <f t="shared" ref="C49:E49" ca="1" si="102">$B49*$I$127/SUM($I$127:$J$127)*L110</f>
        <v>4.3143353353681628E-2</v>
      </c>
      <c r="D49" s="5">
        <f t="shared" ca="1" si="102"/>
        <v>1.520245317527359E-2</v>
      </c>
      <c r="E49" s="5">
        <f t="shared" ca="1" si="102"/>
        <v>2.0316428249524645E-2</v>
      </c>
      <c r="F49" s="5">
        <f t="shared" ref="F49:H49" ca="1" si="103">$B49*$J$127/SUM($I$127:$J$127)*Q110</f>
        <v>0</v>
      </c>
      <c r="G49" s="5">
        <f t="shared" ca="1" si="103"/>
        <v>0.13290020539231712</v>
      </c>
      <c r="H49" s="5">
        <f t="shared" ca="1" si="103"/>
        <v>0.14981477698770293</v>
      </c>
      <c r="I49" s="5">
        <f t="shared" ca="1" si="94"/>
        <v>0.63862278284150009</v>
      </c>
      <c r="J49" s="2"/>
      <c r="T49" s="2">
        <v>4</v>
      </c>
      <c r="U49" s="25">
        <f t="shared" ref="U49:Z49" ca="1" si="104">C49</f>
        <v>4.3143353353681628E-2</v>
      </c>
      <c r="V49" s="25">
        <f t="shared" ca="1" si="104"/>
        <v>1.520245317527359E-2</v>
      </c>
      <c r="W49" s="25">
        <f t="shared" ca="1" si="104"/>
        <v>2.0316428249524645E-2</v>
      </c>
      <c r="X49" s="25">
        <f t="shared" ca="1" si="104"/>
        <v>0</v>
      </c>
      <c r="Y49" s="25">
        <f t="shared" ca="1" si="104"/>
        <v>0.13290020539231712</v>
      </c>
      <c r="Z49" s="25">
        <f t="shared" ca="1" si="104"/>
        <v>0.14981477698770293</v>
      </c>
      <c r="AC49" s="22"/>
      <c r="AD49" s="22"/>
      <c r="AF49" s="22"/>
    </row>
    <row r="50" spans="1:32" ht="13">
      <c r="A50" s="2">
        <f t="shared" si="90"/>
        <v>5</v>
      </c>
      <c r="B50" s="32">
        <f t="shared" ref="B50:B53" ca="1" si="105">$C$136</f>
        <v>1</v>
      </c>
      <c r="C50" s="5">
        <f t="shared" ref="C50:E50" ca="1" si="106">$B50*$I$136/SUM($I$136:$J$136)*L111</f>
        <v>7.6181013460385E-2</v>
      </c>
      <c r="D50" s="5">
        <f t="shared" ca="1" si="106"/>
        <v>2.8346423613166513E-2</v>
      </c>
      <c r="E50" s="5">
        <f t="shared" ca="1" si="106"/>
        <v>1.3935228772517495E-2</v>
      </c>
      <c r="F50" s="5">
        <f t="shared" ref="F50:H50" ca="1" si="107">$B50*$J$136/SUM($I$136:$J$136)*Q111</f>
        <v>0.88153733415393098</v>
      </c>
      <c r="G50" s="5">
        <f t="shared" ca="1" si="107"/>
        <v>0</v>
      </c>
      <c r="H50" s="5">
        <f t="shared" ca="1" si="107"/>
        <v>0</v>
      </c>
      <c r="I50" s="5">
        <f t="shared" ca="1" si="94"/>
        <v>0</v>
      </c>
      <c r="J50" s="2"/>
      <c r="T50" s="2">
        <v>5</v>
      </c>
      <c r="U50" s="25">
        <f t="shared" ref="U50:Z50" ca="1" si="108">C50</f>
        <v>7.6181013460385E-2</v>
      </c>
      <c r="V50" s="25">
        <f t="shared" ca="1" si="108"/>
        <v>2.8346423613166513E-2</v>
      </c>
      <c r="W50" s="25">
        <f t="shared" ca="1" si="108"/>
        <v>1.3935228772517495E-2</v>
      </c>
      <c r="X50" s="25">
        <f t="shared" ca="1" si="108"/>
        <v>0.88153733415393098</v>
      </c>
      <c r="Y50" s="25">
        <f t="shared" ca="1" si="108"/>
        <v>0</v>
      </c>
      <c r="Z50" s="25">
        <f t="shared" ca="1" si="108"/>
        <v>0</v>
      </c>
      <c r="AC50" s="22"/>
      <c r="AD50" s="22"/>
      <c r="AF50" s="22"/>
    </row>
    <row r="51" spans="1:32" ht="13">
      <c r="A51" s="2">
        <f t="shared" si="90"/>
        <v>6</v>
      </c>
      <c r="B51" s="32">
        <f t="shared" ca="1" si="105"/>
        <v>1</v>
      </c>
      <c r="C51" s="5">
        <f t="shared" ref="C51:E51" ca="1" si="109">$B51*$I$136/SUM($I$136:$J$136)*L112</f>
        <v>7.6181013460385E-2</v>
      </c>
      <c r="D51" s="5">
        <f t="shared" ca="1" si="109"/>
        <v>2.8346423613166513E-2</v>
      </c>
      <c r="E51" s="5">
        <f t="shared" ca="1" si="109"/>
        <v>1.3935228772517495E-2</v>
      </c>
      <c r="F51" s="5">
        <f t="shared" ref="F51:H51" ca="1" si="110">$B51*$J$136/SUM($I$136:$J$136)*Q112</f>
        <v>0.88153733415393098</v>
      </c>
      <c r="G51" s="5">
        <f t="shared" ca="1" si="110"/>
        <v>0</v>
      </c>
      <c r="H51" s="5">
        <f t="shared" ca="1" si="110"/>
        <v>0</v>
      </c>
      <c r="I51" s="5">
        <f t="shared" ca="1" si="94"/>
        <v>0</v>
      </c>
      <c r="J51" s="2"/>
      <c r="T51" s="2">
        <v>6</v>
      </c>
      <c r="U51" s="25">
        <f t="shared" ref="U51:Z51" ca="1" si="111">C51</f>
        <v>7.6181013460385E-2</v>
      </c>
      <c r="V51" s="25">
        <f t="shared" ca="1" si="111"/>
        <v>2.8346423613166513E-2</v>
      </c>
      <c r="W51" s="25">
        <f t="shared" ca="1" si="111"/>
        <v>1.3935228772517495E-2</v>
      </c>
      <c r="X51" s="25">
        <f t="shared" ca="1" si="111"/>
        <v>0.88153733415393098</v>
      </c>
      <c r="Y51" s="25">
        <f t="shared" ca="1" si="111"/>
        <v>0</v>
      </c>
      <c r="Z51" s="25">
        <f t="shared" ca="1" si="111"/>
        <v>0</v>
      </c>
      <c r="AC51" s="22"/>
      <c r="AD51" s="22"/>
      <c r="AF51" s="22"/>
    </row>
    <row r="52" spans="1:32" ht="13">
      <c r="A52" s="2">
        <f t="shared" si="90"/>
        <v>7</v>
      </c>
      <c r="B52" s="32">
        <f t="shared" ca="1" si="105"/>
        <v>1</v>
      </c>
      <c r="C52" s="5">
        <f t="shared" ref="C52:E52" ca="1" si="112">$B52*$I$136/SUM($I$136:$J$136)*L113</f>
        <v>2.9364922342840247E-2</v>
      </c>
      <c r="D52" s="5">
        <f t="shared" ca="1" si="112"/>
        <v>5.9732821160388513E-2</v>
      </c>
      <c r="E52" s="5">
        <f t="shared" ca="1" si="112"/>
        <v>2.9364922342840247E-2</v>
      </c>
      <c r="F52" s="5">
        <f t="shared" ref="F52:H52" ca="1" si="113">$B52*$J$136/SUM($I$136:$J$136)*Q113</f>
        <v>0</v>
      </c>
      <c r="G52" s="5">
        <f t="shared" ca="1" si="113"/>
        <v>0.41439789212364281</v>
      </c>
      <c r="H52" s="5">
        <f t="shared" ca="1" si="113"/>
        <v>0.46713944203028823</v>
      </c>
      <c r="I52" s="5">
        <f t="shared" ca="1" si="94"/>
        <v>0</v>
      </c>
      <c r="J52" s="2"/>
      <c r="T52" s="2">
        <v>7</v>
      </c>
      <c r="U52" s="25">
        <f t="shared" ref="U52:Z52" ca="1" si="114">C52</f>
        <v>2.9364922342840247E-2</v>
      </c>
      <c r="V52" s="25">
        <f t="shared" ca="1" si="114"/>
        <v>5.9732821160388513E-2</v>
      </c>
      <c r="W52" s="25">
        <f t="shared" ca="1" si="114"/>
        <v>2.9364922342840247E-2</v>
      </c>
      <c r="X52" s="25">
        <f t="shared" ca="1" si="114"/>
        <v>0</v>
      </c>
      <c r="Y52" s="25">
        <f t="shared" ca="1" si="114"/>
        <v>0.41439789212364281</v>
      </c>
      <c r="Z52" s="25">
        <f t="shared" ca="1" si="114"/>
        <v>0.46713944203028823</v>
      </c>
      <c r="AC52" s="22"/>
      <c r="AD52" s="22"/>
      <c r="AF52" s="22"/>
    </row>
    <row r="53" spans="1:32" ht="13">
      <c r="A53" s="2">
        <f t="shared" si="90"/>
        <v>8</v>
      </c>
      <c r="B53" s="32">
        <f t="shared" ca="1" si="105"/>
        <v>1</v>
      </c>
      <c r="C53" s="5">
        <f t="shared" ref="C53:E53" ca="1" si="115">$B53*$I$136/SUM($I$136:$J$136)*L114</f>
        <v>2.9364922342840247E-2</v>
      </c>
      <c r="D53" s="5">
        <f t="shared" ca="1" si="115"/>
        <v>5.9732821160388513E-2</v>
      </c>
      <c r="E53" s="5">
        <f t="shared" ca="1" si="115"/>
        <v>2.9364922342840247E-2</v>
      </c>
      <c r="F53" s="5">
        <f t="shared" ref="F53:H53" ca="1" si="116">$B53*$J$136/SUM($I$136:$J$136)*Q114</f>
        <v>0</v>
      </c>
      <c r="G53" s="5">
        <f t="shared" ca="1" si="116"/>
        <v>0.41439789212364281</v>
      </c>
      <c r="H53" s="5">
        <f t="shared" ca="1" si="116"/>
        <v>0.46713944203028823</v>
      </c>
      <c r="I53" s="5">
        <f t="shared" ca="1" si="94"/>
        <v>0</v>
      </c>
      <c r="J53" s="2"/>
      <c r="T53" s="2">
        <v>8</v>
      </c>
      <c r="U53" s="25">
        <f t="shared" ref="U53:Z53" ca="1" si="117">C53</f>
        <v>2.9364922342840247E-2</v>
      </c>
      <c r="V53" s="25">
        <f t="shared" ca="1" si="117"/>
        <v>5.9732821160388513E-2</v>
      </c>
      <c r="W53" s="25">
        <f t="shared" ca="1" si="117"/>
        <v>2.9364922342840247E-2</v>
      </c>
      <c r="X53" s="25">
        <f t="shared" ca="1" si="117"/>
        <v>0</v>
      </c>
      <c r="Y53" s="25">
        <f t="shared" ca="1" si="117"/>
        <v>0.41439789212364281</v>
      </c>
      <c r="Z53" s="25">
        <f t="shared" ca="1" si="117"/>
        <v>0.46713944203028823</v>
      </c>
      <c r="AC53" s="22"/>
      <c r="AD53" s="22"/>
      <c r="AF53" s="22"/>
    </row>
    <row r="54" spans="1:32" ht="13">
      <c r="AC54" s="4"/>
      <c r="AD54" s="21"/>
      <c r="AE54" s="34"/>
    </row>
    <row r="55" spans="1:32" ht="13">
      <c r="A55" s="2" t="s">
        <v>124</v>
      </c>
      <c r="C55" s="35"/>
      <c r="T55" s="2" t="s">
        <v>125</v>
      </c>
    </row>
    <row r="56" spans="1:32" ht="13">
      <c r="A56" s="1" t="s">
        <v>90</v>
      </c>
      <c r="B56" s="31" t="s">
        <v>120</v>
      </c>
      <c r="C56" s="1" t="s">
        <v>78</v>
      </c>
      <c r="D56" s="1" t="s">
        <v>79</v>
      </c>
      <c r="E56" s="1" t="s">
        <v>80</v>
      </c>
      <c r="F56" s="1" t="s">
        <v>58</v>
      </c>
      <c r="G56" s="1" t="s">
        <v>60</v>
      </c>
      <c r="H56" s="1" t="s">
        <v>62</v>
      </c>
      <c r="I56" s="1" t="s">
        <v>121</v>
      </c>
      <c r="T56" s="1" t="s">
        <v>104</v>
      </c>
      <c r="U56" s="1" t="s">
        <v>78</v>
      </c>
      <c r="V56" s="1" t="s">
        <v>79</v>
      </c>
      <c r="W56" s="1" t="s">
        <v>80</v>
      </c>
      <c r="X56" s="1" t="s">
        <v>81</v>
      </c>
      <c r="Y56" s="1" t="s">
        <v>82</v>
      </c>
      <c r="Z56" s="1" t="s">
        <v>83</v>
      </c>
    </row>
    <row r="57" spans="1:32" ht="13">
      <c r="A57" s="2">
        <f t="shared" ref="A57:A64" si="118">A35</f>
        <v>1</v>
      </c>
      <c r="B57" s="32">
        <f ca="1">F35*(1+$E$129)</f>
        <v>0.61213502744988713</v>
      </c>
      <c r="C57" s="5">
        <f t="shared" ref="C57:E57" ca="1" si="119">$B57*$I$128/SUM($I$128:$J$128)*L107</f>
        <v>0.33573363207653384</v>
      </c>
      <c r="D57" s="5">
        <f t="shared" ca="1" si="119"/>
        <v>0.11830269147524414</v>
      </c>
      <c r="E57" s="5">
        <f t="shared" ca="1" si="119"/>
        <v>0.15809870389810915</v>
      </c>
      <c r="F57" s="5">
        <f t="shared" ref="F57:H57" ca="1" si="120">$B57*$J$128/SUM($I$128:$J$128)*Q107</f>
        <v>0</v>
      </c>
      <c r="G57" s="5">
        <f t="shared" ca="1" si="120"/>
        <v>0</v>
      </c>
      <c r="H57" s="5">
        <f t="shared" ca="1" si="120"/>
        <v>0</v>
      </c>
      <c r="I57" s="5">
        <f t="shared" ref="I57:I64" ca="1" si="121">1-B57</f>
        <v>0.38786497255011287</v>
      </c>
      <c r="T57" s="2">
        <v>1</v>
      </c>
      <c r="U57" s="25">
        <f t="shared" ref="U57:Z57" ca="1" si="122">C57</f>
        <v>0.33573363207653384</v>
      </c>
      <c r="V57" s="25">
        <f t="shared" ca="1" si="122"/>
        <v>0.11830269147524414</v>
      </c>
      <c r="W57" s="25">
        <f t="shared" ca="1" si="122"/>
        <v>0.15809870389810915</v>
      </c>
      <c r="X57" s="25">
        <f t="shared" ca="1" si="122"/>
        <v>0</v>
      </c>
      <c r="Y57" s="25">
        <f t="shared" ca="1" si="122"/>
        <v>0</v>
      </c>
      <c r="Z57" s="25">
        <f t="shared" ca="1" si="122"/>
        <v>0</v>
      </c>
    </row>
    <row r="58" spans="1:32" ht="13">
      <c r="A58" s="2">
        <f t="shared" si="118"/>
        <v>2</v>
      </c>
      <c r="B58" s="32">
        <f t="shared" ref="B58:E58" ca="1" si="123">B59</f>
        <v>0.47903410967221577</v>
      </c>
      <c r="C58" s="5">
        <f t="shared" ca="1" si="123"/>
        <v>0.26273265589587247</v>
      </c>
      <c r="D58" s="5">
        <f t="shared" ca="1" si="123"/>
        <v>9.257928715296368E-2</v>
      </c>
      <c r="E58" s="5">
        <f t="shared" ca="1" si="123"/>
        <v>0.12372216662337961</v>
      </c>
      <c r="F58" s="5">
        <f t="shared" ref="F58:H58" ca="1" si="124">$B58*$J$128/SUM($I$128:$J$128)*Q108</f>
        <v>0</v>
      </c>
      <c r="G58" s="5">
        <f t="shared" ca="1" si="124"/>
        <v>0</v>
      </c>
      <c r="H58" s="5">
        <f t="shared" ca="1" si="124"/>
        <v>0</v>
      </c>
      <c r="I58" s="5">
        <f t="shared" ca="1" si="121"/>
        <v>0.52096589032778429</v>
      </c>
      <c r="T58" s="2">
        <v>2</v>
      </c>
      <c r="U58" s="25">
        <f t="shared" ref="U58:Z58" ca="1" si="125">C58</f>
        <v>0.26273265589587247</v>
      </c>
      <c r="V58" s="25">
        <f t="shared" ca="1" si="125"/>
        <v>9.257928715296368E-2</v>
      </c>
      <c r="W58" s="25">
        <f t="shared" ca="1" si="125"/>
        <v>0.12372216662337961</v>
      </c>
      <c r="X58" s="25">
        <f t="shared" ca="1" si="125"/>
        <v>0</v>
      </c>
      <c r="Y58" s="25">
        <f t="shared" ca="1" si="125"/>
        <v>0</v>
      </c>
      <c r="Z58" s="25">
        <f t="shared" ca="1" si="125"/>
        <v>0</v>
      </c>
    </row>
    <row r="59" spans="1:32" ht="13">
      <c r="A59" s="2">
        <f t="shared" si="118"/>
        <v>3</v>
      </c>
      <c r="B59" s="32">
        <f t="shared" ref="B59:B60" ca="1" si="126">F37*(1+$E$129)</f>
        <v>0.47903410967221577</v>
      </c>
      <c r="C59" s="5">
        <f t="shared" ref="C59:E59" ca="1" si="127">$B59*$I$128/SUM($I$128:$J$128)*L109</f>
        <v>0.26273265589587247</v>
      </c>
      <c r="D59" s="5">
        <f t="shared" ca="1" si="127"/>
        <v>9.257928715296368E-2</v>
      </c>
      <c r="E59" s="5">
        <f t="shared" ca="1" si="127"/>
        <v>0.12372216662337961</v>
      </c>
      <c r="F59" s="5">
        <f t="shared" ref="F59:H59" ca="1" si="128">$B59*$J$128/SUM($I$128:$J$128)*Q109</f>
        <v>0</v>
      </c>
      <c r="G59" s="5">
        <f t="shared" ca="1" si="128"/>
        <v>0</v>
      </c>
      <c r="H59" s="5">
        <f t="shared" ca="1" si="128"/>
        <v>0</v>
      </c>
      <c r="I59" s="5">
        <f t="shared" ca="1" si="121"/>
        <v>0.52096589032778429</v>
      </c>
      <c r="T59" s="2">
        <v>3</v>
      </c>
      <c r="U59" s="25">
        <f t="shared" ref="U59:Z59" ca="1" si="129">C59</f>
        <v>0.26273265589587247</v>
      </c>
      <c r="V59" s="25">
        <f t="shared" ca="1" si="129"/>
        <v>9.257928715296368E-2</v>
      </c>
      <c r="W59" s="25">
        <f t="shared" ca="1" si="129"/>
        <v>0.12372216662337961</v>
      </c>
      <c r="X59" s="25">
        <f t="shared" ca="1" si="129"/>
        <v>0</v>
      </c>
      <c r="Y59" s="25">
        <f t="shared" ca="1" si="129"/>
        <v>0</v>
      </c>
      <c r="Z59" s="25">
        <f t="shared" ca="1" si="129"/>
        <v>0</v>
      </c>
    </row>
    <row r="60" spans="1:32" ht="13">
      <c r="A60" s="2">
        <f t="shared" si="118"/>
        <v>4</v>
      </c>
      <c r="B60" s="32">
        <f t="shared" ca="1" si="126"/>
        <v>0.47903410967221577</v>
      </c>
      <c r="C60" s="5">
        <f t="shared" ref="C60:E60" ca="1" si="130">$B60*$I$128/SUM($I$128:$J$128)*L110</f>
        <v>0.26273265589587247</v>
      </c>
      <c r="D60" s="5">
        <f t="shared" ca="1" si="130"/>
        <v>9.257928715296368E-2</v>
      </c>
      <c r="E60" s="5">
        <f t="shared" ca="1" si="130"/>
        <v>0.12372216662337961</v>
      </c>
      <c r="F60" s="5">
        <f t="shared" ref="F60:H60" ca="1" si="131">$B60*$J$128/SUM($I$128:$J$128)*Q110</f>
        <v>0</v>
      </c>
      <c r="G60" s="5">
        <f t="shared" ca="1" si="131"/>
        <v>0</v>
      </c>
      <c r="H60" s="5">
        <f t="shared" ca="1" si="131"/>
        <v>0</v>
      </c>
      <c r="I60" s="5">
        <f t="shared" ca="1" si="121"/>
        <v>0.52096589032778429</v>
      </c>
      <c r="T60" s="2">
        <v>4</v>
      </c>
      <c r="U60" s="25">
        <f t="shared" ref="U60:Z60" ca="1" si="132">C60</f>
        <v>0.26273265589587247</v>
      </c>
      <c r="V60" s="25">
        <f t="shared" ca="1" si="132"/>
        <v>9.257928715296368E-2</v>
      </c>
      <c r="W60" s="25">
        <f t="shared" ca="1" si="132"/>
        <v>0.12372216662337961</v>
      </c>
      <c r="X60" s="25">
        <f t="shared" ca="1" si="132"/>
        <v>0</v>
      </c>
      <c r="Y60" s="25">
        <f t="shared" ca="1" si="132"/>
        <v>0</v>
      </c>
      <c r="Z60" s="25">
        <f t="shared" ca="1" si="132"/>
        <v>0</v>
      </c>
    </row>
    <row r="61" spans="1:32" ht="13">
      <c r="A61" s="2">
        <f t="shared" si="118"/>
        <v>5</v>
      </c>
      <c r="B61" s="32">
        <f t="shared" ref="B61:B64" ca="1" si="133">$C$137</f>
        <v>1</v>
      </c>
      <c r="C61" s="5">
        <f t="shared" ref="C61:E61" ca="1" si="134">$B61*$I$137/SUM($I$137:$J$137)*L111</f>
        <v>0.32797098214285714</v>
      </c>
      <c r="D61" s="5">
        <f t="shared" ca="1" si="134"/>
        <v>0.12203571428571429</v>
      </c>
      <c r="E61" s="5">
        <f t="shared" ca="1" si="134"/>
        <v>5.9993303571428583E-2</v>
      </c>
      <c r="F61" s="5">
        <f t="shared" ref="F61:H61" ca="1" si="135">$B61*$J$137/SUM($I$137:$J$137)*Q111</f>
        <v>0.49</v>
      </c>
      <c r="G61" s="5">
        <f t="shared" ca="1" si="135"/>
        <v>0</v>
      </c>
      <c r="H61" s="5">
        <f t="shared" ca="1" si="135"/>
        <v>0</v>
      </c>
      <c r="I61" s="5">
        <f t="shared" ca="1" si="121"/>
        <v>0</v>
      </c>
      <c r="T61" s="2">
        <v>5</v>
      </c>
      <c r="U61" s="25">
        <f t="shared" ref="U61:Z61" ca="1" si="136">C61</f>
        <v>0.32797098214285714</v>
      </c>
      <c r="V61" s="25">
        <f t="shared" ca="1" si="136"/>
        <v>0.12203571428571429</v>
      </c>
      <c r="W61" s="25">
        <f t="shared" ca="1" si="136"/>
        <v>5.9993303571428583E-2</v>
      </c>
      <c r="X61" s="25">
        <f t="shared" ca="1" si="136"/>
        <v>0.49</v>
      </c>
      <c r="Y61" s="25">
        <f t="shared" ca="1" si="136"/>
        <v>0</v>
      </c>
      <c r="Z61" s="25">
        <f t="shared" ca="1" si="136"/>
        <v>0</v>
      </c>
    </row>
    <row r="62" spans="1:32" ht="13">
      <c r="A62" s="2">
        <f t="shared" si="118"/>
        <v>6</v>
      </c>
      <c r="B62" s="32">
        <f t="shared" ca="1" si="133"/>
        <v>1</v>
      </c>
      <c r="C62" s="5">
        <f t="shared" ref="C62:E62" ca="1" si="137">$B62*$I$137/SUM($I$137:$J$137)*L112</f>
        <v>0.32797098214285714</v>
      </c>
      <c r="D62" s="5">
        <f t="shared" ca="1" si="137"/>
        <v>0.12203571428571429</v>
      </c>
      <c r="E62" s="5">
        <f t="shared" ca="1" si="137"/>
        <v>5.9993303571428583E-2</v>
      </c>
      <c r="F62" s="5">
        <f t="shared" ref="F62:H62" ca="1" si="138">$B62*$J$137/SUM($I$137:$J$137)*Q112</f>
        <v>0.49</v>
      </c>
      <c r="G62" s="5">
        <f t="shared" ca="1" si="138"/>
        <v>0</v>
      </c>
      <c r="H62" s="5">
        <f t="shared" ca="1" si="138"/>
        <v>0</v>
      </c>
      <c r="I62" s="5">
        <f t="shared" ca="1" si="121"/>
        <v>0</v>
      </c>
      <c r="T62" s="2">
        <v>6</v>
      </c>
      <c r="U62" s="25">
        <f t="shared" ref="U62:Z62" ca="1" si="139">C62</f>
        <v>0.32797098214285714</v>
      </c>
      <c r="V62" s="25">
        <f t="shared" ca="1" si="139"/>
        <v>0.12203571428571429</v>
      </c>
      <c r="W62" s="25">
        <f t="shared" ca="1" si="139"/>
        <v>5.9993303571428583E-2</v>
      </c>
      <c r="X62" s="25">
        <f t="shared" ca="1" si="139"/>
        <v>0.49</v>
      </c>
      <c r="Y62" s="25">
        <f t="shared" ca="1" si="139"/>
        <v>0</v>
      </c>
      <c r="Z62" s="25">
        <f t="shared" ca="1" si="139"/>
        <v>0</v>
      </c>
    </row>
    <row r="63" spans="1:32" ht="13">
      <c r="A63" s="2">
        <f t="shared" si="118"/>
        <v>7</v>
      </c>
      <c r="B63" s="32">
        <f t="shared" ca="1" si="133"/>
        <v>1</v>
      </c>
      <c r="C63" s="5">
        <f t="shared" ref="C63:E63" ca="1" si="140">$B63*$I$137/SUM($I$137:$J$137)*L113</f>
        <v>0.12642050799623708</v>
      </c>
      <c r="D63" s="5">
        <f t="shared" ca="1" si="140"/>
        <v>0.2571589840075259</v>
      </c>
      <c r="E63" s="5">
        <f t="shared" ca="1" si="140"/>
        <v>0.12642050799623708</v>
      </c>
      <c r="F63" s="5">
        <f t="shared" ref="F63:H63" ca="1" si="141">$B63*$J$137/SUM($I$137:$J$137)*Q113</f>
        <v>0</v>
      </c>
      <c r="G63" s="5">
        <f t="shared" ca="1" si="141"/>
        <v>0.23034188034188036</v>
      </c>
      <c r="H63" s="5">
        <f t="shared" ca="1" si="141"/>
        <v>0.25965811965811963</v>
      </c>
      <c r="I63" s="5">
        <f t="shared" ca="1" si="121"/>
        <v>0</v>
      </c>
      <c r="T63" s="2">
        <v>7</v>
      </c>
      <c r="U63" s="25">
        <f t="shared" ref="U63:Z63" ca="1" si="142">C63</f>
        <v>0.12642050799623708</v>
      </c>
      <c r="V63" s="25">
        <f t="shared" ca="1" si="142"/>
        <v>0.2571589840075259</v>
      </c>
      <c r="W63" s="25">
        <f t="shared" ca="1" si="142"/>
        <v>0.12642050799623708</v>
      </c>
      <c r="X63" s="25">
        <f t="shared" ca="1" si="142"/>
        <v>0</v>
      </c>
      <c r="Y63" s="25">
        <f t="shared" ca="1" si="142"/>
        <v>0.23034188034188036</v>
      </c>
      <c r="Z63" s="25">
        <f t="shared" ca="1" si="142"/>
        <v>0.25965811965811963</v>
      </c>
    </row>
    <row r="64" spans="1:32" ht="13">
      <c r="A64" s="2">
        <f t="shared" si="118"/>
        <v>8</v>
      </c>
      <c r="B64" s="32">
        <f t="shared" ca="1" si="133"/>
        <v>1</v>
      </c>
      <c r="C64" s="5">
        <f t="shared" ref="C64:E64" ca="1" si="143">$B64*$I$137/SUM($I$137:$J$137)*L114</f>
        <v>0.12642050799623708</v>
      </c>
      <c r="D64" s="5">
        <f t="shared" ca="1" si="143"/>
        <v>0.2571589840075259</v>
      </c>
      <c r="E64" s="5">
        <f t="shared" ca="1" si="143"/>
        <v>0.12642050799623708</v>
      </c>
      <c r="F64" s="5">
        <f t="shared" ref="F64:H64" ca="1" si="144">$B64*$J$137/SUM($I$137:$J$137)*Q114</f>
        <v>0</v>
      </c>
      <c r="G64" s="5">
        <f t="shared" ca="1" si="144"/>
        <v>0.23034188034188036</v>
      </c>
      <c r="H64" s="5">
        <f t="shared" ca="1" si="144"/>
        <v>0.25965811965811963</v>
      </c>
      <c r="I64" s="5">
        <f t="shared" ca="1" si="121"/>
        <v>0</v>
      </c>
      <c r="T64" s="2">
        <v>8</v>
      </c>
      <c r="U64" s="25">
        <f t="shared" ref="U64:Z64" ca="1" si="145">C64</f>
        <v>0.12642050799623708</v>
      </c>
      <c r="V64" s="25">
        <f t="shared" ca="1" si="145"/>
        <v>0.2571589840075259</v>
      </c>
      <c r="W64" s="25">
        <f t="shared" ca="1" si="145"/>
        <v>0.12642050799623708</v>
      </c>
      <c r="X64" s="25">
        <f t="shared" ca="1" si="145"/>
        <v>0</v>
      </c>
      <c r="Y64" s="25">
        <f t="shared" ca="1" si="145"/>
        <v>0.23034188034188036</v>
      </c>
      <c r="Z64" s="25">
        <f t="shared" ca="1" si="145"/>
        <v>0.25965811965811963</v>
      </c>
    </row>
    <row r="66" spans="1:26" ht="13">
      <c r="A66" s="2" t="s">
        <v>126</v>
      </c>
      <c r="C66" s="35"/>
      <c r="T66" s="2" t="s">
        <v>127</v>
      </c>
    </row>
    <row r="67" spans="1:26" ht="13">
      <c r="A67" s="1" t="s">
        <v>90</v>
      </c>
      <c r="B67" s="31" t="s">
        <v>120</v>
      </c>
      <c r="C67" s="1" t="s">
        <v>78</v>
      </c>
      <c r="D67" s="1" t="s">
        <v>79</v>
      </c>
      <c r="E67" s="1" t="s">
        <v>80</v>
      </c>
      <c r="F67" s="1" t="s">
        <v>58</v>
      </c>
      <c r="G67" s="1" t="s">
        <v>60</v>
      </c>
      <c r="H67" s="1" t="s">
        <v>62</v>
      </c>
      <c r="I67" s="1" t="s">
        <v>121</v>
      </c>
      <c r="T67" s="1" t="s">
        <v>104</v>
      </c>
      <c r="U67" s="1" t="s">
        <v>78</v>
      </c>
      <c r="V67" s="1" t="s">
        <v>79</v>
      </c>
      <c r="W67" s="1" t="s">
        <v>80</v>
      </c>
      <c r="X67" s="1" t="s">
        <v>81</v>
      </c>
      <c r="Y67" s="1" t="s">
        <v>82</v>
      </c>
      <c r="Z67" s="1" t="s">
        <v>83</v>
      </c>
    </row>
    <row r="68" spans="1:26" ht="13">
      <c r="A68" s="2">
        <f t="shared" ref="A68:A75" si="146">A35</f>
        <v>1</v>
      </c>
      <c r="B68" s="32">
        <f t="shared" ref="B68:B71" ca="1" si="147">F35*(1+$E$130)</f>
        <v>0.76248320448854034</v>
      </c>
      <c r="C68" s="5">
        <f t="shared" ref="C68:E68" ca="1" si="148">$B68*$I$129/SUM($I$129:$J$129)*L107</f>
        <v>0.20674068862894052</v>
      </c>
      <c r="D68" s="5">
        <f t="shared" ca="1" si="148"/>
        <v>7.284935903196503E-2</v>
      </c>
      <c r="E68" s="5">
        <f t="shared" ca="1" si="148"/>
        <v>9.7355259623757545E-2</v>
      </c>
      <c r="F68" s="5">
        <f t="shared" ref="F68:H68" ca="1" si="149">$B68*$J$129/SUM($I$129:$J$129)*Q107</f>
        <v>0.38553789720387727</v>
      </c>
      <c r="G68" s="5">
        <f t="shared" ca="1" si="149"/>
        <v>0</v>
      </c>
      <c r="H68" s="5">
        <f t="shared" ca="1" si="149"/>
        <v>0</v>
      </c>
      <c r="I68" s="5">
        <f t="shared" ref="I68:I75" ca="1" si="150">1-B68</f>
        <v>0.23751679551145966</v>
      </c>
      <c r="T68" s="2">
        <v>1</v>
      </c>
      <c r="U68" s="25">
        <f t="shared" ref="U68:Z68" ca="1" si="151">C68</f>
        <v>0.20674068862894052</v>
      </c>
      <c r="V68" s="25">
        <f t="shared" ca="1" si="151"/>
        <v>7.284935903196503E-2</v>
      </c>
      <c r="W68" s="25">
        <f t="shared" ca="1" si="151"/>
        <v>9.7355259623757545E-2</v>
      </c>
      <c r="X68" s="25">
        <f t="shared" ca="1" si="151"/>
        <v>0.38553789720387727</v>
      </c>
      <c r="Y68" s="25">
        <f t="shared" ca="1" si="151"/>
        <v>0</v>
      </c>
      <c r="Z68" s="25">
        <f t="shared" ca="1" si="151"/>
        <v>0</v>
      </c>
    </row>
    <row r="69" spans="1:26" ht="13">
      <c r="A69" s="2">
        <f t="shared" si="146"/>
        <v>2</v>
      </c>
      <c r="B69" s="32">
        <f t="shared" ca="1" si="147"/>
        <v>0.60558025361514478</v>
      </c>
      <c r="C69" s="5">
        <f t="shared" ref="C69:E69" ca="1" si="152">C70</f>
        <v>0.16178757507630609</v>
      </c>
      <c r="D69" s="5">
        <f t="shared" ca="1" si="152"/>
        <v>5.7009199407275959E-2</v>
      </c>
      <c r="E69" s="5">
        <f t="shared" ca="1" si="152"/>
        <v>7.6186605935717411E-2</v>
      </c>
      <c r="F69" s="5">
        <f t="shared" ref="F69:H69" ca="1" si="153">$B69*$J$129/SUM($I$129:$J$129)*Q108</f>
        <v>0</v>
      </c>
      <c r="G69" s="5">
        <f t="shared" ca="1" si="153"/>
        <v>0</v>
      </c>
      <c r="H69" s="5">
        <f t="shared" ca="1" si="153"/>
        <v>0.30620233494006432</v>
      </c>
      <c r="I69" s="5">
        <f t="shared" ca="1" si="150"/>
        <v>0.39441974638485522</v>
      </c>
      <c r="T69" s="2">
        <v>2</v>
      </c>
      <c r="U69" s="25">
        <f t="shared" ref="U69:Z69" ca="1" si="154">C69</f>
        <v>0.16178757507630609</v>
      </c>
      <c r="V69" s="25">
        <f t="shared" ca="1" si="154"/>
        <v>5.7009199407275959E-2</v>
      </c>
      <c r="W69" s="25">
        <f t="shared" ca="1" si="154"/>
        <v>7.6186605935717411E-2</v>
      </c>
      <c r="X69" s="25">
        <f t="shared" ca="1" si="154"/>
        <v>0</v>
      </c>
      <c r="Y69" s="25">
        <f t="shared" ca="1" si="154"/>
        <v>0</v>
      </c>
      <c r="Z69" s="25">
        <f t="shared" ca="1" si="154"/>
        <v>0.30620233494006432</v>
      </c>
    </row>
    <row r="70" spans="1:26" ht="13">
      <c r="A70" s="2">
        <f t="shared" si="146"/>
        <v>3</v>
      </c>
      <c r="B70" s="32">
        <f t="shared" ca="1" si="147"/>
        <v>0.59669100218593163</v>
      </c>
      <c r="C70" s="5">
        <f t="shared" ref="C70:E70" ca="1" si="155">$B70*$I$129/SUM($I$129:$J$129)*L109</f>
        <v>0.16178757507630609</v>
      </c>
      <c r="D70" s="5">
        <f t="shared" ca="1" si="155"/>
        <v>5.7009199407275959E-2</v>
      </c>
      <c r="E70" s="5">
        <f t="shared" ca="1" si="155"/>
        <v>7.6186605935717411E-2</v>
      </c>
      <c r="F70" s="5">
        <f t="shared" ref="F70:H70" ca="1" si="156">$B70*$J$129/SUM($I$129:$J$129)*Q109</f>
        <v>0</v>
      </c>
      <c r="G70" s="5">
        <f t="shared" ca="1" si="156"/>
        <v>0.14182836920653652</v>
      </c>
      <c r="H70" s="5">
        <f t="shared" ca="1" si="156"/>
        <v>0.15987925256009569</v>
      </c>
      <c r="I70" s="5">
        <f t="shared" ca="1" si="150"/>
        <v>0.40330899781406837</v>
      </c>
      <c r="T70" s="2">
        <v>3</v>
      </c>
      <c r="U70" s="25">
        <f t="shared" ref="U70:Z70" ca="1" si="157">C70</f>
        <v>0.16178757507630609</v>
      </c>
      <c r="V70" s="25">
        <f t="shared" ca="1" si="157"/>
        <v>5.7009199407275959E-2</v>
      </c>
      <c r="W70" s="25">
        <f t="shared" ca="1" si="157"/>
        <v>7.6186605935717411E-2</v>
      </c>
      <c r="X70" s="25">
        <f t="shared" ca="1" si="157"/>
        <v>0</v>
      </c>
      <c r="Y70" s="25">
        <f t="shared" ca="1" si="157"/>
        <v>0.14182836920653652</v>
      </c>
      <c r="Z70" s="25">
        <f t="shared" ca="1" si="157"/>
        <v>0.15987925256009569</v>
      </c>
    </row>
    <row r="71" spans="1:26" ht="13">
      <c r="A71" s="2">
        <f t="shared" si="146"/>
        <v>4</v>
      </c>
      <c r="B71" s="32">
        <f t="shared" ca="1" si="147"/>
        <v>0.59669100218593163</v>
      </c>
      <c r="C71" s="5">
        <f t="shared" ref="C71:E71" ca="1" si="158">$B71*$I$129/SUM($I$129:$J$129)*L110</f>
        <v>0.16178757507630609</v>
      </c>
      <c r="D71" s="5">
        <f t="shared" ca="1" si="158"/>
        <v>5.7009199407275959E-2</v>
      </c>
      <c r="E71" s="5">
        <f t="shared" ca="1" si="158"/>
        <v>7.6186605935717411E-2</v>
      </c>
      <c r="F71" s="5">
        <f t="shared" ref="F71:H71" ca="1" si="159">$B71*$J$129/SUM($I$129:$J$129)*Q110</f>
        <v>0</v>
      </c>
      <c r="G71" s="5">
        <f t="shared" ca="1" si="159"/>
        <v>0.14182836920653652</v>
      </c>
      <c r="H71" s="5">
        <f t="shared" ca="1" si="159"/>
        <v>0.15987925256009569</v>
      </c>
      <c r="I71" s="5">
        <f t="shared" ca="1" si="150"/>
        <v>0.40330899781406837</v>
      </c>
      <c r="T71" s="2">
        <v>4</v>
      </c>
      <c r="U71" s="25">
        <f t="shared" ref="U71:Z71" ca="1" si="160">C71</f>
        <v>0.16178757507630609</v>
      </c>
      <c r="V71" s="25">
        <f t="shared" ca="1" si="160"/>
        <v>5.7009199407275959E-2</v>
      </c>
      <c r="W71" s="25">
        <f t="shared" ca="1" si="160"/>
        <v>7.6186605935717411E-2</v>
      </c>
      <c r="X71" s="25">
        <f t="shared" ca="1" si="160"/>
        <v>0</v>
      </c>
      <c r="Y71" s="25">
        <f t="shared" ca="1" si="160"/>
        <v>0.14182836920653652</v>
      </c>
      <c r="Z71" s="25">
        <f t="shared" ca="1" si="160"/>
        <v>0.15987925256009569</v>
      </c>
    </row>
    <row r="72" spans="1:26" ht="13">
      <c r="A72" s="2">
        <f t="shared" si="146"/>
        <v>5</v>
      </c>
      <c r="B72" s="32">
        <f t="shared" ref="B72:B75" ca="1" si="161">$C$138</f>
        <v>1</v>
      </c>
      <c r="C72" s="5">
        <f t="shared" ref="C72:E72" ca="1" si="162">$B72*$I$138/SUM($I$138:$J$138)*L111</f>
        <v>0.19292410714285715</v>
      </c>
      <c r="D72" s="5">
        <f t="shared" ca="1" si="162"/>
        <v>7.1785714285714286E-2</v>
      </c>
      <c r="E72" s="5">
        <f t="shared" ca="1" si="162"/>
        <v>3.5290178571428577E-2</v>
      </c>
      <c r="F72" s="5">
        <f t="shared" ref="F72:H72" ca="1" si="163">$B72*$J$138/SUM($I$138:$J$138)*Q111</f>
        <v>0.7</v>
      </c>
      <c r="G72" s="5">
        <f t="shared" ca="1" si="163"/>
        <v>0</v>
      </c>
      <c r="H72" s="5">
        <f t="shared" ca="1" si="163"/>
        <v>0</v>
      </c>
      <c r="I72" s="5">
        <f t="shared" ca="1" si="150"/>
        <v>0</v>
      </c>
      <c r="T72" s="2">
        <v>5</v>
      </c>
      <c r="U72" s="25">
        <f t="shared" ref="U72:Z72" ca="1" si="164">C72</f>
        <v>0.19292410714285715</v>
      </c>
      <c r="V72" s="25">
        <f t="shared" ca="1" si="164"/>
        <v>7.1785714285714286E-2</v>
      </c>
      <c r="W72" s="25">
        <f t="shared" ca="1" si="164"/>
        <v>3.5290178571428577E-2</v>
      </c>
      <c r="X72" s="25">
        <f t="shared" ca="1" si="164"/>
        <v>0.7</v>
      </c>
      <c r="Y72" s="25">
        <f t="shared" ca="1" si="164"/>
        <v>0</v>
      </c>
      <c r="Z72" s="25">
        <f t="shared" ca="1" si="164"/>
        <v>0</v>
      </c>
    </row>
    <row r="73" spans="1:26" ht="13">
      <c r="A73" s="2">
        <f t="shared" si="146"/>
        <v>6</v>
      </c>
      <c r="B73" s="32">
        <f t="shared" ca="1" si="161"/>
        <v>1</v>
      </c>
      <c r="C73" s="5">
        <f t="shared" ref="C73:E73" ca="1" si="165">$B73*$I$138/SUM($I$138:$J$138)*L112</f>
        <v>0.19292410714285715</v>
      </c>
      <c r="D73" s="5">
        <f t="shared" ca="1" si="165"/>
        <v>7.1785714285714286E-2</v>
      </c>
      <c r="E73" s="5">
        <f t="shared" ca="1" si="165"/>
        <v>3.5290178571428577E-2</v>
      </c>
      <c r="F73" s="5">
        <f t="shared" ref="F73:H73" ca="1" si="166">$B73*$J$138/SUM($I$138:$J$138)*Q112</f>
        <v>0.7</v>
      </c>
      <c r="G73" s="5">
        <f t="shared" ca="1" si="166"/>
        <v>0</v>
      </c>
      <c r="H73" s="5">
        <f t="shared" ca="1" si="166"/>
        <v>0</v>
      </c>
      <c r="I73" s="5">
        <f t="shared" ca="1" si="150"/>
        <v>0</v>
      </c>
      <c r="T73" s="2">
        <v>6</v>
      </c>
      <c r="U73" s="25">
        <f t="shared" ref="U73:Z73" ca="1" si="167">C73</f>
        <v>0.19292410714285715</v>
      </c>
      <c r="V73" s="25">
        <f t="shared" ca="1" si="167"/>
        <v>7.1785714285714286E-2</v>
      </c>
      <c r="W73" s="25">
        <f t="shared" ca="1" si="167"/>
        <v>3.5290178571428577E-2</v>
      </c>
      <c r="X73" s="25">
        <f t="shared" ca="1" si="167"/>
        <v>0.7</v>
      </c>
      <c r="Y73" s="25">
        <f t="shared" ca="1" si="167"/>
        <v>0</v>
      </c>
      <c r="Z73" s="25">
        <f t="shared" ca="1" si="167"/>
        <v>0</v>
      </c>
    </row>
    <row r="74" spans="1:26" ht="13">
      <c r="A74" s="2">
        <f t="shared" si="146"/>
        <v>7</v>
      </c>
      <c r="B74" s="32">
        <f t="shared" ca="1" si="161"/>
        <v>1</v>
      </c>
      <c r="C74" s="5">
        <f t="shared" ref="C74:E74" ca="1" si="168">$B74*$I$138/SUM($I$138:$J$138)*L113</f>
        <v>7.4365004703668858E-2</v>
      </c>
      <c r="D74" s="5">
        <f t="shared" ca="1" si="168"/>
        <v>0.15126999059266227</v>
      </c>
      <c r="E74" s="5">
        <f t="shared" ca="1" si="168"/>
        <v>7.4365004703668858E-2</v>
      </c>
      <c r="F74" s="5">
        <f t="shared" ref="F74:H74" ca="1" si="169">$B74*$J$138/SUM($I$138:$J$138)*Q113</f>
        <v>0</v>
      </c>
      <c r="G74" s="5">
        <f t="shared" ca="1" si="169"/>
        <v>0.32905982905982906</v>
      </c>
      <c r="H74" s="5">
        <f t="shared" ca="1" si="169"/>
        <v>0.3709401709401709</v>
      </c>
      <c r="I74" s="5">
        <f t="shared" ca="1" si="150"/>
        <v>0</v>
      </c>
      <c r="T74" s="2">
        <v>7</v>
      </c>
      <c r="U74" s="25">
        <f t="shared" ref="U74:Z74" ca="1" si="170">C74</f>
        <v>7.4365004703668858E-2</v>
      </c>
      <c r="V74" s="25">
        <f t="shared" ca="1" si="170"/>
        <v>0.15126999059266227</v>
      </c>
      <c r="W74" s="25">
        <f t="shared" ca="1" si="170"/>
        <v>7.4365004703668858E-2</v>
      </c>
      <c r="X74" s="25">
        <f t="shared" ca="1" si="170"/>
        <v>0</v>
      </c>
      <c r="Y74" s="25">
        <f t="shared" ca="1" si="170"/>
        <v>0.32905982905982906</v>
      </c>
      <c r="Z74" s="25">
        <f t="shared" ca="1" si="170"/>
        <v>0.3709401709401709</v>
      </c>
    </row>
    <row r="75" spans="1:26" ht="13">
      <c r="A75" s="2">
        <f t="shared" si="146"/>
        <v>8</v>
      </c>
      <c r="B75" s="32">
        <f t="shared" ca="1" si="161"/>
        <v>1</v>
      </c>
      <c r="C75" s="5">
        <f t="shared" ref="C75:E75" ca="1" si="171">$B75*$I$138/SUM($I$138:$J$138)*L114</f>
        <v>7.4365004703668858E-2</v>
      </c>
      <c r="D75" s="5">
        <f t="shared" ca="1" si="171"/>
        <v>0.15126999059266227</v>
      </c>
      <c r="E75" s="5">
        <f t="shared" ca="1" si="171"/>
        <v>7.4365004703668858E-2</v>
      </c>
      <c r="F75" s="5">
        <f t="shared" ref="F75:H75" ca="1" si="172">$B75*$J$138/SUM($I$138:$J$138)*Q114</f>
        <v>0</v>
      </c>
      <c r="G75" s="5">
        <f t="shared" ca="1" si="172"/>
        <v>0.32905982905982906</v>
      </c>
      <c r="H75" s="5">
        <f t="shared" ca="1" si="172"/>
        <v>0.3709401709401709</v>
      </c>
      <c r="I75" s="5">
        <f t="shared" ca="1" si="150"/>
        <v>0</v>
      </c>
      <c r="T75" s="2">
        <v>8</v>
      </c>
      <c r="U75" s="25">
        <f t="shared" ref="U75:Z75" ca="1" si="173">C75</f>
        <v>7.4365004703668858E-2</v>
      </c>
      <c r="V75" s="25">
        <f t="shared" ca="1" si="173"/>
        <v>0.15126999059266227</v>
      </c>
      <c r="W75" s="25">
        <f t="shared" ca="1" si="173"/>
        <v>7.4365004703668858E-2</v>
      </c>
      <c r="X75" s="25">
        <f t="shared" ca="1" si="173"/>
        <v>0</v>
      </c>
      <c r="Y75" s="25">
        <f t="shared" ca="1" si="173"/>
        <v>0.32905982905982906</v>
      </c>
      <c r="Z75" s="25">
        <f t="shared" ca="1" si="173"/>
        <v>0.3709401709401709</v>
      </c>
    </row>
    <row r="77" spans="1:26" ht="13">
      <c r="A77" s="2" t="s">
        <v>128</v>
      </c>
      <c r="C77" s="35"/>
      <c r="T77" s="2" t="s">
        <v>129</v>
      </c>
    </row>
    <row r="78" spans="1:26" ht="13">
      <c r="A78" s="1" t="s">
        <v>90</v>
      </c>
      <c r="B78" s="31" t="s">
        <v>120</v>
      </c>
      <c r="C78" s="1" t="s">
        <v>78</v>
      </c>
      <c r="D78" s="1" t="s">
        <v>79</v>
      </c>
      <c r="E78" s="1" t="s">
        <v>80</v>
      </c>
      <c r="F78" s="1" t="s">
        <v>58</v>
      </c>
      <c r="G78" s="1" t="s">
        <v>60</v>
      </c>
      <c r="H78" s="1" t="s">
        <v>62</v>
      </c>
      <c r="I78" s="1" t="s">
        <v>121</v>
      </c>
      <c r="T78" s="1" t="s">
        <v>104</v>
      </c>
      <c r="U78" s="1" t="s">
        <v>78</v>
      </c>
      <c r="V78" s="1" t="s">
        <v>79</v>
      </c>
      <c r="W78" s="1" t="s">
        <v>80</v>
      </c>
      <c r="X78" s="1" t="s">
        <v>81</v>
      </c>
      <c r="Y78" s="1" t="s">
        <v>82</v>
      </c>
      <c r="Z78" s="1" t="s">
        <v>83</v>
      </c>
    </row>
    <row r="79" spans="1:26" ht="13">
      <c r="A79" s="2">
        <f t="shared" ref="A79:A86" si="174">A35</f>
        <v>1</v>
      </c>
      <c r="B79" s="32">
        <f t="shared" ref="B79:B82" ca="1" si="175">MIN(1, F35*(1+$E$131))</f>
        <v>1</v>
      </c>
      <c r="C79" s="5">
        <f t="shared" ref="C79:E79" ca="1" si="176">$B79*$I$130/SUM($I$130:$J$130)*L107</f>
        <v>5.4612913387866148E-2</v>
      </c>
      <c r="D79" s="5">
        <f t="shared" ca="1" si="176"/>
        <v>1.9243989954560593E-2</v>
      </c>
      <c r="E79" s="5">
        <f t="shared" ca="1" si="176"/>
        <v>2.5717503394932659E-2</v>
      </c>
      <c r="F79" s="5">
        <f t="shared" ref="F79:G79" ca="1" si="177">F46</f>
        <v>0.36126810180199048</v>
      </c>
      <c r="G79" s="5">
        <f t="shared" ca="1" si="177"/>
        <v>0</v>
      </c>
      <c r="H79" s="5">
        <f t="shared" ref="H79:H82" ca="1" si="178">B79-SUM(C79:G79)</f>
        <v>0.53915749146065006</v>
      </c>
      <c r="I79" s="5">
        <f t="shared" ref="I79:I86" ca="1" si="179">1-B79</f>
        <v>0</v>
      </c>
      <c r="T79" s="2">
        <v>1</v>
      </c>
      <c r="U79" s="25">
        <f t="shared" ref="U79:Z79" ca="1" si="180">C79</f>
        <v>5.4612913387866148E-2</v>
      </c>
      <c r="V79" s="25">
        <f t="shared" ca="1" si="180"/>
        <v>1.9243989954560593E-2</v>
      </c>
      <c r="W79" s="25">
        <f t="shared" ca="1" si="180"/>
        <v>2.5717503394932659E-2</v>
      </c>
      <c r="X79" s="25">
        <f t="shared" ca="1" si="180"/>
        <v>0.36126810180199048</v>
      </c>
      <c r="Y79" s="25">
        <f t="shared" ca="1" si="180"/>
        <v>0</v>
      </c>
      <c r="Z79" s="25">
        <f t="shared" ca="1" si="180"/>
        <v>0.53915749146065006</v>
      </c>
    </row>
    <row r="80" spans="1:26" ht="13">
      <c r="A80" s="2">
        <f t="shared" si="174"/>
        <v>2</v>
      </c>
      <c r="B80" s="32">
        <f t="shared" ca="1" si="175"/>
        <v>0.80175332459937321</v>
      </c>
      <c r="C80" s="5">
        <f t="shared" ref="C80:E80" ca="1" si="181">C81</f>
        <v>4.3143353353681628E-2</v>
      </c>
      <c r="D80" s="5">
        <f t="shared" ca="1" si="181"/>
        <v>1.520245317527359E-2</v>
      </c>
      <c r="E80" s="5">
        <f t="shared" ca="1" si="181"/>
        <v>2.0316428249524645E-2</v>
      </c>
      <c r="F80" s="5">
        <f t="shared" ref="F80:G80" ca="1" si="182">F47</f>
        <v>0</v>
      </c>
      <c r="G80" s="5">
        <f t="shared" ca="1" si="182"/>
        <v>0</v>
      </c>
      <c r="H80" s="5">
        <f t="shared" ca="1" si="178"/>
        <v>0.72309108982089332</v>
      </c>
      <c r="I80" s="5">
        <f t="shared" ca="1" si="179"/>
        <v>0.19824667540062679</v>
      </c>
      <c r="T80" s="2">
        <v>2</v>
      </c>
      <c r="U80" s="25">
        <f t="shared" ref="U80:Z80" ca="1" si="183">C80</f>
        <v>4.3143353353681628E-2</v>
      </c>
      <c r="V80" s="25">
        <f t="shared" ca="1" si="183"/>
        <v>1.520245317527359E-2</v>
      </c>
      <c r="W80" s="25">
        <f t="shared" ca="1" si="183"/>
        <v>2.0316428249524645E-2</v>
      </c>
      <c r="X80" s="25">
        <f t="shared" ca="1" si="183"/>
        <v>0</v>
      </c>
      <c r="Y80" s="25">
        <f t="shared" ca="1" si="183"/>
        <v>0</v>
      </c>
      <c r="Z80" s="25">
        <f t="shared" ca="1" si="183"/>
        <v>0.72309108982089332</v>
      </c>
    </row>
    <row r="81" spans="1:26" ht="13">
      <c r="A81" s="2">
        <f t="shared" si="174"/>
        <v>3</v>
      </c>
      <c r="B81" s="32">
        <f t="shared" ca="1" si="175"/>
        <v>0.78998446845846504</v>
      </c>
      <c r="C81" s="5">
        <f t="shared" ref="C81:E81" ca="1" si="184">$B81*$I$130/SUM($I$130:$J$130)*L109</f>
        <v>4.3143353353681628E-2</v>
      </c>
      <c r="D81" s="5">
        <f t="shared" ca="1" si="184"/>
        <v>1.520245317527359E-2</v>
      </c>
      <c r="E81" s="5">
        <f t="shared" ca="1" si="184"/>
        <v>2.0316428249524645E-2</v>
      </c>
      <c r="F81" s="5">
        <f t="shared" ref="F81:G81" ca="1" si="185">F48</f>
        <v>0</v>
      </c>
      <c r="G81" s="5">
        <f t="shared" ca="1" si="185"/>
        <v>0.13290020539231712</v>
      </c>
      <c r="H81" s="5">
        <f t="shared" ca="1" si="178"/>
        <v>0.57842202828766809</v>
      </c>
      <c r="I81" s="5">
        <f t="shared" ca="1" si="179"/>
        <v>0.21001553154153496</v>
      </c>
      <c r="T81" s="2">
        <v>3</v>
      </c>
      <c r="U81" s="25">
        <f t="shared" ref="U81:Z81" ca="1" si="186">C81</f>
        <v>4.3143353353681628E-2</v>
      </c>
      <c r="V81" s="25">
        <f t="shared" ca="1" si="186"/>
        <v>1.520245317527359E-2</v>
      </c>
      <c r="W81" s="25">
        <f t="shared" ca="1" si="186"/>
        <v>2.0316428249524645E-2</v>
      </c>
      <c r="X81" s="25">
        <f t="shared" ca="1" si="186"/>
        <v>0</v>
      </c>
      <c r="Y81" s="25">
        <f t="shared" ca="1" si="186"/>
        <v>0.13290020539231712</v>
      </c>
      <c r="Z81" s="25">
        <f t="shared" ca="1" si="186"/>
        <v>0.57842202828766809</v>
      </c>
    </row>
    <row r="82" spans="1:26" ht="13">
      <c r="A82" s="2">
        <f t="shared" si="174"/>
        <v>4</v>
      </c>
      <c r="B82" s="32">
        <f t="shared" ca="1" si="175"/>
        <v>0.78998446845846504</v>
      </c>
      <c r="C82" s="5">
        <f t="shared" ref="C82:E82" ca="1" si="187">$B82*$I$130/SUM($I$130:$J$130)*L110</f>
        <v>4.3143353353681628E-2</v>
      </c>
      <c r="D82" s="5">
        <f t="shared" ca="1" si="187"/>
        <v>1.520245317527359E-2</v>
      </c>
      <c r="E82" s="5">
        <f t="shared" ca="1" si="187"/>
        <v>2.0316428249524645E-2</v>
      </c>
      <c r="F82" s="5">
        <f t="shared" ref="F82:G82" ca="1" si="188">F49</f>
        <v>0</v>
      </c>
      <c r="G82" s="5">
        <f t="shared" ca="1" si="188"/>
        <v>0.13290020539231712</v>
      </c>
      <c r="H82" s="5">
        <f t="shared" ca="1" si="178"/>
        <v>0.57842202828766809</v>
      </c>
      <c r="I82" s="5">
        <f t="shared" ca="1" si="179"/>
        <v>0.21001553154153496</v>
      </c>
      <c r="T82" s="2">
        <v>4</v>
      </c>
      <c r="U82" s="25">
        <f t="shared" ref="U82:Z82" ca="1" si="189">C82</f>
        <v>4.3143353353681628E-2</v>
      </c>
      <c r="V82" s="25">
        <f t="shared" ca="1" si="189"/>
        <v>1.520245317527359E-2</v>
      </c>
      <c r="W82" s="25">
        <f t="shared" ca="1" si="189"/>
        <v>2.0316428249524645E-2</v>
      </c>
      <c r="X82" s="25">
        <f t="shared" ca="1" si="189"/>
        <v>0</v>
      </c>
      <c r="Y82" s="25">
        <f t="shared" ca="1" si="189"/>
        <v>0.13290020539231712</v>
      </c>
      <c r="Z82" s="25">
        <f t="shared" ca="1" si="189"/>
        <v>0.57842202828766809</v>
      </c>
    </row>
    <row r="83" spans="1:26" ht="13">
      <c r="A83" s="2">
        <f t="shared" si="174"/>
        <v>5</v>
      </c>
      <c r="B83" s="32">
        <f t="shared" ref="B83:B86" ca="1" si="190">$C$139</f>
        <v>1</v>
      </c>
      <c r="C83" s="5">
        <f t="shared" ref="C83:E83" ca="1" si="191">$B83*$I$139/SUM($I$139:$J$139)*L111</f>
        <v>7.6181013460385E-2</v>
      </c>
      <c r="D83" s="5">
        <f t="shared" ca="1" si="191"/>
        <v>2.8346423613166513E-2</v>
      </c>
      <c r="E83" s="5">
        <f t="shared" ca="1" si="191"/>
        <v>1.3935228772517495E-2</v>
      </c>
      <c r="F83" s="5">
        <f t="shared" ref="F83:H83" ca="1" si="192">$B83*$J$139/SUM($I$139:$J$139)*Q111</f>
        <v>0.88153733415393098</v>
      </c>
      <c r="G83" s="5">
        <f t="shared" ca="1" si="192"/>
        <v>0</v>
      </c>
      <c r="H83" s="5">
        <f t="shared" ca="1" si="192"/>
        <v>0</v>
      </c>
      <c r="I83" s="5">
        <f t="shared" ca="1" si="179"/>
        <v>0</v>
      </c>
      <c r="T83" s="2">
        <v>5</v>
      </c>
      <c r="U83" s="25">
        <f t="shared" ref="U83:Z83" ca="1" si="193">C83</f>
        <v>7.6181013460385E-2</v>
      </c>
      <c r="V83" s="25">
        <f t="shared" ca="1" si="193"/>
        <v>2.8346423613166513E-2</v>
      </c>
      <c r="W83" s="25">
        <f t="shared" ca="1" si="193"/>
        <v>1.3935228772517495E-2</v>
      </c>
      <c r="X83" s="25">
        <f t="shared" ca="1" si="193"/>
        <v>0.88153733415393098</v>
      </c>
      <c r="Y83" s="25">
        <f t="shared" ca="1" si="193"/>
        <v>0</v>
      </c>
      <c r="Z83" s="25">
        <f t="shared" ca="1" si="193"/>
        <v>0</v>
      </c>
    </row>
    <row r="84" spans="1:26" ht="13">
      <c r="A84" s="2">
        <f t="shared" si="174"/>
        <v>6</v>
      </c>
      <c r="B84" s="32">
        <f t="shared" ca="1" si="190"/>
        <v>1</v>
      </c>
      <c r="C84" s="5">
        <f t="shared" ref="C84:E84" ca="1" si="194">$B84*$I$139/SUM($I$139:$J$139)*L112</f>
        <v>7.6181013460385E-2</v>
      </c>
      <c r="D84" s="5">
        <f t="shared" ca="1" si="194"/>
        <v>2.8346423613166513E-2</v>
      </c>
      <c r="E84" s="5">
        <f t="shared" ca="1" si="194"/>
        <v>1.3935228772517495E-2</v>
      </c>
      <c r="F84" s="5">
        <f t="shared" ref="F84:H84" ca="1" si="195">$B84*$J$139/SUM($I$139:$J$139)*Q112</f>
        <v>0.88153733415393098</v>
      </c>
      <c r="G84" s="5">
        <f t="shared" ca="1" si="195"/>
        <v>0</v>
      </c>
      <c r="H84" s="5">
        <f t="shared" ca="1" si="195"/>
        <v>0</v>
      </c>
      <c r="I84" s="5">
        <f t="shared" ca="1" si="179"/>
        <v>0</v>
      </c>
      <c r="T84" s="2">
        <v>6</v>
      </c>
      <c r="U84" s="25">
        <f t="shared" ref="U84:Z84" ca="1" si="196">C84</f>
        <v>7.6181013460385E-2</v>
      </c>
      <c r="V84" s="25">
        <f t="shared" ca="1" si="196"/>
        <v>2.8346423613166513E-2</v>
      </c>
      <c r="W84" s="25">
        <f t="shared" ca="1" si="196"/>
        <v>1.3935228772517495E-2</v>
      </c>
      <c r="X84" s="25">
        <f t="shared" ca="1" si="196"/>
        <v>0.88153733415393098</v>
      </c>
      <c r="Y84" s="25">
        <f t="shared" ca="1" si="196"/>
        <v>0</v>
      </c>
      <c r="Z84" s="25">
        <f t="shared" ca="1" si="196"/>
        <v>0</v>
      </c>
    </row>
    <row r="85" spans="1:26" ht="13">
      <c r="A85" s="2">
        <f t="shared" si="174"/>
        <v>7</v>
      </c>
      <c r="B85" s="32">
        <f t="shared" ca="1" si="190"/>
        <v>1</v>
      </c>
      <c r="C85" s="5">
        <f t="shared" ref="C85:E85" ca="1" si="197">$B85*$I$139/SUM($I$139:$J$139)*L113</f>
        <v>2.9364922342840247E-2</v>
      </c>
      <c r="D85" s="5">
        <f t="shared" ca="1" si="197"/>
        <v>5.9732821160388513E-2</v>
      </c>
      <c r="E85" s="5">
        <f t="shared" ca="1" si="197"/>
        <v>2.9364922342840247E-2</v>
      </c>
      <c r="F85" s="5">
        <f t="shared" ref="F85:H85" ca="1" si="198">$B85*$J$139/SUM($I$139:$J$139)*Q113</f>
        <v>0</v>
      </c>
      <c r="G85" s="5">
        <f t="shared" ca="1" si="198"/>
        <v>0.41439789212364281</v>
      </c>
      <c r="H85" s="5">
        <f t="shared" ca="1" si="198"/>
        <v>0.46713944203028823</v>
      </c>
      <c r="I85" s="5">
        <f t="shared" ca="1" si="179"/>
        <v>0</v>
      </c>
      <c r="T85" s="2">
        <v>7</v>
      </c>
      <c r="U85" s="25">
        <f t="shared" ref="U85:Z85" ca="1" si="199">C85</f>
        <v>2.9364922342840247E-2</v>
      </c>
      <c r="V85" s="25">
        <f t="shared" ca="1" si="199"/>
        <v>5.9732821160388513E-2</v>
      </c>
      <c r="W85" s="25">
        <f t="shared" ca="1" si="199"/>
        <v>2.9364922342840247E-2</v>
      </c>
      <c r="X85" s="25">
        <f t="shared" ca="1" si="199"/>
        <v>0</v>
      </c>
      <c r="Y85" s="25">
        <f t="shared" ca="1" si="199"/>
        <v>0.41439789212364281</v>
      </c>
      <c r="Z85" s="25">
        <f t="shared" ca="1" si="199"/>
        <v>0.46713944203028823</v>
      </c>
    </row>
    <row r="86" spans="1:26" ht="13">
      <c r="A86" s="2">
        <f t="shared" si="174"/>
        <v>8</v>
      </c>
      <c r="B86" s="32">
        <f t="shared" ca="1" si="190"/>
        <v>1</v>
      </c>
      <c r="C86" s="5">
        <f t="shared" ref="C86:E86" ca="1" si="200">$B86*$I$139/SUM($I$139:$J$139)*L114</f>
        <v>2.9364922342840247E-2</v>
      </c>
      <c r="D86" s="5">
        <f t="shared" ca="1" si="200"/>
        <v>5.9732821160388513E-2</v>
      </c>
      <c r="E86" s="5">
        <f t="shared" ca="1" si="200"/>
        <v>2.9364922342840247E-2</v>
      </c>
      <c r="F86" s="5">
        <f t="shared" ref="F86:H86" ca="1" si="201">$B86*$J$139/SUM($I$139:$J$139)*Q114</f>
        <v>0</v>
      </c>
      <c r="G86" s="5">
        <f t="shared" ca="1" si="201"/>
        <v>0.41439789212364281</v>
      </c>
      <c r="H86" s="5">
        <f t="shared" ca="1" si="201"/>
        <v>0.46713944203028823</v>
      </c>
      <c r="I86" s="5">
        <f t="shared" ca="1" si="179"/>
        <v>0</v>
      </c>
      <c r="T86" s="2">
        <v>8</v>
      </c>
      <c r="U86" s="25">
        <f t="shared" ref="U86:Z86" ca="1" si="202">C86</f>
        <v>2.9364922342840247E-2</v>
      </c>
      <c r="V86" s="25">
        <f t="shared" ca="1" si="202"/>
        <v>5.9732821160388513E-2</v>
      </c>
      <c r="W86" s="25">
        <f t="shared" ca="1" si="202"/>
        <v>2.9364922342840247E-2</v>
      </c>
      <c r="X86" s="25">
        <f t="shared" ca="1" si="202"/>
        <v>0</v>
      </c>
      <c r="Y86" s="25">
        <f t="shared" ca="1" si="202"/>
        <v>0.41439789212364281</v>
      </c>
      <c r="Z86" s="25">
        <f t="shared" ca="1" si="202"/>
        <v>0.46713944203028823</v>
      </c>
    </row>
    <row r="89" spans="1:26" ht="13">
      <c r="A89" s="13" t="s">
        <v>130</v>
      </c>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1" spans="1:26" ht="13">
      <c r="A91" s="2" t="s">
        <v>131</v>
      </c>
      <c r="J91" s="2" t="s">
        <v>132</v>
      </c>
      <c r="K91" s="33" t="s">
        <v>112</v>
      </c>
    </row>
    <row r="92" spans="1:26" ht="13">
      <c r="A92" s="1" t="s">
        <v>90</v>
      </c>
      <c r="B92" s="1" t="s">
        <v>78</v>
      </c>
      <c r="C92" s="1" t="s">
        <v>79</v>
      </c>
      <c r="D92" s="1" t="s">
        <v>80</v>
      </c>
      <c r="E92" s="1" t="s">
        <v>58</v>
      </c>
      <c r="F92" s="1" t="s">
        <v>60</v>
      </c>
      <c r="G92" s="1" t="s">
        <v>62</v>
      </c>
      <c r="H92" s="1" t="s">
        <v>121</v>
      </c>
      <c r="J92" s="1" t="s">
        <v>133</v>
      </c>
      <c r="K92" s="1" t="s">
        <v>134</v>
      </c>
    </row>
    <row r="93" spans="1:26" ht="13">
      <c r="A93" s="2">
        <v>1</v>
      </c>
      <c r="B93" s="5">
        <f t="shared" ref="B93:G93" si="203">G35</f>
        <v>2.5541284403669727E-2</v>
      </c>
      <c r="C93" s="5">
        <f t="shared" si="203"/>
        <v>9.0000000000000011E-3</v>
      </c>
      <c r="D93" s="5">
        <f t="shared" si="203"/>
        <v>1.2027522935779819E-2</v>
      </c>
      <c r="E93" s="5">
        <f t="shared" si="203"/>
        <v>0.13599999999999998</v>
      </c>
      <c r="F93" s="5">
        <f t="shared" si="203"/>
        <v>0</v>
      </c>
      <c r="G93" s="5">
        <f t="shared" si="203"/>
        <v>0</v>
      </c>
      <c r="H93" s="5">
        <f t="shared" ref="H93:H100" si="204">1-SUM(B93:G93)</f>
        <v>0.81743119266055042</v>
      </c>
      <c r="J93" s="2" t="s">
        <v>135</v>
      </c>
      <c r="K93" s="38">
        <v>5.7000000000000002E-2</v>
      </c>
    </row>
    <row r="94" spans="1:26" ht="13">
      <c r="A94" s="2">
        <v>2</v>
      </c>
      <c r="B94" s="5">
        <f t="shared" ref="B94:G94" si="205">G36</f>
        <v>0</v>
      </c>
      <c r="C94" s="5">
        <f t="shared" si="205"/>
        <v>0</v>
      </c>
      <c r="D94" s="5">
        <f t="shared" si="205"/>
        <v>0</v>
      </c>
      <c r="E94" s="5">
        <f t="shared" si="205"/>
        <v>0</v>
      </c>
      <c r="F94" s="5">
        <f t="shared" si="205"/>
        <v>0</v>
      </c>
      <c r="G94" s="5">
        <f t="shared" si="205"/>
        <v>0.14499999999999999</v>
      </c>
      <c r="H94" s="5">
        <f t="shared" si="204"/>
        <v>0.85499999999999998</v>
      </c>
      <c r="J94" s="2" t="s">
        <v>136</v>
      </c>
      <c r="K94" s="38">
        <v>0.153</v>
      </c>
    </row>
    <row r="95" spans="1:26" ht="13">
      <c r="A95" s="2">
        <v>3</v>
      </c>
      <c r="B95" s="5">
        <f t="shared" ref="B95:G95" si="206">G37</f>
        <v>1.4189602446483181E-2</v>
      </c>
      <c r="C95" s="5">
        <f t="shared" si="206"/>
        <v>5.0000000000000001E-3</v>
      </c>
      <c r="D95" s="5">
        <f t="shared" si="206"/>
        <v>6.681957186544343E-3</v>
      </c>
      <c r="E95" s="5">
        <f t="shared" si="206"/>
        <v>0</v>
      </c>
      <c r="F95" s="5">
        <f t="shared" si="206"/>
        <v>5.5E-2</v>
      </c>
      <c r="G95" s="5">
        <f t="shared" si="206"/>
        <v>6.2E-2</v>
      </c>
      <c r="H95" s="5">
        <f t="shared" si="204"/>
        <v>0.85712844036697244</v>
      </c>
      <c r="J95" s="2" t="s">
        <v>137</v>
      </c>
      <c r="K95" s="38">
        <v>0.16200000000000001</v>
      </c>
    </row>
    <row r="96" spans="1:26" ht="13">
      <c r="A96" s="2">
        <v>4</v>
      </c>
      <c r="B96" s="5">
        <f t="shared" ref="B96:G96" si="207">G38</f>
        <v>1.4189602446483181E-2</v>
      </c>
      <c r="C96" s="5">
        <f t="shared" si="207"/>
        <v>5.0000000000000001E-3</v>
      </c>
      <c r="D96" s="5">
        <f t="shared" si="207"/>
        <v>6.681957186544343E-3</v>
      </c>
      <c r="E96" s="5">
        <f t="shared" si="207"/>
        <v>0</v>
      </c>
      <c r="F96" s="5">
        <f t="shared" si="207"/>
        <v>5.5E-2</v>
      </c>
      <c r="G96" s="5">
        <f t="shared" si="207"/>
        <v>6.2E-2</v>
      </c>
      <c r="H96" s="5">
        <f t="shared" si="204"/>
        <v>0.85712844036697244</v>
      </c>
      <c r="J96" s="2" t="s">
        <v>138</v>
      </c>
      <c r="K96" s="38">
        <v>0.30399999999999999</v>
      </c>
    </row>
    <row r="97" spans="1:19" ht="13">
      <c r="A97" s="2">
        <v>5</v>
      </c>
      <c r="B97" s="5">
        <f t="shared" ref="B97:G97" si="208">G39</f>
        <v>9.6754608929620817E-2</v>
      </c>
      <c r="C97" s="5">
        <f t="shared" si="208"/>
        <v>3.6001714950556582E-2</v>
      </c>
      <c r="D97" s="5">
        <f t="shared" si="208"/>
        <v>1.7698604271402352E-2</v>
      </c>
      <c r="E97" s="5">
        <f t="shared" si="208"/>
        <v>0.54402591480841045</v>
      </c>
      <c r="F97" s="5">
        <f t="shared" si="208"/>
        <v>0</v>
      </c>
      <c r="G97" s="5">
        <f t="shared" si="208"/>
        <v>0</v>
      </c>
      <c r="H97" s="5">
        <f t="shared" si="204"/>
        <v>0.30551915704000976</v>
      </c>
    </row>
    <row r="98" spans="1:19" ht="13">
      <c r="A98" s="2">
        <v>6</v>
      </c>
      <c r="B98" s="5">
        <f t="shared" ref="B98:G98" si="209">G40</f>
        <v>9.6754608929620817E-2</v>
      </c>
      <c r="C98" s="5">
        <f t="shared" si="209"/>
        <v>3.6001714950556582E-2</v>
      </c>
      <c r="D98" s="5">
        <f t="shared" si="209"/>
        <v>1.7698604271402352E-2</v>
      </c>
      <c r="E98" s="5">
        <f t="shared" si="209"/>
        <v>0.54402591480841045</v>
      </c>
      <c r="F98" s="5">
        <f t="shared" si="209"/>
        <v>0</v>
      </c>
      <c r="G98" s="5">
        <f t="shared" si="209"/>
        <v>0</v>
      </c>
      <c r="H98" s="5">
        <f t="shared" si="204"/>
        <v>0.30551915704000976</v>
      </c>
    </row>
    <row r="99" spans="1:19" ht="13">
      <c r="A99" s="2">
        <v>7</v>
      </c>
      <c r="B99" s="5">
        <f t="shared" ref="B99:G99" si="210">G41</f>
        <v>9.8325579285568621E-3</v>
      </c>
      <c r="C99" s="5">
        <f t="shared" si="210"/>
        <v>2.0000952750309213E-2</v>
      </c>
      <c r="D99" s="5">
        <f t="shared" si="210"/>
        <v>9.8325579285568621E-3</v>
      </c>
      <c r="E99" s="5">
        <f t="shared" si="210"/>
        <v>0</v>
      </c>
      <c r="F99" s="5">
        <f t="shared" si="210"/>
        <v>0.22001048025340134</v>
      </c>
      <c r="G99" s="5">
        <f t="shared" si="210"/>
        <v>0.24801181410383422</v>
      </c>
      <c r="H99" s="5">
        <f t="shared" si="204"/>
        <v>0.49231163703534153</v>
      </c>
    </row>
    <row r="100" spans="1:19" ht="13">
      <c r="A100" s="2">
        <v>8</v>
      </c>
      <c r="B100" s="5">
        <f t="shared" ref="B100:G100" si="211">G42</f>
        <v>9.8325579285568621E-3</v>
      </c>
      <c r="C100" s="5">
        <f t="shared" si="211"/>
        <v>2.0000952750309213E-2</v>
      </c>
      <c r="D100" s="5">
        <f t="shared" si="211"/>
        <v>9.8325579285568621E-3</v>
      </c>
      <c r="E100" s="5">
        <f t="shared" si="211"/>
        <v>0</v>
      </c>
      <c r="F100" s="5">
        <f t="shared" si="211"/>
        <v>0.22001048025340134</v>
      </c>
      <c r="G100" s="5">
        <f t="shared" si="211"/>
        <v>0.24801181410383422</v>
      </c>
      <c r="H100" s="5">
        <f t="shared" si="204"/>
        <v>0.49231163703534153</v>
      </c>
    </row>
    <row r="103" spans="1:19" ht="13">
      <c r="A103" s="13" t="s">
        <v>139</v>
      </c>
      <c r="B103" s="13"/>
      <c r="C103" s="13"/>
      <c r="D103" s="13"/>
      <c r="E103" s="13"/>
      <c r="F103" s="13"/>
      <c r="G103" s="13"/>
      <c r="H103" s="13"/>
      <c r="I103" s="13"/>
      <c r="J103" s="13"/>
      <c r="K103" s="13"/>
      <c r="L103" s="13"/>
      <c r="M103" s="13"/>
      <c r="N103" s="13"/>
      <c r="O103" s="13"/>
      <c r="P103" s="13"/>
      <c r="Q103" s="13"/>
      <c r="R103" s="13"/>
      <c r="S103" s="13"/>
    </row>
    <row r="105" spans="1:19" ht="13">
      <c r="A105" s="2" t="s">
        <v>140</v>
      </c>
      <c r="B105" s="39" t="s">
        <v>141</v>
      </c>
      <c r="C105" s="39" t="s">
        <v>141</v>
      </c>
      <c r="G105" s="2" t="s">
        <v>142</v>
      </c>
      <c r="H105" s="4"/>
      <c r="K105" s="2" t="s">
        <v>143</v>
      </c>
      <c r="P105" s="2" t="s">
        <v>144</v>
      </c>
    </row>
    <row r="106" spans="1:19" ht="13">
      <c r="A106" s="1" t="s">
        <v>90</v>
      </c>
      <c r="B106" s="40" t="s">
        <v>145</v>
      </c>
      <c r="C106" s="40" t="s">
        <v>146</v>
      </c>
      <c r="D106" s="1" t="s">
        <v>147</v>
      </c>
      <c r="E106" s="4"/>
      <c r="G106" s="1" t="s">
        <v>90</v>
      </c>
      <c r="H106" s="1" t="s">
        <v>148</v>
      </c>
      <c r="I106" s="1" t="s">
        <v>149</v>
      </c>
      <c r="K106" s="1" t="s">
        <v>90</v>
      </c>
      <c r="L106" s="1" t="s">
        <v>78</v>
      </c>
      <c r="M106" s="1" t="s">
        <v>79</v>
      </c>
      <c r="N106" s="1" t="s">
        <v>80</v>
      </c>
      <c r="P106" s="1" t="s">
        <v>90</v>
      </c>
      <c r="Q106" s="1" t="s">
        <v>58</v>
      </c>
      <c r="R106" s="1" t="s">
        <v>150</v>
      </c>
      <c r="S106" s="1" t="s">
        <v>62</v>
      </c>
    </row>
    <row r="107" spans="1:19" ht="13">
      <c r="A107" s="2" t="s">
        <v>151</v>
      </c>
      <c r="B107" s="6">
        <v>7966331</v>
      </c>
      <c r="C107" s="6">
        <v>618785</v>
      </c>
      <c r="D107" s="5">
        <f t="shared" ref="D107:D108" si="212">C107/B107</f>
        <v>7.7675030073442841E-2</v>
      </c>
      <c r="G107" s="2">
        <v>1</v>
      </c>
      <c r="H107" s="5">
        <f t="shared" ref="H107:H114" si="213">SUM(G35:I35)/F35</f>
        <v>0.25507537688442217</v>
      </c>
      <c r="I107" s="5">
        <f t="shared" ref="I107:I114" si="214">1-H107</f>
        <v>0.74492462311557783</v>
      </c>
      <c r="K107" s="2">
        <v>1</v>
      </c>
      <c r="L107" s="5">
        <f t="shared" ref="L107:N107" si="215">G35/SUM($G35:$I35)</f>
        <v>0.54846335697399529</v>
      </c>
      <c r="M107" s="5">
        <f t="shared" si="215"/>
        <v>0.19326241134751773</v>
      </c>
      <c r="N107" s="5">
        <f t="shared" si="215"/>
        <v>0.25827423167848701</v>
      </c>
      <c r="P107" s="2">
        <v>1</v>
      </c>
      <c r="Q107" s="5">
        <f t="shared" ref="Q107:S107" si="216">J35/SUM($J35:$L35)</f>
        <v>1</v>
      </c>
      <c r="R107" s="5">
        <f t="shared" si="216"/>
        <v>0</v>
      </c>
      <c r="S107" s="5">
        <f t="shared" si="216"/>
        <v>0</v>
      </c>
    </row>
    <row r="108" spans="1:19" ht="13">
      <c r="A108" s="2" t="s">
        <v>152</v>
      </c>
      <c r="B108" s="6">
        <v>1157582</v>
      </c>
      <c r="C108" s="6">
        <v>359678</v>
      </c>
      <c r="D108" s="5">
        <f t="shared" si="212"/>
        <v>0.31071492127555544</v>
      </c>
      <c r="G108" s="2">
        <v>2</v>
      </c>
      <c r="H108" s="5">
        <f t="shared" si="213"/>
        <v>0</v>
      </c>
      <c r="I108" s="5">
        <f t="shared" si="214"/>
        <v>1</v>
      </c>
      <c r="K108" s="2">
        <v>2</v>
      </c>
      <c r="L108" s="2" t="s">
        <v>153</v>
      </c>
      <c r="M108" s="2" t="s">
        <v>153</v>
      </c>
      <c r="N108" s="2" t="s">
        <v>153</v>
      </c>
      <c r="P108" s="2">
        <v>2</v>
      </c>
      <c r="Q108" s="5">
        <f t="shared" ref="Q108:S108" si="217">J36/SUM($J36:$L36)</f>
        <v>0</v>
      </c>
      <c r="R108" s="5">
        <f t="shared" si="217"/>
        <v>0</v>
      </c>
      <c r="S108" s="5">
        <f t="shared" si="217"/>
        <v>1</v>
      </c>
    </row>
    <row r="109" spans="1:19" ht="13">
      <c r="A109" s="2" t="s">
        <v>154</v>
      </c>
      <c r="B109" s="41">
        <f t="shared" ref="B109:D109" si="218">B108/B107</f>
        <v>0.14530930236265605</v>
      </c>
      <c r="C109" s="41">
        <f t="shared" si="218"/>
        <v>0.58126489814717552</v>
      </c>
      <c r="D109" s="41">
        <f t="shared" si="218"/>
        <v>4.0001905500618422</v>
      </c>
      <c r="G109" s="2">
        <v>3</v>
      </c>
      <c r="H109" s="5">
        <f t="shared" si="213"/>
        <v>0.18108264303602387</v>
      </c>
      <c r="I109" s="5">
        <f t="shared" si="214"/>
        <v>0.81891735696397616</v>
      </c>
      <c r="K109" s="2">
        <v>3</v>
      </c>
      <c r="L109" s="5">
        <f t="shared" ref="L109:N109" si="219">G37/SUM($G37:$I37)</f>
        <v>0.54846335697399529</v>
      </c>
      <c r="M109" s="5">
        <f t="shared" si="219"/>
        <v>0.19326241134751773</v>
      </c>
      <c r="N109" s="5">
        <f t="shared" si="219"/>
        <v>0.25827423167848701</v>
      </c>
      <c r="P109" s="2">
        <v>3</v>
      </c>
      <c r="Q109" s="5">
        <f t="shared" ref="Q109:S109" si="220">J37/SUM($J37:$L37)</f>
        <v>0</v>
      </c>
      <c r="R109" s="5">
        <f t="shared" si="220"/>
        <v>0.47008547008547014</v>
      </c>
      <c r="S109" s="5">
        <f t="shared" si="220"/>
        <v>0.52991452991452992</v>
      </c>
    </row>
    <row r="110" spans="1:19" ht="13">
      <c r="D110" s="42"/>
      <c r="G110" s="2">
        <v>4</v>
      </c>
      <c r="H110" s="5">
        <f t="shared" si="213"/>
        <v>0.18108264303602387</v>
      </c>
      <c r="I110" s="5">
        <f t="shared" si="214"/>
        <v>0.81891735696397616</v>
      </c>
      <c r="K110" s="2">
        <v>4</v>
      </c>
      <c r="L110" s="5">
        <f t="shared" ref="L110:N110" si="221">G38/SUM($G38:$I38)</f>
        <v>0.54846335697399529</v>
      </c>
      <c r="M110" s="5">
        <f t="shared" si="221"/>
        <v>0.19326241134751773</v>
      </c>
      <c r="N110" s="5">
        <f t="shared" si="221"/>
        <v>0.25827423167848701</v>
      </c>
      <c r="P110" s="2">
        <v>4</v>
      </c>
      <c r="Q110" s="5">
        <f t="shared" ref="Q110:S110" si="222">J38/SUM($J38:$L38)</f>
        <v>0</v>
      </c>
      <c r="R110" s="5">
        <f t="shared" si="222"/>
        <v>0.47008547008547014</v>
      </c>
      <c r="S110" s="5">
        <f t="shared" si="222"/>
        <v>0.52991452991452992</v>
      </c>
    </row>
    <row r="111" spans="1:19" ht="13">
      <c r="A111" s="2" t="s">
        <v>155</v>
      </c>
      <c r="C111" s="39" t="s">
        <v>141</v>
      </c>
      <c r="D111" s="39" t="s">
        <v>141</v>
      </c>
      <c r="G111" s="2">
        <v>5</v>
      </c>
      <c r="H111" s="5">
        <f t="shared" si="213"/>
        <v>0.21664374140302614</v>
      </c>
      <c r="I111" s="5">
        <f t="shared" si="214"/>
        <v>0.78335625859697389</v>
      </c>
      <c r="K111" s="2">
        <v>5</v>
      </c>
      <c r="L111" s="5">
        <f t="shared" ref="L111:N111" si="223">G39/SUM($G39:$I39)</f>
        <v>0.64308035714285716</v>
      </c>
      <c r="M111" s="5">
        <f t="shared" si="223"/>
        <v>0.2392857142857143</v>
      </c>
      <c r="N111" s="5">
        <f t="shared" si="223"/>
        <v>0.1176339285714286</v>
      </c>
      <c r="P111" s="2">
        <v>5</v>
      </c>
      <c r="Q111" s="5">
        <f t="shared" ref="Q111:S111" si="224">J39/SUM($J39:$L39)</f>
        <v>1</v>
      </c>
      <c r="R111" s="5">
        <f t="shared" si="224"/>
        <v>0</v>
      </c>
      <c r="S111" s="5">
        <f t="shared" si="224"/>
        <v>0</v>
      </c>
    </row>
    <row r="112" spans="1:19" ht="13">
      <c r="A112" s="1" t="s">
        <v>90</v>
      </c>
      <c r="B112" s="1" t="s">
        <v>28</v>
      </c>
      <c r="C112" s="43" t="s">
        <v>146</v>
      </c>
      <c r="D112" s="43" t="s">
        <v>156</v>
      </c>
      <c r="E112" s="44" t="s">
        <v>157</v>
      </c>
      <c r="G112" s="2">
        <v>6</v>
      </c>
      <c r="H112" s="5">
        <f t="shared" si="213"/>
        <v>0.21664374140302614</v>
      </c>
      <c r="I112" s="5">
        <f t="shared" si="214"/>
        <v>0.78335625859697389</v>
      </c>
      <c r="K112" s="2">
        <v>6</v>
      </c>
      <c r="L112" s="5">
        <f t="shared" ref="L112:N112" si="225">G40/SUM($G40:$I40)</f>
        <v>0.64308035714285716</v>
      </c>
      <c r="M112" s="5">
        <f t="shared" si="225"/>
        <v>0.2392857142857143</v>
      </c>
      <c r="N112" s="5">
        <f t="shared" si="225"/>
        <v>0.1176339285714286</v>
      </c>
      <c r="P112" s="2">
        <v>6</v>
      </c>
      <c r="Q112" s="5">
        <f t="shared" ref="Q112:S112" si="226">J40/SUM($J40:$L40)</f>
        <v>1</v>
      </c>
      <c r="R112" s="5">
        <f t="shared" si="226"/>
        <v>0</v>
      </c>
      <c r="S112" s="5">
        <f t="shared" si="226"/>
        <v>0</v>
      </c>
    </row>
    <row r="113" spans="1:19" ht="13">
      <c r="A113" s="2" t="s">
        <v>108</v>
      </c>
      <c r="B113" s="2" t="s">
        <v>79</v>
      </c>
      <c r="C113" s="6">
        <v>78250</v>
      </c>
      <c r="D113" s="6">
        <v>654</v>
      </c>
      <c r="E113" s="25"/>
      <c r="G113" s="2">
        <v>7</v>
      </c>
      <c r="H113" s="5">
        <f t="shared" si="213"/>
        <v>7.8130742205300849E-2</v>
      </c>
      <c r="I113" s="5">
        <f t="shared" si="214"/>
        <v>0.92186925779469919</v>
      </c>
      <c r="K113" s="2">
        <v>7</v>
      </c>
      <c r="L113" s="5">
        <f t="shared" ref="L113:N113" si="227">G41/SUM($G41:$I41)</f>
        <v>0.24788334901222955</v>
      </c>
      <c r="M113" s="5">
        <f t="shared" si="227"/>
        <v>0.50423330197554095</v>
      </c>
      <c r="N113" s="5">
        <f t="shared" si="227"/>
        <v>0.24788334901222955</v>
      </c>
      <c r="P113" s="2">
        <v>7</v>
      </c>
      <c r="Q113" s="5">
        <f t="shared" ref="Q113:S113" si="228">J41/SUM($J41:$L41)</f>
        <v>0</v>
      </c>
      <c r="R113" s="5">
        <f t="shared" si="228"/>
        <v>0.47008547008547014</v>
      </c>
      <c r="S113" s="5">
        <f t="shared" si="228"/>
        <v>0.52991452991452992</v>
      </c>
    </row>
    <row r="114" spans="1:19" ht="13">
      <c r="A114" s="2" t="s">
        <v>108</v>
      </c>
      <c r="B114" s="2" t="s">
        <v>78</v>
      </c>
      <c r="C114" s="6">
        <v>380801</v>
      </c>
      <c r="D114" s="6">
        <v>1856</v>
      </c>
      <c r="E114" s="25">
        <f>D114/D113</f>
        <v>2.8379204892966361</v>
      </c>
      <c r="G114" s="2">
        <v>8</v>
      </c>
      <c r="H114" s="5">
        <f t="shared" si="213"/>
        <v>7.8130742205300849E-2</v>
      </c>
      <c r="I114" s="5">
        <f t="shared" si="214"/>
        <v>0.92186925779469919</v>
      </c>
      <c r="K114" s="2">
        <v>8</v>
      </c>
      <c r="L114" s="5">
        <f t="shared" ref="L114:N114" si="229">G42/SUM($G42:$I42)</f>
        <v>0.24788334901222955</v>
      </c>
      <c r="M114" s="5">
        <f t="shared" si="229"/>
        <v>0.50423330197554095</v>
      </c>
      <c r="N114" s="5">
        <f t="shared" si="229"/>
        <v>0.24788334901222955</v>
      </c>
      <c r="P114" s="2">
        <v>8</v>
      </c>
      <c r="Q114" s="5">
        <f t="shared" ref="Q114:S114" si="230">J42/SUM($J42:$L42)</f>
        <v>0</v>
      </c>
      <c r="R114" s="5">
        <f t="shared" si="230"/>
        <v>0.47008547008547014</v>
      </c>
      <c r="S114" s="5">
        <f t="shared" si="230"/>
        <v>0.52991452991452992</v>
      </c>
    </row>
    <row r="115" spans="1:19" ht="13">
      <c r="A115" s="2" t="s">
        <v>108</v>
      </c>
      <c r="B115" s="2" t="s">
        <v>80</v>
      </c>
      <c r="C115" s="6">
        <v>159734</v>
      </c>
      <c r="D115" s="6">
        <v>874</v>
      </c>
      <c r="E115" s="25">
        <f>D115/D113</f>
        <v>1.3363914373088686</v>
      </c>
      <c r="G115" s="4" t="s">
        <v>158</v>
      </c>
      <c r="H115" s="38">
        <f ca="1">IFERROR(__xludf.DUMMYFUNCTION("AVERAGE.WEIGHTED(H111:H114, E39:E42)*AVERAGE.WEIGHTED(F39:F42, E39:E42)"),0.118462665846069)</f>
        <v>0.118462665846069</v>
      </c>
      <c r="I115" s="38">
        <f ca="1">IFERROR(__xludf.DUMMYFUNCTION("AVERAGE.WEIGHTED(I111:I114, E39:E42)*AVERAGE.WEIGHTED(F39:F42, E39:E42)"),0.5301589454983)</f>
        <v>0.5301589454983</v>
      </c>
    </row>
    <row r="116" spans="1:19" ht="13">
      <c r="A116" s="2" t="s">
        <v>159</v>
      </c>
      <c r="B116" s="2" t="s">
        <v>79</v>
      </c>
      <c r="C116" s="6">
        <v>9662</v>
      </c>
      <c r="D116" s="6">
        <v>1072</v>
      </c>
      <c r="E116" s="25"/>
    </row>
    <row r="117" spans="1:19" ht="13">
      <c r="A117" s="2" t="s">
        <v>159</v>
      </c>
      <c r="B117" s="2" t="s">
        <v>78</v>
      </c>
      <c r="C117" s="6">
        <v>336597</v>
      </c>
      <c r="D117" s="6">
        <v>2881</v>
      </c>
      <c r="E117" s="25">
        <f>D117/D116</f>
        <v>2.6875</v>
      </c>
    </row>
    <row r="118" spans="1:19" ht="13">
      <c r="A118" s="2" t="s">
        <v>159</v>
      </c>
      <c r="B118" s="2" t="s">
        <v>80</v>
      </c>
      <c r="C118" s="6">
        <v>13419</v>
      </c>
      <c r="D118" s="6">
        <v>527</v>
      </c>
      <c r="E118" s="25">
        <f>D118/D116</f>
        <v>0.49160447761194032</v>
      </c>
    </row>
    <row r="122" spans="1:19" ht="13">
      <c r="A122" s="13" t="s">
        <v>160</v>
      </c>
      <c r="B122" s="13"/>
      <c r="C122" s="13"/>
      <c r="D122" s="13"/>
      <c r="E122" s="13"/>
      <c r="F122" s="13"/>
      <c r="H122" s="13" t="s">
        <v>161</v>
      </c>
      <c r="I122" s="13"/>
      <c r="J122" s="13"/>
      <c r="K122" s="13"/>
    </row>
    <row r="124" spans="1:19" ht="13">
      <c r="A124" s="2" t="s">
        <v>162</v>
      </c>
      <c r="H124" s="2" t="s">
        <v>163</v>
      </c>
    </row>
    <row r="125" spans="1:19" ht="13">
      <c r="B125" s="39" t="s">
        <v>164</v>
      </c>
      <c r="C125" s="33" t="s">
        <v>165</v>
      </c>
      <c r="D125" s="39" t="s">
        <v>164</v>
      </c>
      <c r="E125" s="33" t="s">
        <v>165</v>
      </c>
      <c r="I125" s="33" t="s">
        <v>165</v>
      </c>
      <c r="N125" s="38"/>
    </row>
    <row r="126" spans="1:19" ht="13">
      <c r="A126" s="1" t="s">
        <v>166</v>
      </c>
      <c r="B126" s="40" t="s">
        <v>167</v>
      </c>
      <c r="C126" s="40" t="s">
        <v>168</v>
      </c>
      <c r="D126" s="40" t="s">
        <v>169</v>
      </c>
      <c r="E126" s="40" t="s">
        <v>170</v>
      </c>
      <c r="F126" s="4"/>
      <c r="H126" s="1" t="s">
        <v>166</v>
      </c>
      <c r="I126" s="1" t="s">
        <v>148</v>
      </c>
      <c r="J126" s="1" t="s">
        <v>171</v>
      </c>
    </row>
    <row r="127" spans="1:19" ht="13">
      <c r="A127" s="36">
        <v>2020</v>
      </c>
      <c r="B127" s="5">
        <f ca="1">IFERROR(__xludf.DUMMYFUNCTION("AVERAGE.WEIGHTED(F35:F38,E35:E38)"),0.145301297412022)</f>
        <v>0.145301297412022</v>
      </c>
      <c r="C127" s="45">
        <f ca="1">B127</f>
        <v>0.145301297412022</v>
      </c>
      <c r="D127" s="2" t="s">
        <v>172</v>
      </c>
      <c r="E127" s="2" t="s">
        <v>172</v>
      </c>
      <c r="H127" s="36">
        <v>2030</v>
      </c>
      <c r="I127" s="5">
        <v>0.08</v>
      </c>
      <c r="J127" s="5">
        <f t="shared" ref="J127:J130" ca="1" si="231">MAX(0, C128-I127)</f>
        <v>0.28752296008489625</v>
      </c>
    </row>
    <row r="128" spans="1:19" ht="13">
      <c r="A128" s="36">
        <v>2030</v>
      </c>
      <c r="B128" s="5">
        <f ca="1">$B127*(1.55)</f>
        <v>0.22521701098863409</v>
      </c>
      <c r="C128" s="45">
        <f ca="1">0.26*(1-$C127)+$C127</f>
        <v>0.36752296008489627</v>
      </c>
      <c r="D128" s="5">
        <f ca="1">B128/$B127-1</f>
        <v>0.55000000000000004</v>
      </c>
      <c r="E128" s="45">
        <f ca="1">C128/$C127-1</f>
        <v>1.5293852610464578</v>
      </c>
      <c r="H128" s="36" t="s">
        <v>44</v>
      </c>
      <c r="I128" s="5">
        <v>0.51</v>
      </c>
      <c r="J128" s="5">
        <f t="shared" ca="1" si="231"/>
        <v>0</v>
      </c>
      <c r="K128" s="5"/>
      <c r="L128" s="5"/>
    </row>
    <row r="129" spans="1:27" ht="13">
      <c r="A129" s="36" t="s">
        <v>44</v>
      </c>
      <c r="B129" s="5">
        <f ca="1">AVERAGE(B128,B130)</f>
        <v>0.29423512725934453</v>
      </c>
      <c r="C129" s="45">
        <f ca="1">(0.26+0.5*0.28)*(1-$C127)+$C127</f>
        <v>0.48718077844721319</v>
      </c>
      <c r="D129" s="5">
        <f ca="1">B129/$B127-1</f>
        <v>1.0249999999999999</v>
      </c>
      <c r="E129" s="45">
        <f ca="1">C129/$C127-1</f>
        <v>2.3529004016099351</v>
      </c>
      <c r="H129" s="36" t="s">
        <v>45</v>
      </c>
      <c r="I129" s="5">
        <v>0.3</v>
      </c>
      <c r="J129" s="5">
        <f t="shared" ca="1" si="231"/>
        <v>0.30683859680953013</v>
      </c>
      <c r="K129" s="5"/>
      <c r="L129" s="5"/>
    </row>
    <row r="130" spans="1:27" ht="13">
      <c r="A130" s="36" t="s">
        <v>45</v>
      </c>
      <c r="B130" s="5">
        <f ca="1">$B127*(2.5)</f>
        <v>0.363253243530055</v>
      </c>
      <c r="C130" s="45">
        <f ca="1">(0.26+0.28)*(1-$C127)+$C127</f>
        <v>0.60683859680953012</v>
      </c>
      <c r="D130" s="5">
        <f ca="1">B130/$B127-1</f>
        <v>1.5</v>
      </c>
      <c r="E130" s="45">
        <f ca="1">C130/$C127-1</f>
        <v>3.1764155421734124</v>
      </c>
      <c r="H130" s="36" t="s">
        <v>46</v>
      </c>
      <c r="I130" s="5">
        <v>0.08</v>
      </c>
      <c r="J130" s="5">
        <f t="shared" ca="1" si="231"/>
        <v>0.72341929840476515</v>
      </c>
      <c r="K130" s="5"/>
      <c r="L130" s="5"/>
    </row>
    <row r="131" spans="1:27" ht="13">
      <c r="A131" s="36" t="s">
        <v>46</v>
      </c>
      <c r="B131" s="5">
        <f ca="1">(B130-B129)+B130</f>
        <v>0.43227135980076548</v>
      </c>
      <c r="C131" s="45">
        <f ca="1">(0.26+0.28+0.5*0.46)*(1-$C127)+$C127</f>
        <v>0.80341929840476511</v>
      </c>
      <c r="D131" s="5">
        <f ca="1">B131/$B127-1</f>
        <v>1.9750000000000001</v>
      </c>
      <c r="E131" s="45">
        <f ca="1">C131/$C127-1</f>
        <v>4.5293332730991258</v>
      </c>
      <c r="K131" s="5"/>
      <c r="L131" s="5"/>
    </row>
    <row r="133" spans="1:27" ht="13">
      <c r="A133" s="2" t="s">
        <v>173</v>
      </c>
      <c r="H133" s="2" t="s">
        <v>174</v>
      </c>
    </row>
    <row r="134" spans="1:27" ht="13">
      <c r="A134" s="1" t="s">
        <v>166</v>
      </c>
      <c r="B134" s="40" t="s">
        <v>175</v>
      </c>
      <c r="C134" s="1" t="s">
        <v>176</v>
      </c>
      <c r="H134" s="35" t="s">
        <v>177</v>
      </c>
    </row>
    <row r="135" spans="1:27" ht="13">
      <c r="A135" s="36">
        <v>2020</v>
      </c>
      <c r="B135" s="5">
        <f>AVERAGE(F39:F42)</f>
        <v>0.60108460296232435</v>
      </c>
      <c r="C135" s="45">
        <f>B135</f>
        <v>0.60108460296232435</v>
      </c>
      <c r="H135" s="1" t="s">
        <v>166</v>
      </c>
      <c r="I135" s="1" t="s">
        <v>148</v>
      </c>
      <c r="J135" s="1" t="s">
        <v>171</v>
      </c>
    </row>
    <row r="136" spans="1:27" ht="13">
      <c r="A136" s="36">
        <v>2030</v>
      </c>
      <c r="B136" s="5">
        <f>MIN(100%, $B135*(1.55))</f>
        <v>0.93168113459160273</v>
      </c>
      <c r="C136" s="45">
        <f t="shared" ref="C136:C139" ca="1" si="232">MIN(100%,(E128+1)*$C135)</f>
        <v>1</v>
      </c>
      <c r="H136" s="36">
        <v>2030</v>
      </c>
      <c r="I136" s="5">
        <f t="shared" ref="I136:I139" ca="1" si="233">MAX(I127, $H$115)</f>
        <v>0.118462665846069</v>
      </c>
      <c r="J136" s="5">
        <f t="shared" ref="J136:J139" ca="1" si="234">1-I136</f>
        <v>0.88153733415393098</v>
      </c>
    </row>
    <row r="137" spans="1:27" ht="15" customHeight="1">
      <c r="A137" s="36" t="s">
        <v>44</v>
      </c>
      <c r="B137" s="5">
        <f>AVERAGE(B136,B138)</f>
        <v>0.96584056729580137</v>
      </c>
      <c r="C137" s="45">
        <f t="shared" ca="1" si="232"/>
        <v>1</v>
      </c>
      <c r="H137" s="36" t="s">
        <v>44</v>
      </c>
      <c r="I137" s="5">
        <f t="shared" ca="1" si="233"/>
        <v>0.51</v>
      </c>
      <c r="J137" s="5">
        <f t="shared" ca="1" si="234"/>
        <v>0.49</v>
      </c>
    </row>
    <row r="138" spans="1:27" ht="13">
      <c r="A138" s="36" t="s">
        <v>45</v>
      </c>
      <c r="B138" s="5">
        <f>MIN(100%, $B135*(2.5))</f>
        <v>1</v>
      </c>
      <c r="C138" s="45">
        <f t="shared" ca="1" si="232"/>
        <v>1</v>
      </c>
      <c r="H138" s="36" t="s">
        <v>45</v>
      </c>
      <c r="I138" s="5">
        <f t="shared" ca="1" si="233"/>
        <v>0.3</v>
      </c>
      <c r="J138" s="5">
        <f t="shared" ca="1" si="234"/>
        <v>0.7</v>
      </c>
    </row>
    <row r="139" spans="1:27" ht="13">
      <c r="A139" s="36" t="s">
        <v>46</v>
      </c>
      <c r="B139" s="5">
        <f>(B138-B137)+B138</f>
        <v>1.0341594327041985</v>
      </c>
      <c r="C139" s="45">
        <f t="shared" ca="1" si="232"/>
        <v>1</v>
      </c>
      <c r="H139" s="36" t="s">
        <v>46</v>
      </c>
      <c r="I139" s="5">
        <f t="shared" ca="1" si="233"/>
        <v>0.118462665846069</v>
      </c>
      <c r="J139" s="5">
        <f t="shared" ca="1" si="234"/>
        <v>0.88153733415393098</v>
      </c>
    </row>
    <row r="141" spans="1:27" ht="13">
      <c r="A141" s="7" t="s">
        <v>178</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3" spans="1:27" ht="13">
      <c r="A143" s="2" t="s">
        <v>179</v>
      </c>
      <c r="E143" s="2" t="s">
        <v>180</v>
      </c>
    </row>
    <row r="144" spans="1:27" ht="13">
      <c r="A144" s="1" t="s">
        <v>28</v>
      </c>
      <c r="B144" s="1" t="s">
        <v>181</v>
      </c>
      <c r="C144" s="46" t="s">
        <v>182</v>
      </c>
      <c r="E144" s="46" t="s">
        <v>28</v>
      </c>
      <c r="F144" s="46" t="s">
        <v>181</v>
      </c>
      <c r="G144" s="46" t="s">
        <v>39</v>
      </c>
      <c r="H144" s="47" t="s">
        <v>40</v>
      </c>
      <c r="I144" s="47" t="s">
        <v>41</v>
      </c>
      <c r="J144" s="47" t="s">
        <v>42</v>
      </c>
      <c r="V144" s="4"/>
      <c r="W144" s="4"/>
      <c r="X144" s="4"/>
      <c r="Y144" s="4"/>
      <c r="Z144" s="4"/>
      <c r="AA144" s="4"/>
    </row>
    <row r="145" spans="1:37" ht="13">
      <c r="A145" s="2" t="s">
        <v>52</v>
      </c>
      <c r="B145" s="21">
        <f t="shared" ref="B145:B150" ca="1" si="235">B168</f>
        <v>4.7674437299035297</v>
      </c>
      <c r="C145" s="48" t="s">
        <v>183</v>
      </c>
      <c r="E145" s="48" t="s">
        <v>52</v>
      </c>
      <c r="F145" s="49">
        <f t="shared" ref="F145:J145" ca="1" si="236">B168</f>
        <v>4.7674437299035297</v>
      </c>
      <c r="G145" s="21">
        <f t="shared" ca="1" si="236"/>
        <v>6.5246946751343398</v>
      </c>
      <c r="H145" s="21">
        <f t="shared" ca="1" si="236"/>
        <v>8.8829415014681565</v>
      </c>
      <c r="I145" s="21">
        <f t="shared" ca="1" si="236"/>
        <v>8.0968592260235503</v>
      </c>
      <c r="J145" s="21">
        <f t="shared" ca="1" si="236"/>
        <v>7.3107769505789451</v>
      </c>
      <c r="U145" s="4"/>
      <c r="V145" s="5"/>
      <c r="W145" s="5"/>
      <c r="Z145" s="41"/>
      <c r="AA145" s="41"/>
    </row>
    <row r="146" spans="1:37" ht="13">
      <c r="A146" s="2" t="s">
        <v>54</v>
      </c>
      <c r="B146" s="21">
        <f t="shared" ca="1" si="235"/>
        <v>6.1976768488745888</v>
      </c>
      <c r="C146" s="50" t="s">
        <v>184</v>
      </c>
      <c r="E146" s="50" t="s">
        <v>54</v>
      </c>
      <c r="F146" s="51">
        <f t="shared" ref="F146:J146" ca="1" si="237">B169</f>
        <v>6.1976768488745888</v>
      </c>
      <c r="G146" s="21">
        <f t="shared" ca="1" si="237"/>
        <v>8.4821030776746422</v>
      </c>
      <c r="H146" s="21">
        <f t="shared" ca="1" si="237"/>
        <v>11.547823951908605</v>
      </c>
      <c r="I146" s="21">
        <f t="shared" ca="1" si="237"/>
        <v>10.525916993830617</v>
      </c>
      <c r="J146" s="21">
        <f t="shared" ca="1" si="237"/>
        <v>9.5040100357526285</v>
      </c>
      <c r="U146" s="4"/>
      <c r="V146" s="5"/>
      <c r="W146" s="5"/>
      <c r="Z146" s="41"/>
      <c r="AA146" s="41"/>
    </row>
    <row r="147" spans="1:37" ht="13">
      <c r="A147" s="2" t="s">
        <v>56</v>
      </c>
      <c r="B147" s="21">
        <f t="shared" ca="1" si="235"/>
        <v>7.4848866559485421</v>
      </c>
      <c r="C147" s="50" t="s">
        <v>185</v>
      </c>
      <c r="E147" s="50" t="s">
        <v>56</v>
      </c>
      <c r="F147" s="51">
        <f t="shared" ref="F147:J147" ca="1" si="238">B170</f>
        <v>7.4848866559485421</v>
      </c>
      <c r="G147" s="21">
        <f t="shared" ca="1" si="238"/>
        <v>10.243770639960914</v>
      </c>
      <c r="H147" s="21">
        <f t="shared" ca="1" si="238"/>
        <v>13.946218157305005</v>
      </c>
      <c r="I147" s="21">
        <f t="shared" ca="1" si="238"/>
        <v>12.712068984856975</v>
      </c>
      <c r="J147" s="21">
        <f t="shared" ca="1" si="238"/>
        <v>11.477919812408945</v>
      </c>
      <c r="U147" s="4"/>
      <c r="V147" s="5"/>
      <c r="W147" s="5"/>
      <c r="Z147" s="41"/>
      <c r="AA147" s="41"/>
    </row>
    <row r="148" spans="1:37" ht="13">
      <c r="A148" s="2" t="s">
        <v>58</v>
      </c>
      <c r="B148" s="21">
        <f t="shared" ca="1" si="235"/>
        <v>4.1031949010183499</v>
      </c>
      <c r="C148" s="48" t="s">
        <v>186</v>
      </c>
      <c r="E148" s="48" t="s">
        <v>58</v>
      </c>
      <c r="F148" s="49">
        <f t="shared" ref="F148:J148" ca="1" si="239">B171</f>
        <v>4.1031949010183499</v>
      </c>
      <c r="G148" s="21">
        <f t="shared" ca="1" si="239"/>
        <v>4.9877225263706304</v>
      </c>
      <c r="H148" s="21">
        <f t="shared" ca="1" si="239"/>
        <v>6.4882866291595551</v>
      </c>
      <c r="I148" s="21">
        <f t="shared" ca="1" si="239"/>
        <v>5.9880985948965799</v>
      </c>
      <c r="J148" s="21">
        <f t="shared" ca="1" si="239"/>
        <v>5.4879105606336047</v>
      </c>
    </row>
    <row r="149" spans="1:37" ht="13">
      <c r="A149" s="2" t="s">
        <v>60</v>
      </c>
      <c r="B149" s="21">
        <f t="shared" ca="1" si="235"/>
        <v>4.7674437299035297</v>
      </c>
      <c r="C149" s="48" t="s">
        <v>187</v>
      </c>
      <c r="E149" s="48" t="s">
        <v>60</v>
      </c>
      <c r="F149" s="49">
        <f t="shared" ref="F149:J149" ca="1" si="240">B172</f>
        <v>4.7674437299035297</v>
      </c>
      <c r="G149" s="21">
        <f t="shared" ca="1" si="240"/>
        <v>6.5246946751343398</v>
      </c>
      <c r="H149" s="21">
        <f t="shared" ca="1" si="240"/>
        <v>8.8829415014681565</v>
      </c>
      <c r="I149" s="21">
        <f t="shared" ca="1" si="240"/>
        <v>8.0968592260235503</v>
      </c>
      <c r="J149" s="21">
        <f t="shared" ca="1" si="240"/>
        <v>7.3107769505789451</v>
      </c>
    </row>
    <row r="150" spans="1:37" ht="13">
      <c r="A150" s="2" t="s">
        <v>62</v>
      </c>
      <c r="B150" s="21">
        <f t="shared" si="235"/>
        <v>2.5</v>
      </c>
      <c r="C150" s="48" t="s">
        <v>188</v>
      </c>
      <c r="E150" s="48" t="s">
        <v>62</v>
      </c>
      <c r="F150" s="49">
        <f t="shared" ref="F150:J150" si="241">B173</f>
        <v>2.5</v>
      </c>
      <c r="G150" s="21">
        <f t="shared" si="241"/>
        <v>2.9</v>
      </c>
      <c r="H150" s="21">
        <f t="shared" si="241"/>
        <v>4.1000000000000005</v>
      </c>
      <c r="I150" s="21">
        <f t="shared" si="241"/>
        <v>3.7</v>
      </c>
      <c r="J150" s="21">
        <f t="shared" si="241"/>
        <v>3.3</v>
      </c>
    </row>
    <row r="153" spans="1:37" ht="13">
      <c r="A153" s="2" t="s">
        <v>189</v>
      </c>
      <c r="E153" s="39" t="s">
        <v>190</v>
      </c>
      <c r="F153" s="35" t="s">
        <v>72</v>
      </c>
      <c r="J153" s="35" t="s">
        <v>191</v>
      </c>
      <c r="M153" s="35" t="s">
        <v>192</v>
      </c>
      <c r="O153" s="35" t="s">
        <v>193</v>
      </c>
      <c r="R153" s="35" t="s">
        <v>194</v>
      </c>
      <c r="T153" s="35" t="s">
        <v>195</v>
      </c>
      <c r="W153" s="35" t="s">
        <v>196</v>
      </c>
    </row>
    <row r="154" spans="1:37" ht="13">
      <c r="A154" s="47" t="s">
        <v>28</v>
      </c>
      <c r="B154" s="47" t="s">
        <v>197</v>
      </c>
      <c r="C154" s="47" t="s">
        <v>198</v>
      </c>
      <c r="D154" s="47" t="s">
        <v>199</v>
      </c>
      <c r="E154" s="47" t="s">
        <v>200</v>
      </c>
      <c r="F154" s="10">
        <v>2015</v>
      </c>
      <c r="G154" s="10">
        <v>2020</v>
      </c>
      <c r="H154" s="10">
        <v>2030</v>
      </c>
      <c r="I154" s="10">
        <v>2050</v>
      </c>
      <c r="J154" s="52">
        <v>2015</v>
      </c>
      <c r="K154" s="52">
        <v>2030</v>
      </c>
      <c r="L154" s="52">
        <v>2050</v>
      </c>
      <c r="M154" s="47">
        <v>2030</v>
      </c>
      <c r="N154" s="47">
        <v>2050</v>
      </c>
      <c r="O154" s="10">
        <v>2015</v>
      </c>
      <c r="P154" s="10">
        <v>2030</v>
      </c>
      <c r="Q154" s="10">
        <v>2050</v>
      </c>
      <c r="R154" s="52">
        <v>2030</v>
      </c>
      <c r="S154" s="52">
        <v>2050</v>
      </c>
      <c r="T154" s="47">
        <v>2015</v>
      </c>
      <c r="U154" s="46">
        <v>2030</v>
      </c>
      <c r="V154" s="47">
        <v>2050</v>
      </c>
      <c r="W154" s="47">
        <v>2030</v>
      </c>
      <c r="X154" s="47">
        <v>2050</v>
      </c>
    </row>
    <row r="155" spans="1:37" ht="13">
      <c r="A155" s="2" t="s">
        <v>201</v>
      </c>
      <c r="B155" s="2">
        <v>2.5</v>
      </c>
      <c r="C155" s="2">
        <v>10</v>
      </c>
      <c r="D155" s="24">
        <v>166</v>
      </c>
      <c r="E155" s="24">
        <v>415</v>
      </c>
      <c r="F155" s="21">
        <v>2.2999999999999998</v>
      </c>
      <c r="G155" s="2">
        <v>2.5</v>
      </c>
      <c r="H155" s="53">
        <v>2.9</v>
      </c>
      <c r="I155" s="53">
        <v>3.7</v>
      </c>
      <c r="J155" s="54">
        <v>2.2999999999999998</v>
      </c>
      <c r="K155" s="54">
        <v>2.5</v>
      </c>
      <c r="L155" s="54">
        <v>2.9</v>
      </c>
      <c r="M155" s="5">
        <f t="shared" ref="M155:N155" si="242">(K155/$J155)-1</f>
        <v>8.6956521739130599E-2</v>
      </c>
      <c r="N155" s="5">
        <f t="shared" si="242"/>
        <v>0.26086956521739135</v>
      </c>
      <c r="O155" s="22">
        <v>9.3000000000000007</v>
      </c>
      <c r="P155" s="54">
        <v>10.3</v>
      </c>
      <c r="Q155" s="54">
        <v>11.6</v>
      </c>
      <c r="R155" s="5">
        <f t="shared" ref="R155:S155" si="243">(P155/$O155)-1</f>
        <v>0.10752688172043001</v>
      </c>
      <c r="S155" s="5">
        <f t="shared" si="243"/>
        <v>0.24731182795698903</v>
      </c>
      <c r="T155" s="22">
        <f t="shared" ref="T155:V155" si="244">SUM(J155,O155)</f>
        <v>11.600000000000001</v>
      </c>
      <c r="U155" s="22">
        <f t="shared" si="244"/>
        <v>12.8</v>
      </c>
      <c r="V155" s="22">
        <f t="shared" si="244"/>
        <v>14.5</v>
      </c>
      <c r="W155" s="5">
        <f t="shared" ref="W155:X155" si="245">(U155/$T155)-1</f>
        <v>0.10344827586206895</v>
      </c>
      <c r="X155" s="5">
        <f t="shared" si="245"/>
        <v>0.24999999999999978</v>
      </c>
    </row>
    <row r="156" spans="1:37" ht="13">
      <c r="A156" s="55" t="s">
        <v>202</v>
      </c>
      <c r="B156" s="2">
        <v>3.5</v>
      </c>
      <c r="C156" s="2">
        <v>12</v>
      </c>
      <c r="D156" s="24">
        <v>329</v>
      </c>
      <c r="E156" s="24">
        <v>1152</v>
      </c>
      <c r="F156" s="21">
        <v>3.8</v>
      </c>
      <c r="G156" s="2">
        <v>5.0999999999999996</v>
      </c>
      <c r="H156" s="56">
        <v>6.9</v>
      </c>
      <c r="I156" s="56">
        <v>8.9</v>
      </c>
      <c r="J156" s="57">
        <v>33.200000000000003</v>
      </c>
      <c r="K156" s="57">
        <v>51.6</v>
      </c>
      <c r="L156" s="57">
        <v>89</v>
      </c>
      <c r="M156" s="5">
        <f t="shared" ref="M156:N156" si="246">(K156/$J156)-1</f>
        <v>0.55421686746987953</v>
      </c>
      <c r="N156" s="5">
        <f t="shared" si="246"/>
        <v>1.6807228915662646</v>
      </c>
      <c r="O156" s="22">
        <v>77.7</v>
      </c>
      <c r="P156" s="57">
        <v>138.30000000000001</v>
      </c>
      <c r="Q156" s="57">
        <v>355</v>
      </c>
      <c r="R156" s="5">
        <f t="shared" ref="R156:S156" si="247">(P156/$O156)-1</f>
        <v>0.77992277992277992</v>
      </c>
      <c r="S156" s="5">
        <f t="shared" si="247"/>
        <v>3.5688545688545688</v>
      </c>
      <c r="T156" s="22">
        <f t="shared" ref="T156:V156" si="248">SUM(J156,O156)</f>
        <v>110.9</v>
      </c>
      <c r="U156" s="22">
        <f t="shared" si="248"/>
        <v>189.9</v>
      </c>
      <c r="V156" s="22">
        <f t="shared" si="248"/>
        <v>444</v>
      </c>
      <c r="W156" s="5">
        <f t="shared" ref="W156:X156" si="249">(U156/$T156)-1</f>
        <v>0.71235347159603246</v>
      </c>
      <c r="X156" s="5">
        <f t="shared" si="249"/>
        <v>3.0036068530207389</v>
      </c>
    </row>
    <row r="157" spans="1:37" ht="13">
      <c r="A157" s="2" t="s">
        <v>203</v>
      </c>
      <c r="B157" s="2">
        <v>7.5</v>
      </c>
      <c r="C157" s="2">
        <v>12</v>
      </c>
      <c r="D157" s="24">
        <v>232</v>
      </c>
      <c r="E157" s="24">
        <v>1740</v>
      </c>
      <c r="F157" s="21">
        <v>3.5</v>
      </c>
      <c r="G157" s="2">
        <v>4.5</v>
      </c>
      <c r="H157" s="56">
        <v>6.2</v>
      </c>
      <c r="I157" s="56">
        <v>7.3</v>
      </c>
      <c r="J157" s="57">
        <v>75.900000000000006</v>
      </c>
      <c r="K157" s="57">
        <v>114</v>
      </c>
      <c r="L157" s="57">
        <v>183.4</v>
      </c>
      <c r="M157" s="5">
        <f t="shared" ref="M157:N157" si="250">(K157/$J157)-1</f>
        <v>0.50197628458498023</v>
      </c>
      <c r="N157" s="5">
        <f t="shared" si="250"/>
        <v>1.4163372859025034</v>
      </c>
      <c r="O157" s="22">
        <v>62</v>
      </c>
      <c r="P157" s="57">
        <v>105.5</v>
      </c>
      <c r="Q157" s="57">
        <v>264.10000000000002</v>
      </c>
      <c r="R157" s="5">
        <f t="shared" ref="R157:S157" si="251">(P157/$O157)-1</f>
        <v>0.70161290322580649</v>
      </c>
      <c r="S157" s="5">
        <f t="shared" si="251"/>
        <v>3.2596774193548388</v>
      </c>
      <c r="T157" s="22">
        <f t="shared" ref="T157:V157" si="252">SUM(J157,O157)</f>
        <v>137.9</v>
      </c>
      <c r="U157" s="22">
        <f t="shared" si="252"/>
        <v>219.5</v>
      </c>
      <c r="V157" s="22">
        <f t="shared" si="252"/>
        <v>447.5</v>
      </c>
      <c r="W157" s="5">
        <f t="shared" ref="W157:X157" si="253">(U157/$T157)-1</f>
        <v>0.59173313995649024</v>
      </c>
      <c r="X157" s="5">
        <f t="shared" si="253"/>
        <v>2.2451051486584479</v>
      </c>
    </row>
    <row r="158" spans="1:37" ht="13">
      <c r="A158" s="2" t="s">
        <v>204</v>
      </c>
      <c r="B158" s="2">
        <v>25</v>
      </c>
      <c r="C158" s="2">
        <v>15</v>
      </c>
      <c r="D158" s="24">
        <v>836</v>
      </c>
      <c r="E158" s="24">
        <v>20900</v>
      </c>
      <c r="F158" s="21">
        <v>3.8</v>
      </c>
      <c r="G158" s="2">
        <v>4.3</v>
      </c>
      <c r="H158" s="53">
        <v>5.4</v>
      </c>
      <c r="I158" s="53">
        <v>6.4</v>
      </c>
      <c r="J158" s="54">
        <v>26.2</v>
      </c>
      <c r="K158" s="54">
        <v>43.8</v>
      </c>
      <c r="L158" s="54">
        <v>71.599999999999994</v>
      </c>
      <c r="M158" s="5">
        <f t="shared" ref="M158:N158" si="254">(K158/$J158)-1</f>
        <v>0.6717557251908397</v>
      </c>
      <c r="N158" s="5">
        <f t="shared" si="254"/>
        <v>1.7328244274809159</v>
      </c>
      <c r="O158" s="22">
        <v>2</v>
      </c>
      <c r="P158" s="54">
        <v>4</v>
      </c>
      <c r="Q158" s="54">
        <v>11.3</v>
      </c>
      <c r="R158" s="5">
        <f t="shared" ref="R158:S158" si="255">(P158/$O158)-1</f>
        <v>1</v>
      </c>
      <c r="S158" s="5">
        <f t="shared" si="255"/>
        <v>4.6500000000000004</v>
      </c>
      <c r="T158" s="22">
        <f t="shared" ref="T158:V158" si="256">SUM(J158,O158)</f>
        <v>28.2</v>
      </c>
      <c r="U158" s="22">
        <f t="shared" si="256"/>
        <v>47.8</v>
      </c>
      <c r="V158" s="22">
        <f t="shared" si="256"/>
        <v>82.899999999999991</v>
      </c>
      <c r="W158" s="5">
        <f t="shared" ref="W158:X158" si="257">(U158/$T158)-1</f>
        <v>0.69503546099290769</v>
      </c>
      <c r="X158" s="5">
        <f t="shared" si="257"/>
        <v>1.9397163120567376</v>
      </c>
      <c r="AD158" s="38"/>
      <c r="AE158" s="38"/>
      <c r="AF158" s="38"/>
      <c r="AG158" s="38"/>
      <c r="AH158" s="38"/>
      <c r="AI158" s="38"/>
      <c r="AJ158" s="38"/>
      <c r="AK158" s="38"/>
    </row>
    <row r="159" spans="1:37" ht="13">
      <c r="A159" s="2" t="s">
        <v>205</v>
      </c>
      <c r="B159" s="2">
        <v>65</v>
      </c>
      <c r="C159" s="2">
        <v>15</v>
      </c>
      <c r="D159" s="24">
        <v>287</v>
      </c>
      <c r="E159" s="24">
        <v>18655</v>
      </c>
      <c r="F159" s="21">
        <v>2.2999999999999998</v>
      </c>
      <c r="G159" s="2">
        <v>2.6</v>
      </c>
      <c r="H159" s="53">
        <v>3.6</v>
      </c>
      <c r="I159" s="53">
        <v>4.5</v>
      </c>
      <c r="J159" s="54">
        <v>45.7</v>
      </c>
      <c r="K159" s="54">
        <v>57.2</v>
      </c>
      <c r="L159" s="54">
        <v>83.5</v>
      </c>
      <c r="M159" s="5">
        <f t="shared" ref="M159:N159" si="258">(K159/$J159)-1</f>
        <v>0.25164113785557984</v>
      </c>
      <c r="N159" s="5">
        <f t="shared" si="258"/>
        <v>0.82713347921225377</v>
      </c>
      <c r="O159" s="22" t="s">
        <v>172</v>
      </c>
      <c r="P159" s="54" t="s">
        <v>172</v>
      </c>
      <c r="Q159" s="54" t="s">
        <v>172</v>
      </c>
      <c r="R159" s="58" t="s">
        <v>172</v>
      </c>
      <c r="S159" s="58" t="s">
        <v>172</v>
      </c>
      <c r="T159" s="22">
        <f t="shared" ref="T159:V159" si="259">SUM(J159,O159)</f>
        <v>45.7</v>
      </c>
      <c r="U159" s="22">
        <f t="shared" si="259"/>
        <v>57.2</v>
      </c>
      <c r="V159" s="22">
        <f t="shared" si="259"/>
        <v>83.5</v>
      </c>
      <c r="W159" s="5">
        <f t="shared" ref="W159:X159" si="260">(U159/$T159)-1</f>
        <v>0.25164113785557984</v>
      </c>
      <c r="X159" s="5">
        <f t="shared" si="260"/>
        <v>0.82713347921225377</v>
      </c>
      <c r="AD159" s="38"/>
      <c r="AE159" s="38"/>
      <c r="AF159" s="38"/>
      <c r="AG159" s="38"/>
      <c r="AH159" s="38"/>
      <c r="AI159" s="38"/>
      <c r="AJ159" s="38"/>
      <c r="AK159" s="38"/>
    </row>
    <row r="160" spans="1:37" ht="13">
      <c r="A160" s="2" t="s">
        <v>206</v>
      </c>
      <c r="B160" s="2">
        <v>81</v>
      </c>
      <c r="C160" s="2">
        <v>15</v>
      </c>
      <c r="D160" s="24">
        <v>270</v>
      </c>
      <c r="E160" s="24">
        <v>21600</v>
      </c>
      <c r="F160" s="21">
        <v>3.3</v>
      </c>
      <c r="G160" s="59">
        <v>3.5</v>
      </c>
      <c r="H160" s="53">
        <v>4.3</v>
      </c>
      <c r="I160" s="53">
        <v>4.9000000000000004</v>
      </c>
      <c r="J160" s="54">
        <v>41.7</v>
      </c>
      <c r="K160" s="54">
        <v>54.9</v>
      </c>
      <c r="L160" s="54">
        <v>87.7</v>
      </c>
      <c r="M160" s="5">
        <f t="shared" ref="M160:N160" si="261">(K160/$J160)-1</f>
        <v>0.31654676258992787</v>
      </c>
      <c r="N160" s="5">
        <f t="shared" si="261"/>
        <v>1.1031175059952036</v>
      </c>
      <c r="O160" s="22">
        <f t="shared" ref="O160:O161" si="262">15.7*J160/SUM(J$160:J$161)</f>
        <v>7.3809470124013536</v>
      </c>
      <c r="P160" s="22">
        <f t="shared" ref="P160:P161" si="263">27.1*K160/SUM(K$160:K$161)</f>
        <v>12.597713801862829</v>
      </c>
      <c r="Q160" s="22">
        <f t="shared" ref="Q160:Q161" si="264">71.4*L160/SUM(L$160:L$161)</f>
        <v>31.899032093734082</v>
      </c>
      <c r="R160" s="5">
        <f t="shared" ref="R160:S160" si="265">(P160/$O160)-1</f>
        <v>0.70678827265611632</v>
      </c>
      <c r="S160" s="5">
        <f t="shared" si="265"/>
        <v>3.3218074916589728</v>
      </c>
      <c r="T160" s="22">
        <f t="shared" ref="T160:V160" si="266">SUM(J160,O160)</f>
        <v>49.080947012401353</v>
      </c>
      <c r="U160" s="22">
        <f t="shared" si="266"/>
        <v>67.49771380186283</v>
      </c>
      <c r="V160" s="22">
        <f t="shared" si="266"/>
        <v>119.59903209373408</v>
      </c>
      <c r="W160" s="5">
        <f t="shared" ref="W160:X160" si="267">(U160/$T160)-1</f>
        <v>0.37523250691980503</v>
      </c>
      <c r="X160" s="5">
        <f t="shared" si="267"/>
        <v>1.4367710766362114</v>
      </c>
      <c r="AD160" s="38"/>
      <c r="AE160" s="38"/>
      <c r="AF160" s="38"/>
      <c r="AG160" s="38"/>
      <c r="AH160" s="38"/>
      <c r="AI160" s="38"/>
      <c r="AJ160" s="38"/>
      <c r="AK160" s="38"/>
    </row>
    <row r="161" spans="1:37" ht="13">
      <c r="A161" s="60" t="s">
        <v>207</v>
      </c>
      <c r="B161" s="60">
        <v>616</v>
      </c>
      <c r="C161" s="2">
        <v>20</v>
      </c>
      <c r="D161" s="24">
        <v>196</v>
      </c>
      <c r="E161" s="24">
        <v>120736</v>
      </c>
      <c r="F161" s="2">
        <v>3.3</v>
      </c>
      <c r="G161" s="2">
        <v>3.5</v>
      </c>
      <c r="H161" s="53">
        <v>4.2</v>
      </c>
      <c r="I161" s="53">
        <v>5.3</v>
      </c>
      <c r="J161" s="54">
        <v>47</v>
      </c>
      <c r="K161" s="54">
        <v>63.2</v>
      </c>
      <c r="L161" s="54">
        <v>108.6</v>
      </c>
      <c r="M161" s="5">
        <f t="shared" ref="M161:N161" si="268">(K161/$J161)-1</f>
        <v>0.34468085106382995</v>
      </c>
      <c r="N161" s="5">
        <f t="shared" si="268"/>
        <v>1.3106382978723401</v>
      </c>
      <c r="O161" s="22">
        <f t="shared" si="262"/>
        <v>8.3190529875986474</v>
      </c>
      <c r="P161" s="22">
        <f t="shared" si="263"/>
        <v>14.502286198137174</v>
      </c>
      <c r="Q161" s="22">
        <f t="shared" si="264"/>
        <v>39.50096790626592</v>
      </c>
      <c r="R161" s="5">
        <f t="shared" ref="R161:S161" si="269">(P161/$O161)-1</f>
        <v>0.74326166929769255</v>
      </c>
      <c r="S161" s="5">
        <f t="shared" si="269"/>
        <v>3.7482529520067587</v>
      </c>
      <c r="T161" s="22">
        <f t="shared" ref="T161:V161" si="270">SUM(J161,O161)</f>
        <v>55.319052987598646</v>
      </c>
      <c r="U161" s="22">
        <f t="shared" si="270"/>
        <v>77.702286198137173</v>
      </c>
      <c r="V161" s="22">
        <f t="shared" si="270"/>
        <v>148.10096790626591</v>
      </c>
      <c r="W161" s="5">
        <f t="shared" ref="W161:X161" si="271">(U161/$T161)-1</f>
        <v>0.40462068675608687</v>
      </c>
      <c r="X161" s="5">
        <f t="shared" si="271"/>
        <v>1.677214447967267</v>
      </c>
      <c r="AD161" s="38"/>
      <c r="AE161" s="38"/>
      <c r="AF161" s="38"/>
      <c r="AG161" s="38"/>
      <c r="AH161" s="38"/>
      <c r="AI161" s="38"/>
      <c r="AJ161" s="38"/>
      <c r="AK161" s="38"/>
    </row>
    <row r="162" spans="1:37" ht="13">
      <c r="A162" s="60" t="s">
        <v>208</v>
      </c>
      <c r="B162" s="60">
        <v>114</v>
      </c>
      <c r="C162" s="2">
        <v>15</v>
      </c>
      <c r="D162" s="24">
        <v>175</v>
      </c>
      <c r="E162" s="24">
        <v>19950</v>
      </c>
      <c r="F162" s="2">
        <v>4.7</v>
      </c>
      <c r="G162" s="2">
        <v>5.2</v>
      </c>
      <c r="H162" s="53">
        <v>5.7</v>
      </c>
      <c r="I162" s="53">
        <v>6.5</v>
      </c>
      <c r="J162" s="54">
        <v>11.7</v>
      </c>
      <c r="K162" s="54">
        <v>18.2</v>
      </c>
      <c r="L162" s="54">
        <v>32.4</v>
      </c>
      <c r="M162" s="5">
        <f t="shared" ref="M162:N162" si="272">(K162/$J162)-1</f>
        <v>0.55555555555555558</v>
      </c>
      <c r="N162" s="5">
        <f t="shared" si="272"/>
        <v>1.7692307692307692</v>
      </c>
      <c r="O162" s="22">
        <f t="shared" ref="O162:O163" si="273">4*J162/SUM(J$162:J$163)</f>
        <v>1.1277108433734939</v>
      </c>
      <c r="P162" s="22">
        <f t="shared" ref="P162:P163" si="274">8.5*K162/SUM(K$162:K$163)</f>
        <v>2.544407894736842</v>
      </c>
      <c r="Q162" s="22">
        <f t="shared" ref="Q162:Q163" si="275">22.9*L162/SUM(L$162:L$163)</f>
        <v>6.6246428571428568</v>
      </c>
      <c r="R162" s="5">
        <f t="shared" ref="R162:S162" si="276">(P162/$O162)-1</f>
        <v>1.2562591374269005</v>
      </c>
      <c r="S162" s="5">
        <f t="shared" si="276"/>
        <v>4.8744162087912084</v>
      </c>
      <c r="T162" s="22">
        <f t="shared" ref="T162:V162" si="277">SUM(J162,O162)</f>
        <v>12.827710843373493</v>
      </c>
      <c r="U162" s="22">
        <f t="shared" si="277"/>
        <v>20.744407894736842</v>
      </c>
      <c r="V162" s="22">
        <f t="shared" si="277"/>
        <v>39.024642857142858</v>
      </c>
      <c r="W162" s="5">
        <f t="shared" ref="W162:X162" si="278">(U162/$T162)-1</f>
        <v>0.61715587044534415</v>
      </c>
      <c r="X162" s="5">
        <f t="shared" si="278"/>
        <v>2.0422141045767424</v>
      </c>
      <c r="AD162" s="38"/>
      <c r="AE162" s="38"/>
      <c r="AF162" s="38"/>
      <c r="AG162" s="38"/>
      <c r="AH162" s="38"/>
      <c r="AI162" s="38"/>
      <c r="AJ162" s="38"/>
      <c r="AK162" s="38"/>
    </row>
    <row r="163" spans="1:37" ht="13">
      <c r="A163" s="60" t="s">
        <v>209</v>
      </c>
      <c r="B163" s="60">
        <v>755</v>
      </c>
      <c r="C163" s="2">
        <v>20</v>
      </c>
      <c r="D163" s="24">
        <v>119</v>
      </c>
      <c r="E163" s="24">
        <v>89845</v>
      </c>
      <c r="F163" s="2">
        <v>5.3</v>
      </c>
      <c r="G163" s="2">
        <v>5.6</v>
      </c>
      <c r="H163" s="2">
        <v>6.9</v>
      </c>
      <c r="I163" s="2">
        <v>8.1999999999999993</v>
      </c>
      <c r="J163" s="54">
        <v>29.8</v>
      </c>
      <c r="K163" s="54">
        <v>42.6</v>
      </c>
      <c r="L163" s="54">
        <v>79.599999999999994</v>
      </c>
      <c r="M163" s="5">
        <f t="shared" ref="M163:N163" si="279">(K163/$J163)-1</f>
        <v>0.42953020134228193</v>
      </c>
      <c r="N163" s="5">
        <f t="shared" si="279"/>
        <v>1.6711409395973154</v>
      </c>
      <c r="O163" s="22">
        <f t="shared" si="273"/>
        <v>2.8722891566265063</v>
      </c>
      <c r="P163" s="22">
        <f t="shared" si="274"/>
        <v>5.9555921052631584</v>
      </c>
      <c r="Q163" s="22">
        <f t="shared" si="275"/>
        <v>16.275357142857139</v>
      </c>
      <c r="R163" s="5">
        <f t="shared" ref="R163:S163" si="280">(P163/$O163)-1</f>
        <v>1.0734653722182972</v>
      </c>
      <c r="S163" s="5">
        <f t="shared" si="280"/>
        <v>4.6663365891658657</v>
      </c>
      <c r="T163" s="22">
        <f t="shared" ref="T163:V163" si="281">SUM(J163,O163)</f>
        <v>32.672289156626505</v>
      </c>
      <c r="U163" s="22">
        <f t="shared" si="281"/>
        <v>48.555592105263159</v>
      </c>
      <c r="V163" s="22">
        <f t="shared" si="281"/>
        <v>95.875357142857126</v>
      </c>
      <c r="W163" s="5">
        <f t="shared" ref="W163:X163" si="282">(U163/$T163)-1</f>
        <v>0.48613988669401964</v>
      </c>
      <c r="X163" s="5">
        <f t="shared" si="282"/>
        <v>1.934454842856089</v>
      </c>
      <c r="AD163" s="38"/>
      <c r="AE163" s="38"/>
      <c r="AF163" s="38"/>
      <c r="AG163" s="38"/>
      <c r="AH163" s="38"/>
      <c r="AI163" s="38"/>
      <c r="AJ163" s="38"/>
      <c r="AK163" s="38"/>
    </row>
    <row r="166" spans="1:37" ht="13">
      <c r="A166" s="2" t="s">
        <v>210</v>
      </c>
    </row>
    <row r="167" spans="1:37" ht="13">
      <c r="A167" s="1" t="s">
        <v>28</v>
      </c>
      <c r="B167" s="1" t="s">
        <v>181</v>
      </c>
      <c r="C167" s="46" t="s">
        <v>39</v>
      </c>
      <c r="D167" s="47" t="s">
        <v>40</v>
      </c>
      <c r="E167" s="47" t="s">
        <v>41</v>
      </c>
      <c r="F167" s="47" t="s">
        <v>42</v>
      </c>
      <c r="G167" s="46" t="s">
        <v>182</v>
      </c>
      <c r="H167" s="47" t="s">
        <v>211</v>
      </c>
      <c r="I167" s="47" t="s">
        <v>212</v>
      </c>
      <c r="J167" s="47" t="s">
        <v>213</v>
      </c>
      <c r="K167" s="47" t="s">
        <v>214</v>
      </c>
    </row>
    <row r="168" spans="1:37" ht="13">
      <c r="A168" s="2" t="s">
        <v>52</v>
      </c>
      <c r="B168" s="21">
        <f t="shared" ref="B168:C168" ca="1" si="283">B172</f>
        <v>4.7674437299035297</v>
      </c>
      <c r="C168" s="21">
        <f t="shared" ca="1" si="283"/>
        <v>6.5246946751343398</v>
      </c>
      <c r="D168" s="21">
        <f t="shared" ref="D168:D173" ca="1" si="284">(E168-F168)+E168</f>
        <v>8.8829415014681565</v>
      </c>
      <c r="E168" s="21">
        <f ca="1">E172</f>
        <v>8.0968592260235503</v>
      </c>
      <c r="F168" s="21">
        <f t="shared" ref="F168:F173" ca="1" si="285">AVERAGE(C168,E168)</f>
        <v>7.3107769505789451</v>
      </c>
      <c r="G168" s="53" t="s">
        <v>183</v>
      </c>
      <c r="H168" s="2"/>
      <c r="I168" s="2"/>
      <c r="J168" s="2"/>
      <c r="K168" s="2"/>
    </row>
    <row r="169" spans="1:37" ht="13">
      <c r="A169" s="2" t="s">
        <v>54</v>
      </c>
      <c r="B169" s="21">
        <f t="shared" ref="B169:C169" ca="1" si="286">1.3*B168</f>
        <v>6.1976768488745888</v>
      </c>
      <c r="C169" s="21">
        <f t="shared" ca="1" si="286"/>
        <v>8.4821030776746422</v>
      </c>
      <c r="D169" s="21">
        <f t="shared" ca="1" si="284"/>
        <v>11.547823951908605</v>
      </c>
      <c r="E169" s="21">
        <f ca="1">1.3*E168</f>
        <v>10.525916993830617</v>
      </c>
      <c r="F169" s="21">
        <f t="shared" ca="1" si="285"/>
        <v>9.5040100357526285</v>
      </c>
      <c r="G169" s="56" t="s">
        <v>184</v>
      </c>
      <c r="H169" s="2"/>
      <c r="I169" s="2"/>
      <c r="J169" s="2"/>
      <c r="K169" s="2"/>
      <c r="O169" s="4"/>
      <c r="P169" s="4"/>
    </row>
    <row r="170" spans="1:37" ht="13">
      <c r="A170" s="2" t="s">
        <v>56</v>
      </c>
      <c r="B170" s="21">
        <f t="shared" ref="B170:C170" ca="1" si="287">1.57*B168</f>
        <v>7.4848866559485421</v>
      </c>
      <c r="C170" s="21">
        <f t="shared" ca="1" si="287"/>
        <v>10.243770639960914</v>
      </c>
      <c r="D170" s="21">
        <f t="shared" ca="1" si="284"/>
        <v>13.946218157305005</v>
      </c>
      <c r="E170" s="21">
        <f ca="1">1.57*E168</f>
        <v>12.712068984856975</v>
      </c>
      <c r="F170" s="21">
        <f t="shared" ca="1" si="285"/>
        <v>11.477919812408945</v>
      </c>
      <c r="G170" s="56" t="s">
        <v>185</v>
      </c>
      <c r="H170" s="2"/>
      <c r="I170" s="2"/>
      <c r="J170" s="2"/>
      <c r="K170" s="2"/>
    </row>
    <row r="171" spans="1:37" ht="13">
      <c r="A171" s="2" t="s">
        <v>58</v>
      </c>
      <c r="B171" s="21">
        <f ca="1">IFERROR(__xludf.DUMMYFUNCTION("AVERAGE.WEIGHTED(G160:G163,T160:T163)"),4.10319490101835)</f>
        <v>4.1031949010183499</v>
      </c>
      <c r="C171" s="21">
        <f ca="1">IFERROR(__xludf.DUMMYFUNCTION("AVERAGE.WEIGHTED(H160:H163,U160:U163)"),4.98772252637063)</f>
        <v>4.9877225263706304</v>
      </c>
      <c r="D171" s="21">
        <f t="shared" ca="1" si="284"/>
        <v>6.4882866291595551</v>
      </c>
      <c r="E171" s="21">
        <f ca="1">IFERROR(__xludf.DUMMYFUNCTION("AVERAGE.WEIGHTED(I160:I163,V160:V163)"),5.98809859489658)</f>
        <v>5.9880985948965799</v>
      </c>
      <c r="F171" s="21">
        <f t="shared" ca="1" si="285"/>
        <v>5.4879105606336047</v>
      </c>
      <c r="G171" s="53" t="s">
        <v>186</v>
      </c>
      <c r="H171" s="5">
        <f ca="1">IFERROR(__xludf.DUMMYFUNCTION("AVERAGE.WEIGHTED(R160:R163,P160:P163)"),0.822260319911686)</f>
        <v>0.82226031991168602</v>
      </c>
      <c r="I171" s="5">
        <f ca="1">IFERROR(__xludf.DUMMYFUNCTION("AVERAGE.WEIGHTED(S160:S163,Q160:Q163)"),3.84156547619499)</f>
        <v>3.8415654761949898</v>
      </c>
      <c r="J171" s="5">
        <f ca="1">IFERROR(__xludf.DUMMYFUNCTION("AVERAGE.WEIGHTED(M160:M163,K160:K163)"),0.377704554173915)</f>
        <v>0.37770455417391502</v>
      </c>
      <c r="K171" s="5">
        <f ca="1">IFERROR(__xludf.DUMMYFUNCTION("AVERAGE.WEIGHTED(N160:N163,L160:L163)"),1.39287907927258)</f>
        <v>1.39287907927258</v>
      </c>
      <c r="R171" s="5"/>
      <c r="S171" s="5"/>
    </row>
    <row r="172" spans="1:37" ht="13">
      <c r="A172" s="2" t="s">
        <v>60</v>
      </c>
      <c r="B172" s="21">
        <f ca="1">IFERROR(__xludf.DUMMYFUNCTION("AVERAGE.WEIGHTED(G156:G157,T156:T157)"),4.76744372990353)</f>
        <v>4.7674437299035297</v>
      </c>
      <c r="C172" s="21">
        <f ca="1">IFERROR(__xludf.DUMMYFUNCTION("AVERAGE.WEIGHTED(H156:H157,U156:U157)"),6.52469467513434)</f>
        <v>6.5246946751343398</v>
      </c>
      <c r="D172" s="21">
        <f t="shared" ca="1" si="284"/>
        <v>8.8829415014681565</v>
      </c>
      <c r="E172" s="21">
        <f ca="1">IFERROR(__xludf.DUMMYFUNCTION("AVERAGE.WEIGHTED(I156:I157,V156:V157)"),8.09685922602355)</f>
        <v>8.0968592260235503</v>
      </c>
      <c r="F172" s="21">
        <f t="shared" ca="1" si="285"/>
        <v>7.3107769505789451</v>
      </c>
      <c r="G172" s="53" t="s">
        <v>187</v>
      </c>
      <c r="H172" s="5">
        <f ca="1">IFERROR(__xludf.DUMMYFUNCTION("AVERAGE.WEIGHTED(R156:R157,P156:P157)"),0.746035610146197)</f>
        <v>0.74603561014619701</v>
      </c>
      <c r="I172" s="5">
        <f ca="1">IFERROR(__xludf.DUMMYFUNCTION("AVERAGE.WEIGHTED(S156:S157,Q156:Q157)"),3.43696362202388)</f>
        <v>3.4369636220238799</v>
      </c>
      <c r="J172" s="5">
        <f ca="1">IFERROR(__xludf.DUMMYFUNCTION("AVERAGE.WEIGHTED(M156:M157,K156:K157)"),0.518254147367956)</f>
        <v>0.51825414736795605</v>
      </c>
      <c r="K172" s="5">
        <f ca="1">IFERROR(__xludf.DUMMYFUNCTION("AVERAGE.WEIGHTED(N156:N157,L156:L157)"),1.50271877967663)</f>
        <v>1.5027187796766299</v>
      </c>
      <c r="R172" s="5"/>
      <c r="S172" s="5"/>
    </row>
    <row r="173" spans="1:37" ht="13">
      <c r="A173" s="2" t="s">
        <v>62</v>
      </c>
      <c r="B173" s="21">
        <f t="shared" ref="B173:C173" si="288">G155</f>
        <v>2.5</v>
      </c>
      <c r="C173" s="21">
        <f t="shared" si="288"/>
        <v>2.9</v>
      </c>
      <c r="D173" s="21">
        <f t="shared" si="284"/>
        <v>4.1000000000000005</v>
      </c>
      <c r="E173" s="21">
        <f>I155</f>
        <v>3.7</v>
      </c>
      <c r="F173" s="21">
        <f t="shared" si="285"/>
        <v>3.3</v>
      </c>
      <c r="G173" s="53" t="s">
        <v>188</v>
      </c>
      <c r="H173" s="5">
        <f t="shared" ref="H173:I173" si="289">R155</f>
        <v>0.10752688172043001</v>
      </c>
      <c r="I173" s="5">
        <f t="shared" si="289"/>
        <v>0.24731182795698903</v>
      </c>
      <c r="J173" s="5">
        <f t="shared" ref="J173:K173" si="290">M155</f>
        <v>8.6956521739130599E-2</v>
      </c>
      <c r="K173" s="5">
        <f t="shared" si="290"/>
        <v>0.26086956521739135</v>
      </c>
      <c r="R173" s="5"/>
      <c r="S173" s="5"/>
    </row>
    <row r="178" spans="1:26" ht="13">
      <c r="A178" s="61" t="s">
        <v>215</v>
      </c>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3">
      <c r="A179" s="2" t="s">
        <v>216</v>
      </c>
      <c r="C179" s="39" t="s">
        <v>217</v>
      </c>
    </row>
    <row r="180" spans="1:26" ht="28">
      <c r="A180" s="63" t="s">
        <v>218</v>
      </c>
      <c r="B180" s="63" t="s">
        <v>219</v>
      </c>
      <c r="C180" s="63"/>
      <c r="D180" s="63" t="s">
        <v>220</v>
      </c>
      <c r="E180" s="63"/>
      <c r="F180" s="224" t="s">
        <v>221</v>
      </c>
      <c r="G180" s="225"/>
      <c r="H180" s="224" t="s">
        <v>222</v>
      </c>
      <c r="I180" s="225"/>
      <c r="J180" s="226" t="s">
        <v>223</v>
      </c>
      <c r="K180" s="225"/>
      <c r="L180" s="226" t="s">
        <v>224</v>
      </c>
      <c r="M180" s="225"/>
      <c r="N180" s="225"/>
    </row>
    <row r="181" spans="1:26" ht="14">
      <c r="A181" s="64" t="s">
        <v>225</v>
      </c>
      <c r="B181" s="65">
        <v>10</v>
      </c>
      <c r="C181" s="65">
        <v>2000</v>
      </c>
      <c r="D181" s="66">
        <v>10</v>
      </c>
      <c r="E181" s="66">
        <v>30</v>
      </c>
      <c r="F181" s="67">
        <v>2E-3</v>
      </c>
      <c r="G181" s="67">
        <v>0.01</v>
      </c>
      <c r="H181" s="67">
        <v>0.02</v>
      </c>
      <c r="I181" s="67">
        <v>0.15</v>
      </c>
      <c r="J181" s="67">
        <v>0.8</v>
      </c>
      <c r="K181" s="67">
        <v>0.95</v>
      </c>
      <c r="L181" s="68">
        <f t="shared" ref="L181:M181" si="291">H181+(F181+(1-J181))/D181</f>
        <v>4.02E-2</v>
      </c>
      <c r="M181" s="68">
        <f t="shared" si="291"/>
        <v>0.152</v>
      </c>
      <c r="N181" s="68">
        <f t="shared" ref="N181:N183" si="292">AVERAGE(L181:M181)</f>
        <v>9.6099999999999991E-2</v>
      </c>
    </row>
    <row r="182" spans="1:26" ht="28">
      <c r="A182" s="69" t="s">
        <v>226</v>
      </c>
      <c r="B182" s="70">
        <v>0.5</v>
      </c>
      <c r="C182" s="70">
        <v>100</v>
      </c>
      <c r="D182" s="71">
        <v>10</v>
      </c>
      <c r="E182" s="71">
        <v>15</v>
      </c>
      <c r="F182" s="72">
        <v>2E-3</v>
      </c>
      <c r="G182" s="72">
        <v>0.01</v>
      </c>
      <c r="H182" s="72">
        <v>0.01</v>
      </c>
      <c r="I182" s="72">
        <v>0.05</v>
      </c>
      <c r="J182" s="72">
        <v>0.7</v>
      </c>
      <c r="K182" s="72">
        <v>0.8</v>
      </c>
      <c r="L182" s="73">
        <f t="shared" ref="L182:M182" si="293">H182+(F182+(1-J182))/D182</f>
        <v>4.0200000000000007E-2</v>
      </c>
      <c r="M182" s="73">
        <f t="shared" si="293"/>
        <v>6.4000000000000001E-2</v>
      </c>
      <c r="N182" s="73">
        <f t="shared" si="292"/>
        <v>5.2100000000000007E-2</v>
      </c>
    </row>
    <row r="183" spans="1:26" ht="14">
      <c r="A183" s="64" t="s">
        <v>227</v>
      </c>
      <c r="B183" s="74"/>
      <c r="C183" s="74"/>
      <c r="D183" s="66">
        <v>12</v>
      </c>
      <c r="E183" s="66">
        <v>12</v>
      </c>
      <c r="F183" s="67">
        <v>5.0000000000000001E-3</v>
      </c>
      <c r="G183" s="67">
        <v>5.0000000000000001E-3</v>
      </c>
      <c r="H183" s="67">
        <v>0.1</v>
      </c>
      <c r="I183" s="67">
        <v>0.2</v>
      </c>
      <c r="J183" s="67">
        <v>0</v>
      </c>
      <c r="K183" s="67">
        <v>0</v>
      </c>
      <c r="L183" s="68">
        <f t="shared" ref="L183:M183" si="294">H183+(F183+(1-J183))/D183</f>
        <v>0.18375</v>
      </c>
      <c r="M183" s="68">
        <f t="shared" si="294"/>
        <v>0.28375</v>
      </c>
      <c r="N183" s="68">
        <f t="shared" si="292"/>
        <v>0.23375000000000001</v>
      </c>
    </row>
    <row r="185" spans="1:26" ht="13">
      <c r="A185" s="2" t="s">
        <v>228</v>
      </c>
      <c r="B185" s="38"/>
    </row>
    <row r="186" spans="1:26" ht="13">
      <c r="A186" s="47" t="s">
        <v>229</v>
      </c>
      <c r="B186" s="47" t="s">
        <v>32</v>
      </c>
      <c r="C186" s="47" t="s">
        <v>230</v>
      </c>
      <c r="D186" s="47" t="s">
        <v>231</v>
      </c>
      <c r="E186" s="47" t="s">
        <v>232</v>
      </c>
      <c r="F186" s="47" t="s">
        <v>233</v>
      </c>
    </row>
    <row r="187" spans="1:26" ht="13">
      <c r="A187" s="5" t="s">
        <v>225</v>
      </c>
      <c r="B187" s="23">
        <f t="shared" ref="B187:B189" si="295">AVERAGE(D181:E181)</f>
        <v>20</v>
      </c>
      <c r="C187" s="5">
        <f t="shared" ref="C187:C189" si="296">AVERAGE(H181:I181)</f>
        <v>8.4999999999999992E-2</v>
      </c>
      <c r="D187" s="5">
        <f t="shared" ref="D187:D189" si="297">AVERAGE(F181:G181)</f>
        <v>6.0000000000000001E-3</v>
      </c>
      <c r="E187" s="5">
        <f t="shared" ref="E187:E189" si="298">1-AVERAGE(J181:K181)</f>
        <v>0.125</v>
      </c>
      <c r="F187" s="5">
        <f t="shared" ref="F187:F189" si="299">N181</f>
        <v>9.6099999999999991E-2</v>
      </c>
    </row>
    <row r="188" spans="1:26" ht="13">
      <c r="A188" s="2" t="s">
        <v>226</v>
      </c>
      <c r="B188" s="23">
        <f t="shared" si="295"/>
        <v>12.5</v>
      </c>
      <c r="C188" s="5">
        <f t="shared" si="296"/>
        <v>3.0000000000000002E-2</v>
      </c>
      <c r="D188" s="5">
        <f t="shared" si="297"/>
        <v>6.0000000000000001E-3</v>
      </c>
      <c r="E188" s="5">
        <f t="shared" si="298"/>
        <v>0.25</v>
      </c>
      <c r="F188" s="5">
        <f t="shared" si="299"/>
        <v>5.2100000000000007E-2</v>
      </c>
    </row>
    <row r="189" spans="1:26" ht="13">
      <c r="A189" s="5" t="s">
        <v>227</v>
      </c>
      <c r="B189" s="23">
        <f t="shared" si="295"/>
        <v>12</v>
      </c>
      <c r="C189" s="5">
        <f t="shared" si="296"/>
        <v>0.15000000000000002</v>
      </c>
      <c r="D189" s="5">
        <f t="shared" si="297"/>
        <v>5.0000000000000001E-3</v>
      </c>
      <c r="E189" s="5">
        <f t="shared" si="298"/>
        <v>1</v>
      </c>
      <c r="F189" s="5">
        <f t="shared" si="299"/>
        <v>0.23375000000000001</v>
      </c>
    </row>
    <row r="190" spans="1:26" ht="13">
      <c r="D190" s="75"/>
      <c r="E190" s="75"/>
    </row>
    <row r="191" spans="1:26" ht="13">
      <c r="A191" s="2" t="s">
        <v>234</v>
      </c>
      <c r="D191" s="76"/>
      <c r="E191" s="76"/>
      <c r="F191" s="38"/>
      <c r="G191" s="38"/>
      <c r="H191" s="38"/>
    </row>
    <row r="192" spans="1:26" ht="13">
      <c r="A192" s="46" t="s">
        <v>28</v>
      </c>
      <c r="B192" s="46" t="s">
        <v>43</v>
      </c>
      <c r="C192" s="46">
        <v>2030</v>
      </c>
      <c r="D192" s="47" t="s">
        <v>44</v>
      </c>
      <c r="E192" s="47" t="s">
        <v>45</v>
      </c>
      <c r="F192" s="47" t="s">
        <v>46</v>
      </c>
      <c r="G192" s="38"/>
      <c r="H192" s="38"/>
    </row>
    <row r="193" spans="1:14" ht="13">
      <c r="A193" s="2" t="s">
        <v>52</v>
      </c>
      <c r="B193" s="5">
        <f>N182</f>
        <v>5.2100000000000007E-2</v>
      </c>
      <c r="C193" s="5">
        <f>L182</f>
        <v>4.0200000000000007E-2</v>
      </c>
      <c r="D193" s="5">
        <f t="shared" ref="D193:D198" si="300">0.25*B193</f>
        <v>1.3025000000000002E-2</v>
      </c>
      <c r="E193" s="5">
        <f t="shared" ref="E193:E198" si="301">0.5*C193</f>
        <v>2.0100000000000003E-2</v>
      </c>
      <c r="F193" s="5">
        <f t="shared" ref="F193:F198" si="302">B193</f>
        <v>5.2100000000000007E-2</v>
      </c>
      <c r="H193" s="38"/>
    </row>
    <row r="194" spans="1:14" ht="13">
      <c r="A194" s="2" t="s">
        <v>54</v>
      </c>
      <c r="B194" s="5">
        <f>N182</f>
        <v>5.2100000000000007E-2</v>
      </c>
      <c r="C194" s="5">
        <f>L182</f>
        <v>4.0200000000000007E-2</v>
      </c>
      <c r="D194" s="5">
        <f t="shared" si="300"/>
        <v>1.3025000000000002E-2</v>
      </c>
      <c r="E194" s="5">
        <f t="shared" si="301"/>
        <v>2.0100000000000003E-2</v>
      </c>
      <c r="F194" s="5">
        <f t="shared" si="302"/>
        <v>5.2100000000000007E-2</v>
      </c>
    </row>
    <row r="195" spans="1:14" ht="13">
      <c r="A195" s="2" t="s">
        <v>56</v>
      </c>
      <c r="B195" s="5">
        <f>N182</f>
        <v>5.2100000000000007E-2</v>
      </c>
      <c r="C195" s="5">
        <f>L182</f>
        <v>4.0200000000000007E-2</v>
      </c>
      <c r="D195" s="5">
        <f t="shared" si="300"/>
        <v>1.3025000000000002E-2</v>
      </c>
      <c r="E195" s="5">
        <f t="shared" si="301"/>
        <v>2.0100000000000003E-2</v>
      </c>
      <c r="F195" s="5">
        <f t="shared" si="302"/>
        <v>5.2100000000000007E-2</v>
      </c>
      <c r="I195" s="5"/>
      <c r="J195" s="34"/>
      <c r="K195" s="5"/>
      <c r="L195" s="34"/>
      <c r="M195" s="5"/>
      <c r="N195" s="34"/>
    </row>
    <row r="196" spans="1:14" ht="13">
      <c r="A196" s="2" t="s">
        <v>58</v>
      </c>
      <c r="B196" s="5">
        <f t="shared" ref="B196:B198" si="303">N181</f>
        <v>9.6099999999999991E-2</v>
      </c>
      <c r="C196" s="5">
        <f t="shared" ref="C196:C198" si="304">L181</f>
        <v>4.02E-2</v>
      </c>
      <c r="D196" s="5">
        <f t="shared" si="300"/>
        <v>2.4024999999999998E-2</v>
      </c>
      <c r="E196" s="5">
        <f t="shared" si="301"/>
        <v>2.01E-2</v>
      </c>
      <c r="F196" s="5">
        <f t="shared" si="302"/>
        <v>9.6099999999999991E-2</v>
      </c>
      <c r="I196" s="5"/>
      <c r="J196" s="34"/>
      <c r="K196" s="5"/>
      <c r="L196" s="34"/>
      <c r="M196" s="5"/>
      <c r="N196" s="34"/>
    </row>
    <row r="197" spans="1:14" ht="13">
      <c r="A197" s="2" t="s">
        <v>60</v>
      </c>
      <c r="B197" s="5">
        <f t="shared" si="303"/>
        <v>5.2100000000000007E-2</v>
      </c>
      <c r="C197" s="5">
        <f t="shared" si="304"/>
        <v>4.0200000000000007E-2</v>
      </c>
      <c r="D197" s="5">
        <f t="shared" si="300"/>
        <v>1.3025000000000002E-2</v>
      </c>
      <c r="E197" s="5">
        <f t="shared" si="301"/>
        <v>2.0100000000000003E-2</v>
      </c>
      <c r="F197" s="5">
        <f t="shared" si="302"/>
        <v>5.2100000000000007E-2</v>
      </c>
      <c r="I197" s="5"/>
      <c r="J197" s="34"/>
      <c r="K197" s="5"/>
      <c r="L197" s="34"/>
      <c r="M197" s="5"/>
      <c r="N197" s="34"/>
    </row>
    <row r="198" spans="1:14" ht="13">
      <c r="A198" s="2" t="s">
        <v>62</v>
      </c>
      <c r="B198" s="5">
        <f t="shared" si="303"/>
        <v>0.23375000000000001</v>
      </c>
      <c r="C198" s="5">
        <f t="shared" si="304"/>
        <v>0.18375</v>
      </c>
      <c r="D198" s="5">
        <f t="shared" si="300"/>
        <v>5.8437500000000003E-2</v>
      </c>
      <c r="E198" s="5">
        <f t="shared" si="301"/>
        <v>9.1874999999999998E-2</v>
      </c>
      <c r="F198" s="5">
        <f t="shared" si="302"/>
        <v>0.23375000000000001</v>
      </c>
    </row>
    <row r="199" spans="1:14" ht="13">
      <c r="F199" s="38"/>
    </row>
    <row r="200" spans="1:14" ht="13">
      <c r="A200" s="2" t="s">
        <v>235</v>
      </c>
      <c r="C200" s="2"/>
      <c r="D200" s="2" t="s">
        <v>236</v>
      </c>
      <c r="F200" s="38"/>
    </row>
    <row r="201" spans="1:14" ht="13">
      <c r="A201" s="39" t="s">
        <v>237</v>
      </c>
      <c r="D201" s="47" t="s">
        <v>166</v>
      </c>
      <c r="E201" s="77" t="s">
        <v>238</v>
      </c>
      <c r="F201" s="77" t="s">
        <v>239</v>
      </c>
    </row>
    <row r="202" spans="1:14" ht="13">
      <c r="A202" s="46" t="s">
        <v>238</v>
      </c>
      <c r="B202" s="46" t="s">
        <v>240</v>
      </c>
      <c r="D202" s="2" t="s">
        <v>43</v>
      </c>
      <c r="E202" s="2" t="s">
        <v>241</v>
      </c>
      <c r="F202" s="6">
        <f t="shared" ref="F202:F203" si="305">B203</f>
        <v>1603</v>
      </c>
    </row>
    <row r="203" spans="1:14" ht="13">
      <c r="A203" s="2" t="s">
        <v>241</v>
      </c>
      <c r="B203" s="6">
        <v>1603</v>
      </c>
      <c r="D203" s="36">
        <v>2030</v>
      </c>
      <c r="E203" s="2" t="s">
        <v>242</v>
      </c>
      <c r="F203" s="6">
        <f t="shared" si="305"/>
        <v>809</v>
      </c>
    </row>
    <row r="204" spans="1:14" ht="13">
      <c r="A204" s="2" t="s">
        <v>242</v>
      </c>
      <c r="B204" s="6">
        <v>809</v>
      </c>
      <c r="D204" s="2" t="s">
        <v>44</v>
      </c>
      <c r="E204" s="2" t="s">
        <v>243</v>
      </c>
      <c r="F204" s="6">
        <f>B207</f>
        <v>0</v>
      </c>
    </row>
    <row r="205" spans="1:14" ht="13">
      <c r="A205" s="2" t="s">
        <v>244</v>
      </c>
      <c r="B205" s="6">
        <v>1</v>
      </c>
      <c r="D205" s="2" t="s">
        <v>45</v>
      </c>
      <c r="E205" s="2" t="s">
        <v>245</v>
      </c>
      <c r="F205" s="6">
        <f>B205</f>
        <v>1</v>
      </c>
    </row>
    <row r="206" spans="1:14" ht="13">
      <c r="A206" s="2" t="s">
        <v>246</v>
      </c>
      <c r="B206" s="6">
        <v>1</v>
      </c>
      <c r="D206" s="2" t="s">
        <v>46</v>
      </c>
      <c r="E206" s="2" t="s">
        <v>242</v>
      </c>
      <c r="F206" s="6">
        <f>B204</f>
        <v>809</v>
      </c>
    </row>
    <row r="207" spans="1:14" ht="13">
      <c r="A207" s="2" t="s">
        <v>247</v>
      </c>
      <c r="B207" s="6">
        <v>0</v>
      </c>
    </row>
    <row r="208" spans="1:14" ht="13">
      <c r="A208" s="2" t="s">
        <v>248</v>
      </c>
      <c r="B208" s="6">
        <v>0</v>
      </c>
      <c r="D208" s="2"/>
      <c r="E208" s="5">
        <f>Q201</f>
        <v>0</v>
      </c>
      <c r="F208" s="38">
        <f>O201</f>
        <v>0</v>
      </c>
    </row>
    <row r="209" spans="1:2" ht="13">
      <c r="A209" s="2" t="s">
        <v>249</v>
      </c>
      <c r="B209" s="6">
        <v>0</v>
      </c>
    </row>
    <row r="215" spans="1:2" ht="16">
      <c r="A215" s="78"/>
    </row>
    <row r="216" spans="1:2" ht="16">
      <c r="A216" s="78"/>
    </row>
    <row r="217" spans="1:2" ht="16">
      <c r="A217" s="78"/>
    </row>
    <row r="218" spans="1:2" ht="16">
      <c r="A218" s="78"/>
    </row>
  </sheetData>
  <mergeCells count="4">
    <mergeCell ref="F180:G180"/>
    <mergeCell ref="H180:I180"/>
    <mergeCell ref="J180:K180"/>
    <mergeCell ref="L180:N180"/>
  </mergeCells>
  <hyperlinks>
    <hyperlink ref="B5" r:id="rId1" xr:uid="{00000000-0004-0000-0100-000000000000}"/>
    <hyperlink ref="B6" r:id="rId2" location="Product-costs" xr:uid="{00000000-0004-0000-0100-000001000000}"/>
    <hyperlink ref="B7" r:id="rId3" xr:uid="{00000000-0004-0000-0100-000002000000}"/>
    <hyperlink ref="B8" r:id="rId4" xr:uid="{00000000-0004-0000-0100-000003000000}"/>
    <hyperlink ref="B9" r:id="rId5" xr:uid="{00000000-0004-0000-0100-000004000000}"/>
    <hyperlink ref="B10" r:id="rId6" xr:uid="{00000000-0004-0000-0100-000005000000}"/>
    <hyperlink ref="AA15" r:id="rId7" xr:uid="{00000000-0004-0000-0100-000006000000}"/>
    <hyperlink ref="AA16" r:id="rId8" location="Product-costs" xr:uid="{00000000-0004-0000-0100-000007000000}"/>
    <hyperlink ref="AA17" r:id="rId9" xr:uid="{00000000-0004-0000-0100-000008000000}"/>
    <hyperlink ref="AA18" r:id="rId10" xr:uid="{00000000-0004-0000-0100-000009000000}"/>
    <hyperlink ref="AA19" r:id="rId11" xr:uid="{00000000-0004-0000-0100-00000A000000}"/>
    <hyperlink ref="AA20" r:id="rId12" xr:uid="{00000000-0004-0000-0100-00000B000000}"/>
    <hyperlink ref="N35" r:id="rId13" xr:uid="{00000000-0004-0000-0100-00000C000000}"/>
    <hyperlink ref="N36" r:id="rId14" xr:uid="{00000000-0004-0000-0100-00000D000000}"/>
    <hyperlink ref="N37" r:id="rId15" xr:uid="{00000000-0004-0000-0100-00000E000000}"/>
    <hyperlink ref="N38" r:id="rId16" xr:uid="{00000000-0004-0000-0100-00000F000000}"/>
    <hyperlink ref="N39" r:id="rId17" xr:uid="{00000000-0004-0000-0100-000010000000}"/>
    <hyperlink ref="N40" r:id="rId18" xr:uid="{00000000-0004-0000-0100-000011000000}"/>
    <hyperlink ref="N41" r:id="rId19" xr:uid="{00000000-0004-0000-0100-000012000000}"/>
    <hyperlink ref="N42" r:id="rId20" xr:uid="{00000000-0004-0000-0100-000013000000}"/>
    <hyperlink ref="K91" r:id="rId21" xr:uid="{00000000-0004-0000-0100-000014000000}"/>
    <hyperlink ref="B105" r:id="rId22" location="/CBS/nl/dataset/81955NED/table?fromstatweb" xr:uid="{00000000-0004-0000-0100-000015000000}"/>
    <hyperlink ref="C105" r:id="rId23" location="/CBS/nl/dataset/82380NED/table" xr:uid="{00000000-0004-0000-0100-000016000000}"/>
    <hyperlink ref="B106" r:id="rId24" location="/CBS/nl/dataset/81955NED/table?fromstatweb" xr:uid="{00000000-0004-0000-0100-000017000000}"/>
    <hyperlink ref="C106" r:id="rId25" location="/CBS/nl/dataset/82380NED/table" xr:uid="{00000000-0004-0000-0100-000018000000}"/>
    <hyperlink ref="C111" r:id="rId26" location="/CBS/nl/dataset/82380NED/table" xr:uid="{00000000-0004-0000-0100-000019000000}"/>
    <hyperlink ref="D111" r:id="rId27" location="/CBS/nl/dataset/82380NED/table" xr:uid="{00000000-0004-0000-0100-00001A000000}"/>
    <hyperlink ref="C112" r:id="rId28" location="/CBS/nl/dataset/82380NED/table" xr:uid="{00000000-0004-0000-0100-00001B000000}"/>
    <hyperlink ref="D112" r:id="rId29" location="/CBS/nl/dataset/82380NED/table" xr:uid="{00000000-0004-0000-0100-00001C000000}"/>
    <hyperlink ref="B125" r:id="rId30" xr:uid="{00000000-0004-0000-0100-00001D000000}"/>
    <hyperlink ref="C125" r:id="rId31" xr:uid="{00000000-0004-0000-0100-00001E000000}"/>
    <hyperlink ref="D125" r:id="rId32" xr:uid="{00000000-0004-0000-0100-00001F000000}"/>
    <hyperlink ref="E125" r:id="rId33" xr:uid="{00000000-0004-0000-0100-000020000000}"/>
    <hyperlink ref="I125" r:id="rId34" xr:uid="{00000000-0004-0000-0100-000021000000}"/>
    <hyperlink ref="B126" r:id="rId35" xr:uid="{00000000-0004-0000-0100-000022000000}"/>
    <hyperlink ref="C126" r:id="rId36" xr:uid="{00000000-0004-0000-0100-000023000000}"/>
    <hyperlink ref="D126" r:id="rId37" xr:uid="{00000000-0004-0000-0100-000024000000}"/>
    <hyperlink ref="E126" r:id="rId38" xr:uid="{00000000-0004-0000-0100-000025000000}"/>
    <hyperlink ref="B134" r:id="rId39" xr:uid="{00000000-0004-0000-0100-000026000000}"/>
    <hyperlink ref="E153" r:id="rId40" location="page=51" xr:uid="{00000000-0004-0000-0100-000027000000}"/>
    <hyperlink ref="C179" r:id="rId41" xr:uid="{00000000-0004-0000-0100-000028000000}"/>
    <hyperlink ref="A201" r:id="rId42" xr:uid="{00000000-0004-0000-0100-000029000000}"/>
  </hyperlinks>
  <pageMargins left="0.7" right="0.7" top="0.75" bottom="0.75" header="0.3" footer="0.3"/>
  <drawing r:id="rId43"/>
  <tableParts count="38">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903"/>
  <sheetViews>
    <sheetView workbookViewId="0">
      <selection activeCell="D38" sqref="D38"/>
    </sheetView>
  </sheetViews>
  <sheetFormatPr baseColWidth="10" defaultColWidth="12.6640625" defaultRowHeight="15.75" customHeight="1"/>
  <cols>
    <col min="2" max="2" width="34.5" customWidth="1"/>
    <col min="3" max="3" width="22.6640625" customWidth="1"/>
    <col min="5" max="5" width="18.1640625" customWidth="1"/>
    <col min="7" max="7" width="36.5" customWidth="1"/>
    <col min="14" max="14" width="15.5" customWidth="1"/>
    <col min="33" max="33" width="12.6640625" customWidth="1"/>
  </cols>
  <sheetData>
    <row r="1" spans="1:34" ht="15.75" customHeight="1">
      <c r="A1" s="79"/>
      <c r="B1" s="79"/>
      <c r="C1" s="79"/>
      <c r="D1" s="79"/>
      <c r="E1" s="79"/>
      <c r="F1" s="79"/>
      <c r="G1" s="79"/>
      <c r="H1" s="79"/>
      <c r="I1" s="79"/>
      <c r="J1" s="79"/>
      <c r="K1" s="79"/>
      <c r="L1" s="79"/>
      <c r="M1" s="79"/>
      <c r="N1" s="79"/>
      <c r="O1" s="80"/>
      <c r="P1" s="79"/>
      <c r="Q1" s="79"/>
      <c r="R1" s="79"/>
      <c r="S1" s="79"/>
      <c r="T1" s="79"/>
      <c r="U1" s="79"/>
      <c r="V1" s="79"/>
      <c r="W1" s="79"/>
      <c r="X1" s="79"/>
      <c r="Y1" s="79"/>
    </row>
    <row r="2" spans="1:34" ht="16">
      <c r="A2" s="2" t="s">
        <v>250</v>
      </c>
      <c r="B2" s="81"/>
      <c r="D2" s="81"/>
      <c r="F2" s="81"/>
      <c r="I2" s="79"/>
      <c r="J2" s="82" t="s">
        <v>14</v>
      </c>
      <c r="K2" s="79"/>
      <c r="P2" s="82" t="s">
        <v>251</v>
      </c>
      <c r="Q2" s="79"/>
      <c r="R2" s="83" t="s">
        <v>252</v>
      </c>
      <c r="T2" s="79"/>
      <c r="U2" s="2" t="s">
        <v>67</v>
      </c>
      <c r="X2" s="79"/>
      <c r="Y2" s="79" t="s">
        <v>253</v>
      </c>
      <c r="AF2" s="2"/>
    </row>
    <row r="3" spans="1:34" ht="15.75" customHeight="1">
      <c r="A3" s="1" t="s">
        <v>254</v>
      </c>
      <c r="B3" s="84" t="s">
        <v>255</v>
      </c>
      <c r="C3" s="1" t="s">
        <v>256</v>
      </c>
      <c r="D3" s="84" t="s">
        <v>257</v>
      </c>
      <c r="E3" s="1" t="s">
        <v>258</v>
      </c>
      <c r="F3" s="84" t="s">
        <v>259</v>
      </c>
      <c r="G3" s="1" t="s">
        <v>260</v>
      </c>
      <c r="H3" s="1" t="s">
        <v>261</v>
      </c>
      <c r="I3" s="85" t="s">
        <v>31</v>
      </c>
      <c r="J3" s="86" t="s">
        <v>262</v>
      </c>
      <c r="K3" s="86" t="s">
        <v>263</v>
      </c>
      <c r="L3" s="86" t="s">
        <v>264</v>
      </c>
      <c r="M3" s="86" t="s">
        <v>265</v>
      </c>
      <c r="N3" s="86" t="s">
        <v>266</v>
      </c>
      <c r="O3" s="86" t="s">
        <v>267</v>
      </c>
      <c r="P3" s="87" t="s">
        <v>268</v>
      </c>
      <c r="Q3" s="87" t="s">
        <v>269</v>
      </c>
      <c r="R3" s="88" t="s">
        <v>270</v>
      </c>
      <c r="S3" s="88" t="s">
        <v>271</v>
      </c>
      <c r="T3" s="79"/>
      <c r="U3" s="84" t="s">
        <v>272</v>
      </c>
      <c r="V3" s="1" t="s">
        <v>273</v>
      </c>
      <c r="X3" s="79"/>
      <c r="Y3" s="1" t="s">
        <v>274</v>
      </c>
      <c r="Z3" s="1" t="s">
        <v>275</v>
      </c>
      <c r="AA3" s="1" t="s">
        <v>276</v>
      </c>
      <c r="AB3" s="88" t="s">
        <v>277</v>
      </c>
      <c r="AC3" s="89" t="s">
        <v>267</v>
      </c>
      <c r="AD3" s="1" t="s">
        <v>278</v>
      </c>
      <c r="AE3" s="88" t="s">
        <v>279</v>
      </c>
      <c r="AF3" s="2"/>
    </row>
    <row r="4" spans="1:34" ht="15.75" customHeight="1">
      <c r="A4" s="2">
        <v>1</v>
      </c>
      <c r="B4" s="81" t="s">
        <v>280</v>
      </c>
      <c r="C4" s="2" t="s">
        <v>281</v>
      </c>
      <c r="D4" s="81" t="s">
        <v>282</v>
      </c>
      <c r="E4" s="2" t="s">
        <v>283</v>
      </c>
      <c r="F4" s="81" t="s">
        <v>284</v>
      </c>
      <c r="G4" s="2" t="s">
        <v>285</v>
      </c>
      <c r="H4" s="2" t="s">
        <v>286</v>
      </c>
      <c r="I4" s="6">
        <f>E38</f>
        <v>1410.37</v>
      </c>
      <c r="J4" s="90">
        <f>B90</f>
        <v>5605.267633359701</v>
      </c>
      <c r="K4" s="91">
        <f t="shared" ref="K4:K7" si="0">J4/$I4</f>
        <v>3.9743242080870278</v>
      </c>
      <c r="L4" s="90">
        <f>B91</f>
        <v>538.90998757204648</v>
      </c>
      <c r="M4" s="91">
        <f t="shared" ref="M4:M7" si="1">L4/$I4</f>
        <v>0.38210539615281558</v>
      </c>
      <c r="N4" s="90">
        <f t="shared" ref="N4:N7" si="2">SUM(L4,J4)</f>
        <v>6144.1776209317477</v>
      </c>
      <c r="O4" s="91">
        <f t="shared" ref="O4:O7" si="3">N4/$I4</f>
        <v>4.3564296042398434</v>
      </c>
      <c r="P4" s="80">
        <v>0.29370000000000002</v>
      </c>
      <c r="Q4" s="92">
        <f t="shared" ref="Q4:Q7" si="4">P4/$I4</f>
        <v>2.0824322695462896E-4</v>
      </c>
      <c r="R4" s="90">
        <v>1906500</v>
      </c>
      <c r="S4" s="90">
        <f t="shared" ref="S4:S7" si="5">R4/$I4</f>
        <v>1351.772939016003</v>
      </c>
      <c r="T4" s="79"/>
      <c r="U4" s="6">
        <v>1</v>
      </c>
      <c r="V4" s="2" t="str">
        <f ca="1">IFERROR(__xludf.DUMMYFUNCTION("trim(index(split(C4, ""|""), , 1))"),"market for ventilation system production, central, 1 x 720 m3/h, polyethylene ducts, with earth tube heat exchanger")</f>
        <v>market for ventilation system production, central, 1 x 720 m3/h, polyethylene ducts, with earth tube heat exchanger</v>
      </c>
      <c r="X4" s="79"/>
      <c r="Y4" s="81" t="s">
        <v>287</v>
      </c>
      <c r="Z4" s="6">
        <f t="shared" ref="Z4:Z7" si="6">I4</f>
        <v>1410.37</v>
      </c>
      <c r="AA4" s="25">
        <f t="shared" ref="AA4:AA7" si="7">K4</f>
        <v>3.9743242080870278</v>
      </c>
      <c r="AB4" s="25">
        <f t="shared" ref="AB4:AB7" si="8">M4</f>
        <v>0.38210539615281558</v>
      </c>
      <c r="AC4" s="25">
        <f t="shared" ref="AC4:AC7" si="9">SUM(AA4:AB4)</f>
        <v>4.3564296042398434</v>
      </c>
      <c r="AD4" s="81">
        <f t="shared" ref="AD4:AD7" si="10">Q4</f>
        <v>2.0824322695462896E-4</v>
      </c>
      <c r="AE4" s="6">
        <f t="shared" ref="AE4:AE7" si="11">S4</f>
        <v>1351.772939016003</v>
      </c>
      <c r="AF4" s="81"/>
    </row>
    <row r="5" spans="1:34" ht="15.75" customHeight="1">
      <c r="A5" s="2">
        <v>2</v>
      </c>
      <c r="B5" s="81" t="s">
        <v>288</v>
      </c>
      <c r="C5" s="2" t="s">
        <v>289</v>
      </c>
      <c r="D5" s="81" t="s">
        <v>290</v>
      </c>
      <c r="E5" s="33" t="s">
        <v>291</v>
      </c>
      <c r="F5" s="81" t="s">
        <v>284</v>
      </c>
      <c r="G5" s="2" t="s">
        <v>285</v>
      </c>
      <c r="H5" s="2" t="s">
        <v>292</v>
      </c>
      <c r="I5" s="6">
        <f>K40</f>
        <v>2300.4799999999996</v>
      </c>
      <c r="J5" s="90">
        <f>H90</f>
        <v>9478.6287678035824</v>
      </c>
      <c r="K5" s="91">
        <f t="shared" si="0"/>
        <v>4.1202830573635003</v>
      </c>
      <c r="L5" s="90">
        <f>H91</f>
        <v>437.01706668960509</v>
      </c>
      <c r="M5" s="91">
        <f t="shared" si="1"/>
        <v>0.18996777485116376</v>
      </c>
      <c r="N5" s="90">
        <f t="shared" si="2"/>
        <v>9915.6458344931871</v>
      </c>
      <c r="O5" s="91">
        <f t="shared" si="3"/>
        <v>4.3102508322146633</v>
      </c>
      <c r="P5" s="80">
        <v>0.716610705825242</v>
      </c>
      <c r="Q5" s="92">
        <f t="shared" si="4"/>
        <v>3.1150486238752006E-4</v>
      </c>
      <c r="R5" s="90">
        <v>4350603.5760239</v>
      </c>
      <c r="S5" s="90">
        <f t="shared" si="5"/>
        <v>1891.1720927910267</v>
      </c>
      <c r="T5" s="79"/>
      <c r="U5" s="6">
        <v>2</v>
      </c>
      <c r="V5" s="2" t="str">
        <f ca="1">IFERROR(__xludf.DUMMYFUNCTION("trim(index(split(C5, ""|""), , 1))"),"market for ventilation system production, central, 1 x 720 m3/h, steel ducts, with earth tube heat exchanger")</f>
        <v>market for ventilation system production, central, 1 x 720 m3/h, steel ducts, with earth tube heat exchanger</v>
      </c>
      <c r="X5" s="79"/>
      <c r="Y5" s="81" t="s">
        <v>293</v>
      </c>
      <c r="Z5" s="6">
        <f t="shared" si="6"/>
        <v>2300.4799999999996</v>
      </c>
      <c r="AA5" s="25">
        <f t="shared" si="7"/>
        <v>4.1202830573635003</v>
      </c>
      <c r="AB5" s="25">
        <f t="shared" si="8"/>
        <v>0.18996777485116376</v>
      </c>
      <c r="AC5" s="25">
        <f t="shared" si="9"/>
        <v>4.3102508322146642</v>
      </c>
      <c r="AD5" s="81">
        <f t="shared" si="10"/>
        <v>3.1150486238752006E-4</v>
      </c>
      <c r="AE5" s="6">
        <f t="shared" si="11"/>
        <v>1891.1720927910267</v>
      </c>
      <c r="AF5" s="81"/>
    </row>
    <row r="6" spans="1:34" ht="15.75" customHeight="1">
      <c r="A6" s="2">
        <v>3</v>
      </c>
      <c r="B6" s="81" t="s">
        <v>294</v>
      </c>
      <c r="C6" s="2" t="s">
        <v>295</v>
      </c>
      <c r="D6" s="81" t="s">
        <v>296</v>
      </c>
      <c r="E6" s="33" t="s">
        <v>297</v>
      </c>
      <c r="F6" s="81" t="s">
        <v>284</v>
      </c>
      <c r="G6" s="2" t="s">
        <v>285</v>
      </c>
      <c r="H6" s="2" t="s">
        <v>298</v>
      </c>
      <c r="I6" s="6">
        <f>Q37</f>
        <v>1632.29</v>
      </c>
      <c r="J6" s="90">
        <f>N90</f>
        <v>6907.0857168069533</v>
      </c>
      <c r="K6" s="91">
        <f t="shared" si="0"/>
        <v>4.231530988247771</v>
      </c>
      <c r="L6" s="90">
        <f>N91</f>
        <v>642.47158869226303</v>
      </c>
      <c r="M6" s="91">
        <f t="shared" si="1"/>
        <v>0.39360137517981675</v>
      </c>
      <c r="N6" s="90">
        <f t="shared" si="2"/>
        <v>7549.5573054992165</v>
      </c>
      <c r="O6" s="91">
        <f t="shared" si="3"/>
        <v>4.6251323634275874</v>
      </c>
      <c r="P6" s="80">
        <v>0.36712645780725001</v>
      </c>
      <c r="Q6" s="92">
        <f t="shared" si="4"/>
        <v>2.2491497087358866E-4</v>
      </c>
      <c r="R6" s="90">
        <v>2266253.41709091</v>
      </c>
      <c r="S6" s="90">
        <f t="shared" si="5"/>
        <v>1388.3889609633766</v>
      </c>
      <c r="T6" s="79"/>
      <c r="U6" s="6">
        <v>3</v>
      </c>
      <c r="V6" s="2" t="str">
        <f ca="1">IFERROR(__xludf.DUMMYFUNCTION("trim(index(split(C6, ""|""), , 1))"),"market for ventilation system production, decentralized, 6 x 120 m3/h, polyethylene ducts, with earth tube heat exchanger")</f>
        <v>market for ventilation system production, decentralized, 6 x 120 m3/h, polyethylene ducts, with earth tube heat exchanger</v>
      </c>
      <c r="X6" s="79"/>
      <c r="Y6" s="81" t="s">
        <v>299</v>
      </c>
      <c r="Z6" s="6">
        <f t="shared" si="6"/>
        <v>1632.29</v>
      </c>
      <c r="AA6" s="25">
        <f t="shared" si="7"/>
        <v>4.231530988247771</v>
      </c>
      <c r="AB6" s="25">
        <f t="shared" si="8"/>
        <v>0.39360137517981675</v>
      </c>
      <c r="AC6" s="25">
        <f t="shared" si="9"/>
        <v>4.6251323634275874</v>
      </c>
      <c r="AD6" s="81">
        <f t="shared" si="10"/>
        <v>2.2491497087358866E-4</v>
      </c>
      <c r="AE6" s="6">
        <f t="shared" si="11"/>
        <v>1388.3889609633766</v>
      </c>
      <c r="AF6" s="81"/>
    </row>
    <row r="7" spans="1:34" ht="15.75" customHeight="1">
      <c r="A7" s="2">
        <v>4</v>
      </c>
      <c r="B7" s="81" t="s">
        <v>300</v>
      </c>
      <c r="C7" s="2" t="s">
        <v>301</v>
      </c>
      <c r="D7" s="81" t="s">
        <v>302</v>
      </c>
      <c r="E7" s="33" t="s">
        <v>303</v>
      </c>
      <c r="F7" s="81" t="s">
        <v>284</v>
      </c>
      <c r="G7" s="2" t="s">
        <v>285</v>
      </c>
      <c r="H7" s="2" t="s">
        <v>304</v>
      </c>
      <c r="I7" s="6">
        <f>W39</f>
        <v>2522.3999999999996</v>
      </c>
      <c r="J7" s="90">
        <f>T90</f>
        <v>10782.338529827719</v>
      </c>
      <c r="K7" s="91">
        <f t="shared" si="0"/>
        <v>4.2746346851521251</v>
      </c>
      <c r="L7" s="90">
        <f>T91</f>
        <v>540.72416639289497</v>
      </c>
      <c r="M7" s="91">
        <f t="shared" si="1"/>
        <v>0.21436892102477603</v>
      </c>
      <c r="N7" s="90">
        <f t="shared" si="2"/>
        <v>11323.062696220613</v>
      </c>
      <c r="O7" s="91">
        <f t="shared" si="3"/>
        <v>4.489003606176901</v>
      </c>
      <c r="P7" s="80">
        <v>0.79005950730450003</v>
      </c>
      <c r="Q7" s="92">
        <f t="shared" si="4"/>
        <v>3.1321737523965279E-4</v>
      </c>
      <c r="R7" s="90">
        <v>4710822.8617602</v>
      </c>
      <c r="S7" s="90">
        <f t="shared" si="5"/>
        <v>1867.5954891215513</v>
      </c>
      <c r="T7" s="79"/>
      <c r="U7" s="6">
        <v>4</v>
      </c>
      <c r="V7" s="2" t="str">
        <f ca="1">IFERROR(__xludf.DUMMYFUNCTION("trim(index(split(C7, ""|""), , 1))"),"market for ventilation system production, decentralized, 6 x 120 m3/h, steel ducts, with earth tube heat exchanger")</f>
        <v>market for ventilation system production, decentralized, 6 x 120 m3/h, steel ducts, with earth tube heat exchanger</v>
      </c>
      <c r="X7" s="79"/>
      <c r="Y7" s="81" t="s">
        <v>305</v>
      </c>
      <c r="Z7" s="6">
        <f t="shared" si="6"/>
        <v>2522.3999999999996</v>
      </c>
      <c r="AA7" s="25">
        <f t="shared" si="7"/>
        <v>4.2746346851521251</v>
      </c>
      <c r="AB7" s="25">
        <f t="shared" si="8"/>
        <v>0.21436892102477603</v>
      </c>
      <c r="AC7" s="25">
        <f t="shared" si="9"/>
        <v>4.489003606176901</v>
      </c>
      <c r="AD7" s="81">
        <f t="shared" si="10"/>
        <v>3.1321737523965279E-4</v>
      </c>
      <c r="AE7" s="6">
        <f t="shared" si="11"/>
        <v>1867.5954891215513</v>
      </c>
      <c r="AF7" s="81"/>
    </row>
    <row r="8" spans="1:34" ht="15.75" customHeight="1">
      <c r="A8" s="4" t="s">
        <v>306</v>
      </c>
      <c r="B8" s="93" t="s">
        <v>306</v>
      </c>
      <c r="C8" s="93"/>
      <c r="D8" s="93"/>
      <c r="E8" s="93"/>
      <c r="F8" s="93"/>
      <c r="G8" s="93"/>
      <c r="H8" s="93"/>
      <c r="I8" s="94">
        <f t="shared" ref="I8:S8" si="12">AVERAGE(I4:I7)</f>
        <v>1966.3849999999998</v>
      </c>
      <c r="J8" s="94">
        <f t="shared" si="12"/>
        <v>8193.3301619494887</v>
      </c>
      <c r="K8" s="95">
        <f t="shared" si="12"/>
        <v>4.1501932347126056</v>
      </c>
      <c r="L8" s="94">
        <f t="shared" si="12"/>
        <v>539.78070233670235</v>
      </c>
      <c r="M8" s="95">
        <f t="shared" si="12"/>
        <v>0.29501086680214306</v>
      </c>
      <c r="N8" s="94">
        <f t="shared" si="12"/>
        <v>8733.1108642861909</v>
      </c>
      <c r="O8" s="95">
        <f t="shared" si="12"/>
        <v>4.445204101514749</v>
      </c>
      <c r="P8" s="96">
        <f t="shared" si="12"/>
        <v>0.54187416773424801</v>
      </c>
      <c r="Q8" s="97">
        <f t="shared" si="12"/>
        <v>2.6447010886384762E-4</v>
      </c>
      <c r="R8" s="94">
        <f t="shared" si="12"/>
        <v>3308544.9637187524</v>
      </c>
      <c r="S8" s="94">
        <f t="shared" si="12"/>
        <v>1624.7323704729893</v>
      </c>
      <c r="T8" s="79"/>
      <c r="U8" s="79"/>
      <c r="V8" s="79"/>
      <c r="X8" s="79"/>
      <c r="Y8" s="98" t="s">
        <v>306</v>
      </c>
      <c r="Z8" s="99">
        <f t="shared" ref="Z8:AE8" si="13">AVERAGE(Z4:Z7)</f>
        <v>1966.3849999999998</v>
      </c>
      <c r="AA8" s="100">
        <f t="shared" si="13"/>
        <v>4.1501932347126056</v>
      </c>
      <c r="AB8" s="100">
        <f t="shared" si="13"/>
        <v>0.29501086680214306</v>
      </c>
      <c r="AC8" s="100">
        <f t="shared" si="13"/>
        <v>4.445204101514749</v>
      </c>
      <c r="AD8" s="101">
        <f t="shared" si="13"/>
        <v>2.6447010886384762E-4</v>
      </c>
      <c r="AE8" s="99">
        <f t="shared" si="13"/>
        <v>1624.7323704729893</v>
      </c>
      <c r="AF8" s="2"/>
    </row>
    <row r="9" spans="1:34" ht="15.75" customHeight="1">
      <c r="A9" s="79"/>
      <c r="B9" s="79"/>
      <c r="C9" s="79"/>
      <c r="D9" s="79"/>
      <c r="E9" s="79"/>
      <c r="F9" s="79"/>
      <c r="G9" s="79"/>
      <c r="H9" s="79"/>
      <c r="I9" s="79"/>
      <c r="J9" s="79"/>
      <c r="K9" s="79"/>
      <c r="L9" s="79"/>
      <c r="M9" s="79"/>
      <c r="N9" s="79"/>
      <c r="O9" s="79"/>
      <c r="P9" s="79"/>
      <c r="Q9" s="79"/>
      <c r="R9" s="79"/>
      <c r="S9" s="79"/>
      <c r="T9" s="79"/>
      <c r="U9" s="79"/>
      <c r="V9" s="79"/>
      <c r="W9" s="79"/>
      <c r="X9" s="79"/>
      <c r="Y9" s="79" t="s">
        <v>307</v>
      </c>
      <c r="Z9" s="90">
        <f t="shared" ref="Z9:AE9" si="14">STDEV(Z4:Z7)</f>
        <v>529.63644716604097</v>
      </c>
      <c r="AA9" s="80">
        <f t="shared" si="14"/>
        <v>0.13407216710031183</v>
      </c>
      <c r="AB9" s="80">
        <f t="shared" si="14"/>
        <v>0.10776938336151702</v>
      </c>
      <c r="AC9" s="80">
        <f t="shared" si="14"/>
        <v>0.14187538229589408</v>
      </c>
      <c r="AD9" s="102">
        <f t="shared" si="14"/>
        <v>5.5721435758027539E-5</v>
      </c>
      <c r="AE9" s="90">
        <f t="shared" si="14"/>
        <v>294.58313963326219</v>
      </c>
      <c r="AF9" s="2"/>
    </row>
    <row r="10" spans="1:34" ht="15.75" customHeight="1">
      <c r="A10" s="79" t="s">
        <v>308</v>
      </c>
      <c r="B10" s="79"/>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row>
    <row r="11" spans="1:34" ht="15.75" customHeight="1">
      <c r="A11" s="84" t="s">
        <v>309</v>
      </c>
      <c r="B11" s="84" t="s">
        <v>310</v>
      </c>
      <c r="C11" s="1" t="s">
        <v>311</v>
      </c>
      <c r="D11" s="84" t="s">
        <v>103</v>
      </c>
      <c r="E11" s="79"/>
      <c r="F11" s="79"/>
      <c r="G11" s="79"/>
      <c r="H11" s="79"/>
      <c r="I11" s="79"/>
      <c r="J11" s="79"/>
      <c r="K11" s="79"/>
      <c r="L11" s="79"/>
      <c r="M11" s="79"/>
      <c r="N11" s="79"/>
      <c r="O11" s="79"/>
      <c r="P11" s="79"/>
      <c r="Q11" s="79"/>
      <c r="R11" s="79"/>
      <c r="S11" s="79"/>
      <c r="T11" s="79"/>
      <c r="U11" s="79"/>
      <c r="V11" s="79"/>
      <c r="W11" s="79"/>
      <c r="X11" s="79"/>
      <c r="Y11" s="79"/>
      <c r="Z11" s="103"/>
      <c r="AA11" s="103"/>
      <c r="AB11" s="103"/>
      <c r="AC11" s="103"/>
      <c r="AD11" s="103"/>
      <c r="AE11" s="79"/>
      <c r="AF11" s="79"/>
      <c r="AG11" s="79"/>
      <c r="AH11" s="79"/>
    </row>
    <row r="12" spans="1:34" ht="15.75" customHeight="1">
      <c r="A12" s="2" t="s">
        <v>312</v>
      </c>
      <c r="B12" s="81" t="s">
        <v>313</v>
      </c>
      <c r="C12" s="2" t="s">
        <v>314</v>
      </c>
      <c r="D12" s="104" t="s">
        <v>315</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row>
    <row r="13" spans="1:34" ht="15.75" customHeight="1">
      <c r="A13" s="79" t="s">
        <v>316</v>
      </c>
      <c r="B13" s="2" t="s">
        <v>317</v>
      </c>
      <c r="C13" s="79" t="s">
        <v>318</v>
      </c>
      <c r="D13" s="104" t="s">
        <v>319</v>
      </c>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row>
    <row r="14" spans="1:34" ht="15.75" customHeight="1">
      <c r="A14" s="79" t="s">
        <v>320</v>
      </c>
      <c r="B14" s="79" t="s">
        <v>320</v>
      </c>
      <c r="C14" s="2" t="s">
        <v>321</v>
      </c>
      <c r="D14" s="104" t="s">
        <v>322</v>
      </c>
      <c r="E14" s="79"/>
      <c r="F14" s="79"/>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row>
    <row r="15" spans="1:34" ht="15.75" customHeight="1">
      <c r="A15" s="79"/>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row>
    <row r="16" spans="1:34" ht="15.75" customHeight="1">
      <c r="A16" s="61" t="s">
        <v>323</v>
      </c>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row>
    <row r="17" spans="1:26" ht="15.75" customHeight="1">
      <c r="A17" s="105" t="s">
        <v>324</v>
      </c>
      <c r="B17" s="79"/>
      <c r="C17" s="79"/>
      <c r="D17" s="79"/>
      <c r="E17" s="79"/>
      <c r="G17" s="106" t="s">
        <v>325</v>
      </c>
      <c r="H17" s="79"/>
      <c r="I17" s="79"/>
      <c r="J17" s="79"/>
      <c r="K17" s="79"/>
      <c r="M17" s="106" t="s">
        <v>326</v>
      </c>
      <c r="N17" s="79"/>
      <c r="O17" s="79"/>
      <c r="P17" s="79"/>
      <c r="Q17" s="79"/>
      <c r="S17" s="106" t="s">
        <v>327</v>
      </c>
      <c r="T17" s="79"/>
      <c r="U17" s="79"/>
      <c r="V17" s="79"/>
      <c r="W17" s="79"/>
      <c r="X17" s="79"/>
      <c r="Y17" s="79"/>
      <c r="Z17" s="79"/>
    </row>
    <row r="18" spans="1:26" ht="15.75" customHeight="1">
      <c r="A18" s="47" t="s">
        <v>328</v>
      </c>
      <c r="B18" s="107" t="s">
        <v>329</v>
      </c>
      <c r="C18" s="47" t="s">
        <v>311</v>
      </c>
      <c r="D18" s="107" t="s">
        <v>330</v>
      </c>
      <c r="E18" s="47" t="s">
        <v>331</v>
      </c>
      <c r="G18" s="47" t="s">
        <v>328</v>
      </c>
      <c r="H18" s="107" t="s">
        <v>329</v>
      </c>
      <c r="I18" s="47" t="s">
        <v>311</v>
      </c>
      <c r="J18" s="107" t="s">
        <v>330</v>
      </c>
      <c r="K18" s="47" t="s">
        <v>331</v>
      </c>
      <c r="M18" s="1" t="s">
        <v>328</v>
      </c>
      <c r="N18" s="84" t="s">
        <v>329</v>
      </c>
      <c r="O18" s="1" t="s">
        <v>311</v>
      </c>
      <c r="P18" s="84" t="s">
        <v>330</v>
      </c>
      <c r="Q18" s="1" t="s">
        <v>331</v>
      </c>
      <c r="S18" s="1" t="s">
        <v>328</v>
      </c>
      <c r="T18" s="84" t="s">
        <v>329</v>
      </c>
      <c r="U18" s="1" t="s">
        <v>311</v>
      </c>
      <c r="V18" s="84" t="s">
        <v>330</v>
      </c>
      <c r="W18" s="1" t="s">
        <v>331</v>
      </c>
      <c r="X18" s="79"/>
      <c r="Y18" s="79"/>
    </row>
    <row r="19" spans="1:26" ht="15.75" customHeight="1">
      <c r="A19" s="2" t="s">
        <v>332</v>
      </c>
      <c r="B19" s="79">
        <v>12</v>
      </c>
      <c r="C19" s="79" t="s">
        <v>333</v>
      </c>
      <c r="D19" s="108">
        <v>9.5</v>
      </c>
      <c r="E19" s="29">
        <f t="shared" ref="E19:E37" si="15">D19*B19</f>
        <v>114</v>
      </c>
      <c r="G19" s="109" t="s">
        <v>332</v>
      </c>
      <c r="H19" s="53">
        <v>12</v>
      </c>
      <c r="I19" s="109" t="s">
        <v>333</v>
      </c>
      <c r="J19" s="108">
        <v>9.5</v>
      </c>
      <c r="K19" s="29">
        <f t="shared" ref="K19:K39" si="16">J19*H19</f>
        <v>114</v>
      </c>
      <c r="M19" s="2" t="s">
        <v>332</v>
      </c>
      <c r="N19" s="79">
        <v>12</v>
      </c>
      <c r="O19" s="79" t="s">
        <v>333</v>
      </c>
      <c r="P19" s="23">
        <v>9.5</v>
      </c>
      <c r="Q19" s="6">
        <f t="shared" ref="Q19:Q36" si="17">P19*N19</f>
        <v>114</v>
      </c>
      <c r="S19" s="79" t="s">
        <v>332</v>
      </c>
      <c r="T19" s="2">
        <v>12</v>
      </c>
      <c r="U19" s="2" t="s">
        <v>333</v>
      </c>
      <c r="V19" s="23">
        <v>9.5</v>
      </c>
      <c r="W19" s="6">
        <f t="shared" ref="W19:W38" si="18">V19*T19</f>
        <v>114</v>
      </c>
      <c r="X19" s="79"/>
      <c r="Y19" s="79"/>
    </row>
    <row r="20" spans="1:26" ht="15.75" customHeight="1">
      <c r="A20" s="2" t="s">
        <v>334</v>
      </c>
      <c r="B20" s="79">
        <v>2</v>
      </c>
      <c r="C20" s="79" t="s">
        <v>333</v>
      </c>
      <c r="D20" s="108">
        <v>0.4</v>
      </c>
      <c r="E20" s="110">
        <f t="shared" si="15"/>
        <v>0.8</v>
      </c>
      <c r="G20" s="111" t="s">
        <v>334</v>
      </c>
      <c r="H20" s="56">
        <v>2</v>
      </c>
      <c r="I20" s="111" t="s">
        <v>333</v>
      </c>
      <c r="J20" s="108">
        <v>0.4</v>
      </c>
      <c r="K20" s="110">
        <f t="shared" si="16"/>
        <v>0.8</v>
      </c>
      <c r="M20" s="2" t="s">
        <v>335</v>
      </c>
      <c r="N20" s="79">
        <v>12</v>
      </c>
      <c r="O20" s="79" t="s">
        <v>333</v>
      </c>
      <c r="P20" s="23">
        <v>0.22</v>
      </c>
      <c r="Q20" s="6">
        <f t="shared" si="17"/>
        <v>2.64</v>
      </c>
      <c r="S20" s="79" t="s">
        <v>335</v>
      </c>
      <c r="T20" s="2">
        <v>12</v>
      </c>
      <c r="U20" s="2" t="s">
        <v>333</v>
      </c>
      <c r="V20" s="23">
        <v>0.22</v>
      </c>
      <c r="W20" s="6">
        <f t="shared" si="18"/>
        <v>2.64</v>
      </c>
      <c r="X20" s="79"/>
      <c r="Y20" s="79"/>
    </row>
    <row r="21" spans="1:26" ht="15.75" customHeight="1">
      <c r="A21" s="2" t="s">
        <v>336</v>
      </c>
      <c r="B21" s="79">
        <v>18</v>
      </c>
      <c r="C21" s="79" t="s">
        <v>333</v>
      </c>
      <c r="D21" s="108">
        <v>0.04</v>
      </c>
      <c r="E21" s="29">
        <f t="shared" si="15"/>
        <v>0.72</v>
      </c>
      <c r="G21" s="109" t="s">
        <v>336</v>
      </c>
      <c r="H21" s="53">
        <v>18</v>
      </c>
      <c r="I21" s="109" t="s">
        <v>333</v>
      </c>
      <c r="J21" s="108">
        <v>0.04</v>
      </c>
      <c r="K21" s="29">
        <f t="shared" si="16"/>
        <v>0.72</v>
      </c>
      <c r="M21" s="2" t="s">
        <v>336</v>
      </c>
      <c r="N21" s="79">
        <v>18</v>
      </c>
      <c r="O21" s="79" t="s">
        <v>333</v>
      </c>
      <c r="P21" s="23">
        <v>0.04</v>
      </c>
      <c r="Q21" s="6">
        <f t="shared" si="17"/>
        <v>0.72</v>
      </c>
      <c r="S21" s="79" t="s">
        <v>336</v>
      </c>
      <c r="T21" s="2">
        <v>18</v>
      </c>
      <c r="U21" s="2" t="s">
        <v>333</v>
      </c>
      <c r="V21" s="23">
        <v>0.04</v>
      </c>
      <c r="W21" s="6">
        <f t="shared" si="18"/>
        <v>0.72</v>
      </c>
      <c r="X21" s="79"/>
      <c r="Y21" s="79"/>
    </row>
    <row r="22" spans="1:26" ht="15.75" customHeight="1">
      <c r="A22" s="2" t="s">
        <v>337</v>
      </c>
      <c r="B22" s="79">
        <v>1</v>
      </c>
      <c r="C22" s="79" t="s">
        <v>333</v>
      </c>
      <c r="D22" s="108">
        <v>143</v>
      </c>
      <c r="E22" s="110">
        <f t="shared" si="15"/>
        <v>143</v>
      </c>
      <c r="G22" s="111" t="s">
        <v>337</v>
      </c>
      <c r="H22" s="56">
        <v>1</v>
      </c>
      <c r="I22" s="111" t="s">
        <v>333</v>
      </c>
      <c r="J22" s="108">
        <v>143</v>
      </c>
      <c r="K22" s="110">
        <f t="shared" si="16"/>
        <v>143</v>
      </c>
      <c r="M22" s="2" t="s">
        <v>338</v>
      </c>
      <c r="N22" s="79">
        <v>6</v>
      </c>
      <c r="O22" s="79" t="s">
        <v>333</v>
      </c>
      <c r="P22" s="23">
        <v>43.1</v>
      </c>
      <c r="Q22" s="6">
        <f t="shared" si="17"/>
        <v>258.60000000000002</v>
      </c>
      <c r="S22" s="79" t="s">
        <v>338</v>
      </c>
      <c r="T22" s="2">
        <v>6</v>
      </c>
      <c r="U22" s="2" t="s">
        <v>333</v>
      </c>
      <c r="V22" s="23">
        <v>43.1</v>
      </c>
      <c r="W22" s="6">
        <f t="shared" si="18"/>
        <v>258.60000000000002</v>
      </c>
      <c r="X22" s="79"/>
      <c r="Y22" s="79"/>
    </row>
    <row r="23" spans="1:26" ht="15.75" customHeight="1">
      <c r="A23" s="2" t="s">
        <v>339</v>
      </c>
      <c r="B23" s="79">
        <v>1</v>
      </c>
      <c r="C23" s="79" t="s">
        <v>333</v>
      </c>
      <c r="D23" s="108">
        <v>17</v>
      </c>
      <c r="E23" s="110">
        <f t="shared" si="15"/>
        <v>17</v>
      </c>
      <c r="G23" s="111" t="s">
        <v>339</v>
      </c>
      <c r="H23" s="56">
        <v>1</v>
      </c>
      <c r="I23" s="111" t="s">
        <v>333</v>
      </c>
      <c r="J23" s="108">
        <v>17</v>
      </c>
      <c r="K23" s="110">
        <f t="shared" si="16"/>
        <v>17</v>
      </c>
      <c r="M23" s="2" t="s">
        <v>339</v>
      </c>
      <c r="N23" s="79">
        <v>1</v>
      </c>
      <c r="O23" s="79" t="s">
        <v>333</v>
      </c>
      <c r="P23" s="23">
        <v>17</v>
      </c>
      <c r="Q23" s="6">
        <f t="shared" si="17"/>
        <v>17</v>
      </c>
      <c r="S23" s="79" t="s">
        <v>339</v>
      </c>
      <c r="T23" s="2">
        <v>1</v>
      </c>
      <c r="U23" s="2" t="s">
        <v>333</v>
      </c>
      <c r="V23" s="23">
        <v>17</v>
      </c>
      <c r="W23" s="6">
        <f t="shared" si="18"/>
        <v>17</v>
      </c>
      <c r="X23" s="79"/>
      <c r="Y23" s="79"/>
    </row>
    <row r="24" spans="1:26" ht="15.75" customHeight="1">
      <c r="A24" s="2" t="s">
        <v>340</v>
      </c>
      <c r="B24" s="79">
        <v>18</v>
      </c>
      <c r="C24" s="79" t="s">
        <v>333</v>
      </c>
      <c r="D24" s="108">
        <v>0.5</v>
      </c>
      <c r="E24" s="29">
        <f t="shared" si="15"/>
        <v>9</v>
      </c>
      <c r="G24" s="109" t="s">
        <v>340</v>
      </c>
      <c r="H24" s="53">
        <v>18</v>
      </c>
      <c r="I24" s="109" t="s">
        <v>333</v>
      </c>
      <c r="J24" s="108">
        <v>0.5</v>
      </c>
      <c r="K24" s="29">
        <f t="shared" si="16"/>
        <v>9</v>
      </c>
      <c r="M24" s="2" t="s">
        <v>340</v>
      </c>
      <c r="N24" s="79">
        <v>18</v>
      </c>
      <c r="O24" s="79" t="s">
        <v>333</v>
      </c>
      <c r="P24" s="23">
        <v>0.5</v>
      </c>
      <c r="Q24" s="6">
        <f t="shared" si="17"/>
        <v>9</v>
      </c>
      <c r="S24" s="79" t="s">
        <v>340</v>
      </c>
      <c r="T24" s="2">
        <v>18</v>
      </c>
      <c r="U24" s="2" t="s">
        <v>333</v>
      </c>
      <c r="V24" s="23">
        <v>0.5</v>
      </c>
      <c r="W24" s="6">
        <f t="shared" si="18"/>
        <v>9</v>
      </c>
      <c r="X24" s="79"/>
      <c r="Y24" s="79"/>
    </row>
    <row r="25" spans="1:26" ht="15.75" customHeight="1">
      <c r="A25" s="2" t="s">
        <v>341</v>
      </c>
      <c r="B25" s="79">
        <v>10</v>
      </c>
      <c r="C25" s="79" t="s">
        <v>342</v>
      </c>
      <c r="D25" s="108">
        <v>0.20499999999999999</v>
      </c>
      <c r="E25" s="110">
        <f t="shared" si="15"/>
        <v>2.0499999999999998</v>
      </c>
      <c r="G25" s="111" t="s">
        <v>341</v>
      </c>
      <c r="H25" s="56">
        <v>20</v>
      </c>
      <c r="I25" s="111" t="s">
        <v>342</v>
      </c>
      <c r="J25" s="108">
        <v>0.20499999999999999</v>
      </c>
      <c r="K25" s="110">
        <f t="shared" si="16"/>
        <v>4.0999999999999996</v>
      </c>
      <c r="M25" s="2" t="s">
        <v>341</v>
      </c>
      <c r="N25" s="79">
        <v>10</v>
      </c>
      <c r="O25" s="79" t="s">
        <v>342</v>
      </c>
      <c r="P25" s="23">
        <v>0.20499999999999999</v>
      </c>
      <c r="Q25" s="6">
        <f t="shared" si="17"/>
        <v>2.0499999999999998</v>
      </c>
      <c r="S25" s="79" t="s">
        <v>341</v>
      </c>
      <c r="T25" s="2">
        <v>20</v>
      </c>
      <c r="U25" s="2" t="s">
        <v>342</v>
      </c>
      <c r="V25" s="23">
        <v>0.20499999999999999</v>
      </c>
      <c r="W25" s="6">
        <f t="shared" si="18"/>
        <v>4.0999999999999996</v>
      </c>
      <c r="X25" s="79"/>
      <c r="Y25" s="79"/>
    </row>
    <row r="26" spans="1:26" ht="15.75" customHeight="1">
      <c r="A26" s="2" t="s">
        <v>343</v>
      </c>
      <c r="B26" s="79">
        <v>20</v>
      </c>
      <c r="C26" s="79" t="s">
        <v>342</v>
      </c>
      <c r="D26" s="108">
        <v>3.3</v>
      </c>
      <c r="E26" s="29">
        <f t="shared" si="15"/>
        <v>66</v>
      </c>
      <c r="G26" s="109" t="s">
        <v>343</v>
      </c>
      <c r="H26" s="53">
        <v>20</v>
      </c>
      <c r="I26" s="109" t="s">
        <v>342</v>
      </c>
      <c r="J26" s="108">
        <v>3.3</v>
      </c>
      <c r="K26" s="29">
        <f t="shared" si="16"/>
        <v>66</v>
      </c>
      <c r="M26" s="2" t="s">
        <v>343</v>
      </c>
      <c r="N26" s="79">
        <v>40</v>
      </c>
      <c r="O26" s="79" t="s">
        <v>342</v>
      </c>
      <c r="P26" s="23">
        <v>3.3</v>
      </c>
      <c r="Q26" s="6">
        <f t="shared" si="17"/>
        <v>132</v>
      </c>
      <c r="S26" s="79" t="s">
        <v>343</v>
      </c>
      <c r="T26" s="2">
        <v>40</v>
      </c>
      <c r="U26" s="2" t="s">
        <v>342</v>
      </c>
      <c r="V26" s="23">
        <v>3.3</v>
      </c>
      <c r="W26" s="6">
        <f t="shared" si="18"/>
        <v>132</v>
      </c>
      <c r="X26" s="79"/>
      <c r="Y26" s="79"/>
    </row>
    <row r="27" spans="1:26" ht="15.75" customHeight="1">
      <c r="A27" s="2" t="s">
        <v>344</v>
      </c>
      <c r="B27" s="79">
        <v>1</v>
      </c>
      <c r="C27" s="79" t="s">
        <v>333</v>
      </c>
      <c r="D27" s="108">
        <v>32</v>
      </c>
      <c r="E27" s="110">
        <f t="shared" si="15"/>
        <v>32</v>
      </c>
      <c r="G27" s="111" t="s">
        <v>344</v>
      </c>
      <c r="H27" s="56">
        <v>1</v>
      </c>
      <c r="I27" s="111" t="s">
        <v>333</v>
      </c>
      <c r="J27" s="108">
        <v>32</v>
      </c>
      <c r="K27" s="110">
        <f t="shared" si="16"/>
        <v>32</v>
      </c>
      <c r="M27" s="2" t="s">
        <v>344</v>
      </c>
      <c r="N27" s="79">
        <v>1</v>
      </c>
      <c r="O27" s="79" t="s">
        <v>333</v>
      </c>
      <c r="P27" s="23">
        <v>32</v>
      </c>
      <c r="Q27" s="6">
        <f t="shared" si="17"/>
        <v>32</v>
      </c>
      <c r="S27" s="79" t="s">
        <v>344</v>
      </c>
      <c r="T27" s="2">
        <v>1</v>
      </c>
      <c r="U27" s="2" t="s">
        <v>333</v>
      </c>
      <c r="V27" s="23">
        <v>32</v>
      </c>
      <c r="W27" s="6">
        <f t="shared" si="18"/>
        <v>32</v>
      </c>
      <c r="X27" s="79"/>
      <c r="Y27" s="79"/>
    </row>
    <row r="28" spans="1:26" ht="15.75" customHeight="1">
      <c r="A28" s="2" t="s">
        <v>345</v>
      </c>
      <c r="B28" s="79">
        <v>400</v>
      </c>
      <c r="C28" s="79" t="s">
        <v>342</v>
      </c>
      <c r="D28" s="108">
        <v>0.33</v>
      </c>
      <c r="E28" s="29">
        <f t="shared" si="15"/>
        <v>132</v>
      </c>
      <c r="G28" s="109" t="s">
        <v>346</v>
      </c>
      <c r="H28" s="53">
        <v>120</v>
      </c>
      <c r="I28" s="109" t="s">
        <v>342</v>
      </c>
      <c r="J28" s="108">
        <v>3</v>
      </c>
      <c r="K28" s="29">
        <f t="shared" si="16"/>
        <v>360</v>
      </c>
      <c r="M28" s="2" t="s">
        <v>345</v>
      </c>
      <c r="N28" s="79">
        <v>400</v>
      </c>
      <c r="O28" s="79" t="s">
        <v>342</v>
      </c>
      <c r="P28" s="23">
        <v>0.33</v>
      </c>
      <c r="Q28" s="6">
        <f t="shared" si="17"/>
        <v>132</v>
      </c>
      <c r="S28" s="79" t="s">
        <v>346</v>
      </c>
      <c r="T28" s="2">
        <v>120</v>
      </c>
      <c r="U28" s="2" t="s">
        <v>342</v>
      </c>
      <c r="V28" s="23">
        <v>3</v>
      </c>
      <c r="W28" s="6">
        <f t="shared" si="18"/>
        <v>360</v>
      </c>
      <c r="X28" s="79"/>
      <c r="Y28" s="79"/>
    </row>
    <row r="29" spans="1:26" ht="15.75" customHeight="1">
      <c r="A29" s="2" t="s">
        <v>346</v>
      </c>
      <c r="B29" s="79">
        <v>120</v>
      </c>
      <c r="C29" s="79" t="s">
        <v>342</v>
      </c>
      <c r="D29" s="108">
        <v>3</v>
      </c>
      <c r="E29" s="110">
        <f t="shared" si="15"/>
        <v>360</v>
      </c>
      <c r="G29" s="111" t="s">
        <v>347</v>
      </c>
      <c r="H29" s="56">
        <v>18</v>
      </c>
      <c r="I29" s="111" t="s">
        <v>333</v>
      </c>
      <c r="J29" s="108">
        <v>1.1000000000000001</v>
      </c>
      <c r="K29" s="110">
        <f t="shared" si="16"/>
        <v>19.8</v>
      </c>
      <c r="M29" s="2" t="s">
        <v>346</v>
      </c>
      <c r="N29" s="79">
        <v>120</v>
      </c>
      <c r="O29" s="79" t="s">
        <v>342</v>
      </c>
      <c r="P29" s="23">
        <v>3</v>
      </c>
      <c r="Q29" s="6">
        <f t="shared" si="17"/>
        <v>360</v>
      </c>
      <c r="S29" s="79" t="s">
        <v>347</v>
      </c>
      <c r="T29" s="2">
        <v>18</v>
      </c>
      <c r="U29" s="2" t="s">
        <v>333</v>
      </c>
      <c r="V29" s="23">
        <v>1.1000000000000001</v>
      </c>
      <c r="W29" s="6">
        <f t="shared" si="18"/>
        <v>19.8</v>
      </c>
      <c r="X29" s="79"/>
      <c r="Y29" s="79"/>
    </row>
    <row r="30" spans="1:26" ht="15.75" customHeight="1">
      <c r="A30" s="2" t="s">
        <v>347</v>
      </c>
      <c r="B30" s="79">
        <v>18</v>
      </c>
      <c r="C30" s="79" t="s">
        <v>333</v>
      </c>
      <c r="D30" s="108">
        <v>1.1000000000000001</v>
      </c>
      <c r="E30" s="29">
        <f t="shared" si="15"/>
        <v>19.8</v>
      </c>
      <c r="G30" s="109" t="s">
        <v>348</v>
      </c>
      <c r="H30" s="53">
        <v>700</v>
      </c>
      <c r="I30" s="109" t="s">
        <v>342</v>
      </c>
      <c r="J30" s="108">
        <v>5.7000000000000002E-2</v>
      </c>
      <c r="K30" s="29">
        <f t="shared" si="16"/>
        <v>39.9</v>
      </c>
      <c r="M30" s="2" t="s">
        <v>347</v>
      </c>
      <c r="N30" s="79">
        <v>18</v>
      </c>
      <c r="O30" s="79" t="s">
        <v>333</v>
      </c>
      <c r="P30" s="23">
        <v>1.1000000000000001</v>
      </c>
      <c r="Q30" s="6">
        <f t="shared" si="17"/>
        <v>19.8</v>
      </c>
      <c r="S30" s="79" t="s">
        <v>348</v>
      </c>
      <c r="T30" s="2">
        <v>700</v>
      </c>
      <c r="U30" s="2" t="s">
        <v>342</v>
      </c>
      <c r="V30" s="23">
        <v>5.7000000000000002E-2</v>
      </c>
      <c r="W30" s="6">
        <f t="shared" si="18"/>
        <v>39.9</v>
      </c>
      <c r="X30" s="79"/>
      <c r="Y30" s="79"/>
    </row>
    <row r="31" spans="1:26" ht="15.75" customHeight="1">
      <c r="A31" s="2" t="s">
        <v>348</v>
      </c>
      <c r="B31" s="79">
        <v>200</v>
      </c>
      <c r="C31" s="79" t="s">
        <v>342</v>
      </c>
      <c r="D31" s="108">
        <v>5.7000000000000002E-2</v>
      </c>
      <c r="E31" s="110">
        <f t="shared" si="15"/>
        <v>11.4</v>
      </c>
      <c r="G31" s="111" t="s">
        <v>349</v>
      </c>
      <c r="H31" s="56">
        <v>12</v>
      </c>
      <c r="I31" s="111" t="s">
        <v>333</v>
      </c>
      <c r="J31" s="108">
        <v>8.3000000000000007</v>
      </c>
      <c r="K31" s="29">
        <f t="shared" si="16"/>
        <v>99.600000000000009</v>
      </c>
      <c r="M31" s="2" t="s">
        <v>348</v>
      </c>
      <c r="N31" s="79">
        <v>200</v>
      </c>
      <c r="O31" s="79" t="s">
        <v>342</v>
      </c>
      <c r="P31" s="23">
        <v>5.7000000000000002E-2</v>
      </c>
      <c r="Q31" s="6">
        <f t="shared" si="17"/>
        <v>11.4</v>
      </c>
      <c r="S31" s="79" t="s">
        <v>349</v>
      </c>
      <c r="T31" s="2">
        <v>24</v>
      </c>
      <c r="U31" s="2" t="s">
        <v>333</v>
      </c>
      <c r="V31" s="23">
        <v>8.3000000000000007</v>
      </c>
      <c r="W31" s="6">
        <f t="shared" si="18"/>
        <v>199.20000000000002</v>
      </c>
      <c r="X31" s="79"/>
      <c r="Y31" s="79"/>
    </row>
    <row r="32" spans="1:26" ht="15.75" customHeight="1">
      <c r="A32" s="2" t="s">
        <v>349</v>
      </c>
      <c r="B32" s="79">
        <v>12</v>
      </c>
      <c r="C32" s="79" t="s">
        <v>333</v>
      </c>
      <c r="D32" s="108">
        <v>8.3000000000000007</v>
      </c>
      <c r="E32" s="29">
        <f t="shared" si="15"/>
        <v>99.600000000000009</v>
      </c>
      <c r="G32" s="109" t="s">
        <v>350</v>
      </c>
      <c r="H32" s="109">
        <v>2</v>
      </c>
      <c r="I32" s="109" t="s">
        <v>333</v>
      </c>
      <c r="J32" s="108">
        <v>20</v>
      </c>
      <c r="K32" s="29">
        <f t="shared" si="16"/>
        <v>40</v>
      </c>
      <c r="M32" s="79" t="s">
        <v>349</v>
      </c>
      <c r="N32" s="79">
        <v>24</v>
      </c>
      <c r="O32" s="79" t="s">
        <v>333</v>
      </c>
      <c r="P32" s="23">
        <v>8.3000000000000007</v>
      </c>
      <c r="Q32" s="6">
        <f t="shared" si="17"/>
        <v>199.20000000000002</v>
      </c>
      <c r="S32" s="79" t="s">
        <v>351</v>
      </c>
      <c r="T32" s="2">
        <v>12</v>
      </c>
      <c r="U32" s="2" t="s">
        <v>342</v>
      </c>
      <c r="V32" s="23">
        <v>1.9</v>
      </c>
      <c r="W32" s="6">
        <f t="shared" si="18"/>
        <v>22.799999999999997</v>
      </c>
      <c r="X32" s="79"/>
      <c r="Y32" s="79"/>
    </row>
    <row r="33" spans="1:34" ht="15.75" customHeight="1">
      <c r="A33" s="79" t="s">
        <v>350</v>
      </c>
      <c r="B33" s="79">
        <v>2</v>
      </c>
      <c r="C33" s="79" t="s">
        <v>333</v>
      </c>
      <c r="D33" s="108">
        <v>20</v>
      </c>
      <c r="E33" s="110">
        <f t="shared" si="15"/>
        <v>40</v>
      </c>
      <c r="G33" s="109" t="s">
        <v>351</v>
      </c>
      <c r="H33" s="109">
        <v>12</v>
      </c>
      <c r="I33" s="109" t="s">
        <v>342</v>
      </c>
      <c r="J33" s="108">
        <v>1.9</v>
      </c>
      <c r="K33" s="29">
        <f t="shared" si="16"/>
        <v>22.799999999999997</v>
      </c>
      <c r="M33" s="79" t="s">
        <v>351</v>
      </c>
      <c r="N33" s="79">
        <v>12</v>
      </c>
      <c r="O33" s="79" t="s">
        <v>342</v>
      </c>
      <c r="P33" s="23">
        <v>1.9</v>
      </c>
      <c r="Q33" s="6">
        <f t="shared" si="17"/>
        <v>22.799999999999997</v>
      </c>
      <c r="S33" s="79" t="s">
        <v>352</v>
      </c>
      <c r="T33" s="2">
        <v>40</v>
      </c>
      <c r="U33" s="2" t="s">
        <v>342</v>
      </c>
      <c r="V33" s="23">
        <v>6</v>
      </c>
      <c r="W33" s="6">
        <f t="shared" si="18"/>
        <v>240</v>
      </c>
      <c r="X33" s="79"/>
      <c r="Y33" s="79"/>
      <c r="Z33" s="79"/>
    </row>
    <row r="34" spans="1:34" ht="15.75" customHeight="1">
      <c r="A34" s="79" t="s">
        <v>351</v>
      </c>
      <c r="B34" s="79">
        <v>12</v>
      </c>
      <c r="C34" s="79" t="s">
        <v>342</v>
      </c>
      <c r="D34" s="108">
        <v>1.9</v>
      </c>
      <c r="E34" s="29">
        <f t="shared" si="15"/>
        <v>22.799999999999997</v>
      </c>
      <c r="F34" s="79"/>
      <c r="G34" s="109" t="s">
        <v>352</v>
      </c>
      <c r="H34" s="109">
        <v>45</v>
      </c>
      <c r="I34" s="109" t="s">
        <v>342</v>
      </c>
      <c r="J34" s="108">
        <v>6</v>
      </c>
      <c r="K34" s="29">
        <f t="shared" si="16"/>
        <v>270</v>
      </c>
      <c r="M34" s="79" t="s">
        <v>352</v>
      </c>
      <c r="N34" s="79">
        <v>40</v>
      </c>
      <c r="O34" s="79" t="s">
        <v>342</v>
      </c>
      <c r="P34" s="23">
        <v>6</v>
      </c>
      <c r="Q34" s="6">
        <f t="shared" si="17"/>
        <v>240</v>
      </c>
      <c r="S34" s="79" t="s">
        <v>353</v>
      </c>
      <c r="T34" s="2">
        <v>30</v>
      </c>
      <c r="U34" s="2" t="s">
        <v>333</v>
      </c>
      <c r="V34" s="23">
        <v>2.2000000000000002</v>
      </c>
      <c r="W34" s="6">
        <f t="shared" si="18"/>
        <v>66</v>
      </c>
      <c r="X34" s="79"/>
      <c r="Y34" s="79"/>
      <c r="Z34" s="79"/>
    </row>
    <row r="35" spans="1:34" ht="15.75" customHeight="1">
      <c r="A35" s="79" t="s">
        <v>352</v>
      </c>
      <c r="B35" s="79">
        <v>45</v>
      </c>
      <c r="C35" s="79" t="s">
        <v>342</v>
      </c>
      <c r="D35" s="108">
        <v>6</v>
      </c>
      <c r="E35" s="110">
        <f t="shared" si="15"/>
        <v>270</v>
      </c>
      <c r="F35" s="79"/>
      <c r="G35" s="109" t="s">
        <v>353</v>
      </c>
      <c r="H35" s="109">
        <v>30</v>
      </c>
      <c r="I35" s="109" t="s">
        <v>333</v>
      </c>
      <c r="J35" s="108">
        <v>2.2000000000000002</v>
      </c>
      <c r="K35" s="29">
        <f t="shared" si="16"/>
        <v>66</v>
      </c>
      <c r="M35" s="79" t="s">
        <v>353</v>
      </c>
      <c r="N35" s="79">
        <v>30</v>
      </c>
      <c r="O35" s="79" t="s">
        <v>333</v>
      </c>
      <c r="P35" s="23">
        <v>2.2000000000000002</v>
      </c>
      <c r="Q35" s="6">
        <f t="shared" si="17"/>
        <v>66</v>
      </c>
      <c r="S35" s="79" t="s">
        <v>354</v>
      </c>
      <c r="T35" s="2">
        <v>6</v>
      </c>
      <c r="U35" s="2" t="s">
        <v>333</v>
      </c>
      <c r="V35" s="23">
        <v>2.1800000000000002</v>
      </c>
      <c r="W35" s="6">
        <f t="shared" si="18"/>
        <v>13.080000000000002</v>
      </c>
      <c r="X35" s="79"/>
      <c r="Y35" s="79"/>
      <c r="Z35" s="79"/>
    </row>
    <row r="36" spans="1:34" ht="15.75" customHeight="1">
      <c r="A36" s="79" t="s">
        <v>353</v>
      </c>
      <c r="B36" s="79">
        <v>30</v>
      </c>
      <c r="C36" s="79" t="s">
        <v>333</v>
      </c>
      <c r="D36" s="108">
        <v>2.2000000000000002</v>
      </c>
      <c r="E36" s="29">
        <f t="shared" si="15"/>
        <v>66</v>
      </c>
      <c r="F36" s="79"/>
      <c r="G36" s="109" t="s">
        <v>355</v>
      </c>
      <c r="H36" s="109">
        <v>1</v>
      </c>
      <c r="I36" s="109" t="s">
        <v>333</v>
      </c>
      <c r="J36" s="108">
        <v>4.2</v>
      </c>
      <c r="K36" s="29">
        <f t="shared" si="16"/>
        <v>4.2</v>
      </c>
      <c r="M36" s="79" t="s">
        <v>354</v>
      </c>
      <c r="N36" s="79">
        <v>6</v>
      </c>
      <c r="O36" s="79" t="s">
        <v>333</v>
      </c>
      <c r="P36" s="23">
        <v>2.1800000000000002</v>
      </c>
      <c r="Q36" s="6">
        <f t="shared" si="17"/>
        <v>13.080000000000002</v>
      </c>
      <c r="S36" s="79" t="s">
        <v>356</v>
      </c>
      <c r="T36" s="2">
        <v>150</v>
      </c>
      <c r="U36" s="2" t="s">
        <v>333</v>
      </c>
      <c r="V36" s="23">
        <v>0.2</v>
      </c>
      <c r="W36" s="6">
        <f t="shared" si="18"/>
        <v>30</v>
      </c>
      <c r="X36" s="79"/>
      <c r="Y36" s="79"/>
      <c r="Z36" s="79"/>
    </row>
    <row r="37" spans="1:34" ht="15.75" customHeight="1">
      <c r="A37" s="79" t="s">
        <v>355</v>
      </c>
      <c r="B37" s="79">
        <v>1</v>
      </c>
      <c r="C37" s="79" t="s">
        <v>333</v>
      </c>
      <c r="D37" s="108">
        <v>4.2</v>
      </c>
      <c r="E37" s="110">
        <f t="shared" si="15"/>
        <v>4.2</v>
      </c>
      <c r="F37" s="79"/>
      <c r="G37" s="109" t="s">
        <v>356</v>
      </c>
      <c r="H37" s="109">
        <v>150</v>
      </c>
      <c r="I37" s="109" t="s">
        <v>333</v>
      </c>
      <c r="J37" s="108">
        <v>0.2</v>
      </c>
      <c r="K37" s="29">
        <f t="shared" si="16"/>
        <v>30</v>
      </c>
      <c r="M37" s="112" t="s">
        <v>357</v>
      </c>
      <c r="N37" s="79"/>
      <c r="O37" s="79"/>
      <c r="P37" s="23"/>
      <c r="Q37" s="113">
        <f>SUM(Q19:Q36)</f>
        <v>1632.29</v>
      </c>
      <c r="S37" s="79" t="s">
        <v>358</v>
      </c>
      <c r="T37" s="79">
        <v>228</v>
      </c>
      <c r="U37" s="79" t="s">
        <v>333</v>
      </c>
      <c r="V37" s="23">
        <v>0.27</v>
      </c>
      <c r="W37" s="6">
        <f t="shared" si="18"/>
        <v>61.56</v>
      </c>
      <c r="X37" s="79"/>
      <c r="Y37" s="79"/>
      <c r="Z37" s="79"/>
      <c r="AA37" s="79"/>
      <c r="AB37" s="79"/>
      <c r="AC37" s="79"/>
      <c r="AD37" s="79"/>
      <c r="AE37" s="79"/>
      <c r="AF37" s="79"/>
      <c r="AG37" s="79"/>
      <c r="AH37" s="79"/>
    </row>
    <row r="38" spans="1:34" ht="15.75" customHeight="1">
      <c r="A38" s="114" t="s">
        <v>357</v>
      </c>
      <c r="B38" s="111"/>
      <c r="C38" s="111"/>
      <c r="D38" s="111"/>
      <c r="E38" s="115">
        <f>SUM(E19:E37)</f>
        <v>1410.37</v>
      </c>
      <c r="F38" s="79"/>
      <c r="G38" s="109" t="s">
        <v>358</v>
      </c>
      <c r="H38" s="109">
        <v>228</v>
      </c>
      <c r="I38" s="109" t="s">
        <v>333</v>
      </c>
      <c r="J38" s="108">
        <v>0.27</v>
      </c>
      <c r="K38" s="29">
        <f t="shared" si="16"/>
        <v>61.56</v>
      </c>
      <c r="S38" s="79" t="s">
        <v>359</v>
      </c>
      <c r="T38" s="79">
        <v>600</v>
      </c>
      <c r="U38" s="79" t="s">
        <v>342</v>
      </c>
      <c r="V38" s="23">
        <v>1.5</v>
      </c>
      <c r="W38" s="6">
        <f t="shared" si="18"/>
        <v>900</v>
      </c>
      <c r="X38" s="79"/>
      <c r="Y38" s="79"/>
      <c r="Z38" s="79"/>
      <c r="AA38" s="79"/>
      <c r="AB38" s="79"/>
      <c r="AC38" s="79"/>
      <c r="AD38" s="79"/>
      <c r="AE38" s="79"/>
      <c r="AF38" s="79"/>
      <c r="AG38" s="79"/>
      <c r="AH38" s="79"/>
    </row>
    <row r="39" spans="1:34" ht="15.75" customHeight="1">
      <c r="F39" s="79"/>
      <c r="G39" s="109" t="s">
        <v>359</v>
      </c>
      <c r="H39" s="109">
        <v>600</v>
      </c>
      <c r="I39" s="109" t="s">
        <v>342</v>
      </c>
      <c r="J39" s="108">
        <v>1.5</v>
      </c>
      <c r="K39" s="29">
        <f t="shared" si="16"/>
        <v>900</v>
      </c>
      <c r="N39" s="79"/>
      <c r="O39" s="79"/>
      <c r="P39" s="79"/>
      <c r="Q39" s="79"/>
      <c r="S39" s="112" t="s">
        <v>357</v>
      </c>
      <c r="V39" s="23"/>
      <c r="W39" s="113">
        <f>SUM(W19:W38)</f>
        <v>2522.3999999999996</v>
      </c>
      <c r="X39" s="79"/>
      <c r="Y39" s="79"/>
      <c r="Z39" s="79"/>
      <c r="AA39" s="79"/>
      <c r="AB39" s="79"/>
      <c r="AC39" s="79"/>
      <c r="AD39" s="79"/>
      <c r="AE39" s="79"/>
      <c r="AF39" s="79"/>
      <c r="AG39" s="79"/>
      <c r="AH39" s="79"/>
    </row>
    <row r="40" spans="1:34" ht="15.75" customHeight="1">
      <c r="F40" s="79"/>
      <c r="G40" s="112" t="s">
        <v>357</v>
      </c>
      <c r="H40" s="79"/>
      <c r="I40" s="79"/>
      <c r="J40" s="23"/>
      <c r="K40" s="113">
        <f>SUM(K19:K39)</f>
        <v>2300.4799999999996</v>
      </c>
      <c r="N40" s="79"/>
      <c r="O40" s="79"/>
      <c r="P40" s="79"/>
      <c r="Q40" s="79"/>
      <c r="S40" s="79"/>
      <c r="T40" s="79"/>
      <c r="U40" s="79"/>
      <c r="V40" s="79"/>
      <c r="W40" s="79"/>
      <c r="X40" s="79"/>
      <c r="Y40" s="79"/>
      <c r="Z40" s="79"/>
      <c r="AA40" s="79"/>
      <c r="AB40" s="79"/>
      <c r="AC40" s="79"/>
      <c r="AD40" s="79"/>
      <c r="AE40" s="79"/>
      <c r="AF40" s="79"/>
      <c r="AG40" s="79"/>
      <c r="AH40" s="79"/>
    </row>
    <row r="41" spans="1:34" ht="15.75" customHeight="1">
      <c r="A41" s="79"/>
      <c r="B41" s="79"/>
      <c r="C41" s="79"/>
      <c r="D41" s="79"/>
      <c r="E41" s="79"/>
      <c r="F41" s="79"/>
      <c r="G41" s="79"/>
      <c r="H41" s="79"/>
      <c r="I41" s="79"/>
      <c r="J41" s="79"/>
      <c r="K41" s="79"/>
      <c r="L41" s="79"/>
      <c r="M41" s="79"/>
      <c r="N41" s="79"/>
      <c r="O41" s="79"/>
      <c r="P41" s="79"/>
      <c r="Q41" s="79"/>
      <c r="S41" s="79"/>
      <c r="T41" s="79"/>
      <c r="U41" s="79"/>
      <c r="V41" s="79"/>
      <c r="W41" s="79"/>
      <c r="X41" s="79"/>
      <c r="Y41" s="79"/>
      <c r="Z41" s="79"/>
      <c r="AA41" s="79"/>
      <c r="AB41" s="79"/>
      <c r="AC41" s="79"/>
      <c r="AD41" s="79"/>
      <c r="AE41" s="79"/>
      <c r="AF41" s="79"/>
      <c r="AG41" s="79"/>
      <c r="AH41" s="79"/>
    </row>
    <row r="42" spans="1:34"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row>
    <row r="43" spans="1:34"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row>
    <row r="44" spans="1:34" ht="15.75" customHeight="1">
      <c r="A44" s="61" t="s">
        <v>360</v>
      </c>
      <c r="B44" s="62"/>
      <c r="C44" s="62"/>
      <c r="D44" s="62"/>
      <c r="E44" s="62"/>
      <c r="F44" s="62"/>
      <c r="G44" s="62"/>
      <c r="H44" s="62"/>
      <c r="I44" s="62"/>
      <c r="J44" s="62"/>
      <c r="K44" s="62"/>
      <c r="L44" s="62"/>
      <c r="M44" s="62"/>
      <c r="N44" s="62"/>
      <c r="O44" s="62"/>
      <c r="P44" s="62"/>
      <c r="Q44" s="62"/>
      <c r="R44" s="62"/>
      <c r="S44" s="62"/>
      <c r="T44" s="62"/>
      <c r="U44" s="62"/>
      <c r="V44" s="62"/>
      <c r="W44" s="62"/>
      <c r="X44" s="62"/>
      <c r="Y44" s="62"/>
      <c r="Z44" s="79"/>
      <c r="AA44" s="79"/>
      <c r="AB44" s="79"/>
      <c r="AC44" s="79"/>
      <c r="AD44" s="79"/>
      <c r="AE44" s="79"/>
      <c r="AF44" s="79"/>
      <c r="AG44" s="79"/>
      <c r="AH44" s="79"/>
    </row>
    <row r="45" spans="1:34" ht="15.75" customHeight="1">
      <c r="A45" s="105" t="s">
        <v>324</v>
      </c>
      <c r="B45" s="79"/>
      <c r="C45" s="79"/>
      <c r="D45" s="79"/>
      <c r="E45" s="79"/>
      <c r="G45" s="106" t="s">
        <v>325</v>
      </c>
      <c r="H45" s="79"/>
      <c r="I45" s="79"/>
      <c r="J45" s="79"/>
      <c r="K45" s="79"/>
      <c r="M45" s="106" t="s">
        <v>326</v>
      </c>
      <c r="N45" s="79"/>
      <c r="O45" s="79"/>
      <c r="P45" s="79"/>
      <c r="Q45" s="79"/>
      <c r="S45" s="106" t="s">
        <v>327</v>
      </c>
    </row>
    <row r="46" spans="1:34" ht="15.75" customHeight="1">
      <c r="A46" s="1" t="s">
        <v>361</v>
      </c>
      <c r="B46" s="1" t="s">
        <v>362</v>
      </c>
      <c r="C46" s="1" t="s">
        <v>311</v>
      </c>
      <c r="D46" s="1" t="s">
        <v>363</v>
      </c>
      <c r="E46" s="1" t="s">
        <v>364</v>
      </c>
      <c r="G46" s="1" t="s">
        <v>361</v>
      </c>
      <c r="H46" s="1" t="s">
        <v>362</v>
      </c>
      <c r="I46" s="1" t="s">
        <v>311</v>
      </c>
      <c r="J46" s="1" t="s">
        <v>363</v>
      </c>
      <c r="K46" s="1" t="s">
        <v>364</v>
      </c>
      <c r="M46" s="1" t="s">
        <v>361</v>
      </c>
      <c r="N46" s="1" t="s">
        <v>362</v>
      </c>
      <c r="O46" s="1" t="s">
        <v>311</v>
      </c>
      <c r="P46" s="1" t="s">
        <v>363</v>
      </c>
      <c r="Q46" s="1" t="s">
        <v>364</v>
      </c>
      <c r="S46" s="1" t="s">
        <v>361</v>
      </c>
      <c r="T46" s="1" t="s">
        <v>362</v>
      </c>
      <c r="U46" s="1" t="s">
        <v>311</v>
      </c>
      <c r="V46" s="1" t="s">
        <v>363</v>
      </c>
      <c r="W46" s="1" t="s">
        <v>364</v>
      </c>
    </row>
    <row r="47" spans="1:34" ht="15.75" customHeight="1">
      <c r="A47" s="2" t="s">
        <v>365</v>
      </c>
      <c r="B47" s="21">
        <v>44.621244614640801</v>
      </c>
      <c r="C47" s="2" t="s">
        <v>342</v>
      </c>
      <c r="D47" s="6">
        <v>1129.5621102636337</v>
      </c>
      <c r="E47" s="2" t="str">
        <f t="shared" ref="E47:E84" si="19">IF(OR(ISNUMBER(FIND("used", A47)), ISNUMBER(FIND("waste", A47))), "EoL", "Production")</f>
        <v>Production</v>
      </c>
      <c r="G47" s="2" t="s">
        <v>366</v>
      </c>
      <c r="H47" s="23">
        <v>594.94992819521099</v>
      </c>
      <c r="I47" s="23" t="s">
        <v>342</v>
      </c>
      <c r="J47" s="23">
        <v>3744.4820061761529</v>
      </c>
      <c r="K47" s="2" t="str">
        <f t="shared" ref="K47:K86" si="20">IF(OR(ISNUMBER(FIND("used", G47)), ISNUMBER(FIND("waste", G47))), "EoL", "Production")</f>
        <v>Production</v>
      </c>
      <c r="M47" s="2" t="s">
        <v>367</v>
      </c>
      <c r="N47" s="2">
        <v>5.94949928195211</v>
      </c>
      <c r="O47" s="2" t="s">
        <v>333</v>
      </c>
      <c r="P47" s="2">
        <v>1599.7075569587339</v>
      </c>
      <c r="Q47" s="2" t="str">
        <f t="shared" ref="Q47:Q82" si="21">IF(OR(ISNUMBER(FIND("used", M47)), ISNUMBER(FIND("waste", M47))), "EoL", "Production")</f>
        <v>Production</v>
      </c>
      <c r="S47" s="2" t="s">
        <v>366</v>
      </c>
      <c r="T47" s="2">
        <v>594.94992819521099</v>
      </c>
      <c r="U47" s="2" t="s">
        <v>342</v>
      </c>
      <c r="V47" s="2">
        <v>3744.7066854108789</v>
      </c>
      <c r="W47" s="2" t="str">
        <f t="shared" ref="W47:W84" si="22">IF(OR(ISNUMBER(FIND("used", S47)), ISNUMBER(FIND("waste", S47))), "EoL", "Production")</f>
        <v>Production</v>
      </c>
    </row>
    <row r="48" spans="1:34" ht="15.75" customHeight="1">
      <c r="A48" s="2" t="s">
        <v>368</v>
      </c>
      <c r="B48" s="21">
        <v>118.989985639042</v>
      </c>
      <c r="C48" s="2" t="s">
        <v>342</v>
      </c>
      <c r="D48" s="6">
        <v>1080.3877635781155</v>
      </c>
      <c r="E48" s="2" t="str">
        <f t="shared" si="19"/>
        <v>Production</v>
      </c>
      <c r="G48" s="2" t="s">
        <v>365</v>
      </c>
      <c r="H48" s="23">
        <v>44.621244614640801</v>
      </c>
      <c r="I48" s="23" t="s">
        <v>342</v>
      </c>
      <c r="J48" s="23">
        <v>1130.9931685176002</v>
      </c>
      <c r="K48" s="2" t="str">
        <f t="shared" si="20"/>
        <v>Production</v>
      </c>
      <c r="M48" s="2" t="s">
        <v>368</v>
      </c>
      <c r="N48" s="2">
        <v>118.989985639042</v>
      </c>
      <c r="O48" s="2" t="s">
        <v>342</v>
      </c>
      <c r="P48" s="2">
        <v>1080.2406333120155</v>
      </c>
      <c r="Q48" s="2" t="str">
        <f t="shared" si="21"/>
        <v>Production</v>
      </c>
      <c r="S48" s="2" t="s">
        <v>367</v>
      </c>
      <c r="T48" s="2">
        <v>5.94949928195211</v>
      </c>
      <c r="U48" s="2" t="s">
        <v>333</v>
      </c>
      <c r="V48" s="2">
        <v>1600.3698113488445</v>
      </c>
      <c r="W48" s="2" t="str">
        <f t="shared" si="22"/>
        <v>Production</v>
      </c>
    </row>
    <row r="49" spans="1:23" ht="15.75" customHeight="1">
      <c r="A49" s="2" t="s">
        <v>369</v>
      </c>
      <c r="B49" s="21">
        <v>0.99158321365868596</v>
      </c>
      <c r="C49" s="2" t="s">
        <v>333</v>
      </c>
      <c r="D49" s="6">
        <v>858.34801190003236</v>
      </c>
      <c r="E49" s="2" t="str">
        <f t="shared" si="19"/>
        <v>Production</v>
      </c>
      <c r="G49" s="2" t="s">
        <v>368</v>
      </c>
      <c r="H49" s="23">
        <v>118.989985639042</v>
      </c>
      <c r="I49" s="23" t="s">
        <v>342</v>
      </c>
      <c r="J49" s="23">
        <v>1080.3460009678777</v>
      </c>
      <c r="K49" s="2" t="str">
        <f t="shared" si="20"/>
        <v>Production</v>
      </c>
      <c r="M49" s="2" t="s">
        <v>365</v>
      </c>
      <c r="N49" s="2">
        <v>39.663328546347401</v>
      </c>
      <c r="O49" s="2" t="s">
        <v>342</v>
      </c>
      <c r="P49" s="2">
        <v>1003.8262920455301</v>
      </c>
      <c r="Q49" s="2" t="str">
        <f t="shared" si="21"/>
        <v>Production</v>
      </c>
      <c r="S49" s="2" t="s">
        <v>368</v>
      </c>
      <c r="T49" s="2">
        <v>118.989985639042</v>
      </c>
      <c r="U49" s="2" t="s">
        <v>342</v>
      </c>
      <c r="V49" s="2">
        <v>1080.3943811165707</v>
      </c>
      <c r="W49" s="2" t="str">
        <f t="shared" si="22"/>
        <v>Production</v>
      </c>
    </row>
    <row r="50" spans="1:23" ht="15.75" customHeight="1">
      <c r="A50" s="2" t="s">
        <v>370</v>
      </c>
      <c r="B50" s="21">
        <v>11.8989985639042</v>
      </c>
      <c r="C50" s="2" t="s">
        <v>333</v>
      </c>
      <c r="D50" s="6">
        <v>402.7215894767653</v>
      </c>
      <c r="E50" s="2" t="str">
        <f t="shared" si="19"/>
        <v>Production</v>
      </c>
      <c r="G50" s="2" t="s">
        <v>369</v>
      </c>
      <c r="H50" s="23">
        <v>0.99158321365868596</v>
      </c>
      <c r="I50" s="23" t="s">
        <v>333</v>
      </c>
      <c r="J50" s="23">
        <v>858.69327569628217</v>
      </c>
      <c r="K50" s="2" t="str">
        <f t="shared" si="20"/>
        <v>Production</v>
      </c>
      <c r="M50" s="2" t="s">
        <v>371</v>
      </c>
      <c r="N50" s="2">
        <v>39.663328546347401</v>
      </c>
      <c r="O50" s="2" t="s">
        <v>342</v>
      </c>
      <c r="P50" s="2">
        <v>773.77651485614399</v>
      </c>
      <c r="Q50" s="2" t="str">
        <f t="shared" si="21"/>
        <v>Production</v>
      </c>
      <c r="S50" s="2" t="s">
        <v>365</v>
      </c>
      <c r="T50" s="2">
        <v>39.663328546347401</v>
      </c>
      <c r="U50" s="2" t="s">
        <v>342</v>
      </c>
      <c r="V50" s="2">
        <v>1005.3869041115076</v>
      </c>
      <c r="W50" s="2" t="str">
        <f t="shared" si="22"/>
        <v>Production</v>
      </c>
    </row>
    <row r="51" spans="1:23" ht="13">
      <c r="A51" s="2" t="s">
        <v>372</v>
      </c>
      <c r="B51" s="21">
        <v>396.63328546347401</v>
      </c>
      <c r="C51" s="2" t="s">
        <v>342</v>
      </c>
      <c r="D51" s="6">
        <v>396.61826232829128</v>
      </c>
      <c r="E51" s="2" t="str">
        <f t="shared" si="19"/>
        <v>Production</v>
      </c>
      <c r="G51" s="2" t="s">
        <v>370</v>
      </c>
      <c r="H51" s="23">
        <v>11.8989985639042</v>
      </c>
      <c r="I51" s="23" t="s">
        <v>333</v>
      </c>
      <c r="J51" s="23">
        <v>403.1346396988788</v>
      </c>
      <c r="K51" s="2" t="str">
        <f t="shared" si="20"/>
        <v>Production</v>
      </c>
      <c r="M51" s="2" t="s">
        <v>373</v>
      </c>
      <c r="N51" s="2">
        <v>23.797997127808401</v>
      </c>
      <c r="O51" s="2" t="s">
        <v>333</v>
      </c>
      <c r="P51" s="2">
        <v>690.90837215423971</v>
      </c>
      <c r="Q51" s="2" t="str">
        <f t="shared" si="21"/>
        <v>Production</v>
      </c>
      <c r="S51" s="2" t="s">
        <v>371</v>
      </c>
      <c r="T51" s="2">
        <v>39.663328546347401</v>
      </c>
      <c r="U51" s="2" t="s">
        <v>342</v>
      </c>
      <c r="V51" s="2">
        <v>774.05064732523465</v>
      </c>
      <c r="W51" s="2" t="str">
        <f t="shared" si="22"/>
        <v>Production</v>
      </c>
    </row>
    <row r="52" spans="1:23" ht="13">
      <c r="A52" s="2" t="s">
        <v>371</v>
      </c>
      <c r="B52" s="21">
        <v>19.831664273173701</v>
      </c>
      <c r="C52" s="2" t="s">
        <v>342</v>
      </c>
      <c r="D52" s="6">
        <v>386.79395429402541</v>
      </c>
      <c r="E52" s="2" t="str">
        <f t="shared" si="19"/>
        <v>Production</v>
      </c>
      <c r="G52" s="2" t="s">
        <v>371</v>
      </c>
      <c r="H52" s="23">
        <v>19.831664273173701</v>
      </c>
      <c r="I52" s="23" t="s">
        <v>342</v>
      </c>
      <c r="J52" s="23">
        <v>386.85967899110102</v>
      </c>
      <c r="K52" s="2" t="str">
        <f t="shared" si="20"/>
        <v>Production</v>
      </c>
      <c r="M52" s="2" t="s">
        <v>370</v>
      </c>
      <c r="N52" s="2">
        <v>11.8989985639042</v>
      </c>
      <c r="O52" s="2" t="s">
        <v>333</v>
      </c>
      <c r="P52" s="2">
        <v>402.6383377163732</v>
      </c>
      <c r="Q52" s="2" t="str">
        <f t="shared" si="21"/>
        <v>Production</v>
      </c>
      <c r="S52" s="2" t="s">
        <v>373</v>
      </c>
      <c r="T52" s="2">
        <v>23.797997127808401</v>
      </c>
      <c r="U52" s="2" t="s">
        <v>333</v>
      </c>
      <c r="V52" s="2">
        <v>691.73479409687661</v>
      </c>
      <c r="W52" s="2" t="str">
        <f t="shared" si="22"/>
        <v>Production</v>
      </c>
    </row>
    <row r="53" spans="1:23" ht="13">
      <c r="A53" s="2" t="s">
        <v>373</v>
      </c>
      <c r="B53" s="21">
        <v>11.8989985639042</v>
      </c>
      <c r="C53" s="2" t="s">
        <v>333</v>
      </c>
      <c r="D53" s="6">
        <v>345.45408609503136</v>
      </c>
      <c r="E53" s="2" t="str">
        <f t="shared" si="19"/>
        <v>Production</v>
      </c>
      <c r="G53" s="2" t="s">
        <v>373</v>
      </c>
      <c r="H53" s="23">
        <v>11.8989985639042</v>
      </c>
      <c r="I53" s="23" t="s">
        <v>333</v>
      </c>
      <c r="J53" s="23">
        <v>345.7956051252952</v>
      </c>
      <c r="K53" s="2" t="str">
        <f t="shared" si="20"/>
        <v>Production</v>
      </c>
      <c r="M53" s="2" t="s">
        <v>372</v>
      </c>
      <c r="N53" s="2">
        <v>396.63328546347401</v>
      </c>
      <c r="O53" s="2" t="s">
        <v>342</v>
      </c>
      <c r="P53" s="2">
        <v>396.56425232568154</v>
      </c>
      <c r="Q53" s="2" t="str">
        <f t="shared" si="21"/>
        <v>Production</v>
      </c>
      <c r="S53" s="2" t="s">
        <v>370</v>
      </c>
      <c r="T53" s="2">
        <v>11.8989985639042</v>
      </c>
      <c r="U53" s="2" t="s">
        <v>333</v>
      </c>
      <c r="V53" s="2">
        <v>403.1532619909143</v>
      </c>
      <c r="W53" s="2" t="str">
        <f t="shared" si="22"/>
        <v>Production</v>
      </c>
    </row>
    <row r="54" spans="1:23" ht="13">
      <c r="A54" s="2" t="s">
        <v>374</v>
      </c>
      <c r="B54" s="21">
        <v>29.747496409760501</v>
      </c>
      <c r="C54" s="2" t="s">
        <v>333</v>
      </c>
      <c r="D54" s="6">
        <v>268.50883901650371</v>
      </c>
      <c r="E54" s="2" t="str">
        <f t="shared" si="19"/>
        <v>Production</v>
      </c>
      <c r="G54" s="2" t="s">
        <v>375</v>
      </c>
      <c r="H54" s="23">
        <v>226.08097271418001</v>
      </c>
      <c r="I54" s="23" t="s">
        <v>333</v>
      </c>
      <c r="J54" s="23">
        <v>273.95521467588958</v>
      </c>
      <c r="K54" s="2" t="str">
        <f t="shared" si="20"/>
        <v>Production</v>
      </c>
      <c r="M54" s="2" t="s">
        <v>374</v>
      </c>
      <c r="N54" s="2">
        <v>29.747496409760501</v>
      </c>
      <c r="O54" s="2" t="s">
        <v>333</v>
      </c>
      <c r="P54" s="2">
        <v>268.45580447540692</v>
      </c>
      <c r="Q54" s="2" t="str">
        <f t="shared" si="21"/>
        <v>Production</v>
      </c>
      <c r="S54" s="2" t="s">
        <v>375</v>
      </c>
      <c r="T54" s="2">
        <v>226.08097271418001</v>
      </c>
      <c r="U54" s="2" t="s">
        <v>333</v>
      </c>
      <c r="V54" s="2">
        <v>273.97118638715915</v>
      </c>
      <c r="W54" s="2" t="str">
        <f t="shared" si="22"/>
        <v>Production</v>
      </c>
    </row>
    <row r="55" spans="1:23" ht="13">
      <c r="A55" s="2" t="s">
        <v>376</v>
      </c>
      <c r="B55" s="21">
        <v>349.85611399543399</v>
      </c>
      <c r="C55" s="2" t="s">
        <v>377</v>
      </c>
      <c r="D55" s="6">
        <v>241.88839657537164</v>
      </c>
      <c r="E55" s="2" t="str">
        <f t="shared" si="19"/>
        <v>EoL</v>
      </c>
      <c r="G55" s="2" t="s">
        <v>374</v>
      </c>
      <c r="H55" s="23">
        <v>29.747496409760501</v>
      </c>
      <c r="I55" s="23" t="s">
        <v>333</v>
      </c>
      <c r="J55" s="23">
        <v>268.76489492680491</v>
      </c>
      <c r="K55" s="2" t="str">
        <f t="shared" si="20"/>
        <v>Production</v>
      </c>
      <c r="M55" s="2" t="s">
        <v>376</v>
      </c>
      <c r="N55" s="2">
        <v>349.85611399543399</v>
      </c>
      <c r="O55" s="2" t="s">
        <v>377</v>
      </c>
      <c r="P55" s="2">
        <v>241.83908433447598</v>
      </c>
      <c r="Q55" s="2" t="str">
        <f t="shared" si="21"/>
        <v>EoL</v>
      </c>
      <c r="S55" s="2" t="s">
        <v>374</v>
      </c>
      <c r="T55" s="2">
        <v>29.747496409760501</v>
      </c>
      <c r="U55" s="2" t="s">
        <v>333</v>
      </c>
      <c r="V55" s="2">
        <v>268.7782260644293</v>
      </c>
      <c r="W55" s="2" t="str">
        <f t="shared" si="22"/>
        <v>Production</v>
      </c>
    </row>
    <row r="56" spans="1:23" ht="13">
      <c r="A56" s="2" t="s">
        <v>378</v>
      </c>
      <c r="B56" s="21">
        <v>138.002827124638</v>
      </c>
      <c r="C56" s="2" t="s">
        <v>377</v>
      </c>
      <c r="D56" s="6">
        <v>240.69082282368612</v>
      </c>
      <c r="E56" s="2" t="str">
        <f t="shared" si="19"/>
        <v>EoL</v>
      </c>
      <c r="G56" s="2" t="s">
        <v>379</v>
      </c>
      <c r="H56" s="23">
        <v>0.99158321365868596</v>
      </c>
      <c r="I56" s="23" t="s">
        <v>333</v>
      </c>
      <c r="J56" s="23">
        <v>191.76666685156624</v>
      </c>
      <c r="K56" s="2" t="str">
        <f t="shared" si="20"/>
        <v>Production</v>
      </c>
      <c r="M56" s="2" t="s">
        <v>378</v>
      </c>
      <c r="N56" s="2">
        <v>138.002827124638</v>
      </c>
      <c r="O56" s="2" t="s">
        <v>377</v>
      </c>
      <c r="P56" s="2">
        <v>240.64331897835018</v>
      </c>
      <c r="Q56" s="2" t="str">
        <f t="shared" si="21"/>
        <v>EoL</v>
      </c>
      <c r="S56" s="2" t="s">
        <v>379</v>
      </c>
      <c r="T56" s="2">
        <v>0.99158321365868596</v>
      </c>
      <c r="U56" s="2" t="s">
        <v>333</v>
      </c>
      <c r="V56" s="2">
        <v>191.79822519892721</v>
      </c>
      <c r="W56" s="2" t="str">
        <f t="shared" si="22"/>
        <v>Production</v>
      </c>
    </row>
    <row r="57" spans="1:23" ht="13">
      <c r="A57" s="2" t="s">
        <v>379</v>
      </c>
      <c r="B57" s="21">
        <v>0.99158321365868596</v>
      </c>
      <c r="C57" s="2" t="s">
        <v>333</v>
      </c>
      <c r="D57" s="6">
        <v>191.70351255817613</v>
      </c>
      <c r="E57" s="2" t="str">
        <f t="shared" si="19"/>
        <v>Production</v>
      </c>
      <c r="G57" s="2" t="s">
        <v>376</v>
      </c>
      <c r="H57" s="23">
        <v>255.99227853324399</v>
      </c>
      <c r="I57" s="23" t="s">
        <v>377</v>
      </c>
      <c r="J57" s="23">
        <v>176.87794191395398</v>
      </c>
      <c r="K57" s="2" t="str">
        <f t="shared" si="20"/>
        <v>EoL</v>
      </c>
      <c r="M57" s="2" t="s">
        <v>379</v>
      </c>
      <c r="N57" s="2">
        <v>0.99158321365868596</v>
      </c>
      <c r="O57" s="2" t="s">
        <v>333</v>
      </c>
      <c r="P57" s="2">
        <v>191.70454896808462</v>
      </c>
      <c r="Q57" s="2" t="str">
        <f t="shared" si="21"/>
        <v>Production</v>
      </c>
      <c r="S57" s="2" t="s">
        <v>376</v>
      </c>
      <c r="T57" s="2">
        <v>255.99227853324399</v>
      </c>
      <c r="U57" s="2" t="s">
        <v>377</v>
      </c>
      <c r="V57" s="2">
        <v>176.87828317607526</v>
      </c>
      <c r="W57" s="2" t="str">
        <f t="shared" si="22"/>
        <v>EoL</v>
      </c>
    </row>
    <row r="58" spans="1:23" ht="13">
      <c r="A58" s="2" t="s">
        <v>380</v>
      </c>
      <c r="B58" s="21">
        <v>1.9831664273173699</v>
      </c>
      <c r="C58" s="2" t="s">
        <v>333</v>
      </c>
      <c r="D58" s="6">
        <v>124.92373780180772</v>
      </c>
      <c r="E58" s="2" t="str">
        <f t="shared" si="19"/>
        <v>Production</v>
      </c>
      <c r="G58" s="2" t="s">
        <v>378</v>
      </c>
      <c r="H58" s="23">
        <v>100.97767838388199</v>
      </c>
      <c r="I58" s="23" t="s">
        <v>377</v>
      </c>
      <c r="J58" s="23">
        <v>175.98905497413364</v>
      </c>
      <c r="K58" s="2" t="str">
        <f t="shared" si="20"/>
        <v>EoL</v>
      </c>
      <c r="M58" s="2" t="s">
        <v>381</v>
      </c>
      <c r="N58" s="2">
        <v>11.8989985639042</v>
      </c>
      <c r="O58" s="2" t="s">
        <v>342</v>
      </c>
      <c r="P58" s="2">
        <v>98.620481728234367</v>
      </c>
      <c r="Q58" s="2" t="str">
        <f t="shared" si="21"/>
        <v>Production</v>
      </c>
      <c r="S58" s="2" t="s">
        <v>378</v>
      </c>
      <c r="T58" s="2">
        <v>100.97767838388199</v>
      </c>
      <c r="U58" s="2" t="s">
        <v>377</v>
      </c>
      <c r="V58" s="2">
        <v>175.9897745859885</v>
      </c>
      <c r="W58" s="2" t="str">
        <f t="shared" si="22"/>
        <v>EoL</v>
      </c>
    </row>
    <row r="59" spans="1:23" ht="13">
      <c r="A59" s="2" t="s">
        <v>381</v>
      </c>
      <c r="B59" s="21">
        <v>11.8989985639042</v>
      </c>
      <c r="C59" s="2" t="s">
        <v>342</v>
      </c>
      <c r="D59" s="6">
        <v>98.643167541492829</v>
      </c>
      <c r="E59" s="2" t="str">
        <f t="shared" si="19"/>
        <v>Production</v>
      </c>
      <c r="G59" s="2" t="s">
        <v>382</v>
      </c>
      <c r="H59" s="23">
        <v>694.10824956108002</v>
      </c>
      <c r="I59" s="23" t="s">
        <v>342</v>
      </c>
      <c r="J59" s="23">
        <v>149.43155546033907</v>
      </c>
      <c r="K59" s="2" t="str">
        <f t="shared" si="20"/>
        <v>Production</v>
      </c>
      <c r="M59" s="2" t="s">
        <v>383</v>
      </c>
      <c r="N59" s="2">
        <v>5.94949928195211</v>
      </c>
      <c r="O59" s="2" t="s">
        <v>333</v>
      </c>
      <c r="P59" s="2">
        <v>96.244340684852077</v>
      </c>
      <c r="Q59" s="2" t="str">
        <f t="shared" si="21"/>
        <v>EoL</v>
      </c>
      <c r="S59" s="2" t="s">
        <v>382</v>
      </c>
      <c r="T59" s="2">
        <v>694.10824956108002</v>
      </c>
      <c r="U59" s="2" t="s">
        <v>342</v>
      </c>
      <c r="V59" s="2">
        <v>149.4575380550742</v>
      </c>
      <c r="W59" s="2" t="str">
        <f t="shared" si="22"/>
        <v>Production</v>
      </c>
    </row>
    <row r="60" spans="1:23" ht="13">
      <c r="A60" s="2" t="s">
        <v>384</v>
      </c>
      <c r="B60" s="21">
        <v>17.848497845856301</v>
      </c>
      <c r="C60" s="2" t="s">
        <v>333</v>
      </c>
      <c r="D60" s="6">
        <v>77.806506201338735</v>
      </c>
      <c r="E60" s="2" t="str">
        <f t="shared" si="19"/>
        <v>Production</v>
      </c>
      <c r="G60" s="2" t="s">
        <v>385</v>
      </c>
      <c r="H60" s="23">
        <v>148.73748204880201</v>
      </c>
      <c r="I60" s="23" t="s">
        <v>333</v>
      </c>
      <c r="J60" s="23">
        <v>129.22187233158948</v>
      </c>
      <c r="K60" s="2" t="str">
        <f t="shared" si="20"/>
        <v>Production</v>
      </c>
      <c r="M60" s="2" t="s">
        <v>386</v>
      </c>
      <c r="N60" s="2">
        <v>5.94949928195211</v>
      </c>
      <c r="O60" s="2" t="s">
        <v>333</v>
      </c>
      <c r="P60" s="2">
        <v>92.758616983111978</v>
      </c>
      <c r="Q60" s="2" t="str">
        <f t="shared" si="21"/>
        <v>Production</v>
      </c>
      <c r="S60" s="2" t="s">
        <v>385</v>
      </c>
      <c r="T60" s="2">
        <v>148.73748204880201</v>
      </c>
      <c r="U60" s="2" t="s">
        <v>333</v>
      </c>
      <c r="V60" s="2">
        <v>129.22863508213544</v>
      </c>
      <c r="W60" s="2" t="str">
        <f t="shared" si="22"/>
        <v>Production</v>
      </c>
    </row>
    <row r="61" spans="1:23" ht="13">
      <c r="A61" s="2" t="s">
        <v>387</v>
      </c>
      <c r="B61" s="21">
        <v>135.84690027123901</v>
      </c>
      <c r="C61" s="2" t="s">
        <v>388</v>
      </c>
      <c r="D61" s="6">
        <v>65.017406160960618</v>
      </c>
      <c r="E61" s="2" t="str">
        <f t="shared" si="19"/>
        <v>Production</v>
      </c>
      <c r="G61" s="2" t="s">
        <v>380</v>
      </c>
      <c r="H61" s="23">
        <v>1.9831664273173699</v>
      </c>
      <c r="I61" s="23" t="s">
        <v>333</v>
      </c>
      <c r="J61" s="23">
        <v>125.0399491490322</v>
      </c>
      <c r="K61" s="2" t="str">
        <f t="shared" si="20"/>
        <v>Production</v>
      </c>
      <c r="M61" s="2" t="s">
        <v>384</v>
      </c>
      <c r="N61" s="2">
        <v>17.848497845856301</v>
      </c>
      <c r="O61" s="2" t="s">
        <v>333</v>
      </c>
      <c r="P61" s="2">
        <v>77.798222145572197</v>
      </c>
      <c r="Q61" s="2" t="str">
        <f t="shared" si="21"/>
        <v>Production</v>
      </c>
      <c r="S61" s="2" t="s">
        <v>381</v>
      </c>
      <c r="T61" s="2">
        <v>11.8989985639042</v>
      </c>
      <c r="U61" s="2" t="s">
        <v>342</v>
      </c>
      <c r="V61" s="2">
        <v>98.776894262661415</v>
      </c>
      <c r="W61" s="2" t="str">
        <f t="shared" si="22"/>
        <v>Production</v>
      </c>
    </row>
    <row r="62" spans="1:23" ht="13">
      <c r="A62" s="2" t="s">
        <v>389</v>
      </c>
      <c r="B62" s="21">
        <v>0.99158321365868596</v>
      </c>
      <c r="C62" s="2" t="s">
        <v>333</v>
      </c>
      <c r="D62" s="6">
        <v>54.823412440245811</v>
      </c>
      <c r="E62" s="2" t="str">
        <f t="shared" si="19"/>
        <v>Production</v>
      </c>
      <c r="G62" s="2" t="s">
        <v>381</v>
      </c>
      <c r="H62" s="23">
        <v>11.8989985639042</v>
      </c>
      <c r="I62" s="23" t="s">
        <v>342</v>
      </c>
      <c r="J62" s="23">
        <v>98.770367934849531</v>
      </c>
      <c r="K62" s="2" t="str">
        <f t="shared" si="20"/>
        <v>Production</v>
      </c>
      <c r="M62" s="2" t="s">
        <v>387</v>
      </c>
      <c r="N62" s="2">
        <v>135.84690027123901</v>
      </c>
      <c r="O62" s="2" t="s">
        <v>388</v>
      </c>
      <c r="P62" s="2">
        <v>65.004582508444869</v>
      </c>
      <c r="Q62" s="2" t="str">
        <f t="shared" si="21"/>
        <v>Production</v>
      </c>
      <c r="S62" s="2" t="s">
        <v>383</v>
      </c>
      <c r="T62" s="2">
        <v>5.94949928195211</v>
      </c>
      <c r="U62" s="2" t="s">
        <v>333</v>
      </c>
      <c r="V62" s="2">
        <v>96.27698798654022</v>
      </c>
      <c r="W62" s="2" t="str">
        <f t="shared" si="22"/>
        <v>EoL</v>
      </c>
    </row>
    <row r="63" spans="1:23" ht="13">
      <c r="A63" s="2" t="s">
        <v>382</v>
      </c>
      <c r="B63" s="21">
        <v>198.31664273173701</v>
      </c>
      <c r="C63" s="2" t="s">
        <v>342</v>
      </c>
      <c r="D63" s="6">
        <v>42.657111033732683</v>
      </c>
      <c r="E63" s="2" t="str">
        <f t="shared" si="19"/>
        <v>Production</v>
      </c>
      <c r="G63" s="2" t="s">
        <v>384</v>
      </c>
      <c r="H63" s="23">
        <v>17.848497845856301</v>
      </c>
      <c r="I63" s="23" t="s">
        <v>333</v>
      </c>
      <c r="J63" s="23">
        <v>77.880323968348165</v>
      </c>
      <c r="K63" s="2" t="str">
        <f t="shared" si="20"/>
        <v>Production</v>
      </c>
      <c r="M63" s="2" t="s">
        <v>389</v>
      </c>
      <c r="N63" s="2">
        <v>0.99158321365868596</v>
      </c>
      <c r="O63" s="2" t="s">
        <v>333</v>
      </c>
      <c r="P63" s="2">
        <v>54.821559385144695</v>
      </c>
      <c r="Q63" s="2" t="str">
        <f t="shared" si="21"/>
        <v>Production</v>
      </c>
      <c r="S63" s="2" t="s">
        <v>386</v>
      </c>
      <c r="T63" s="2">
        <v>5.94949928195211</v>
      </c>
      <c r="U63" s="2" t="s">
        <v>333</v>
      </c>
      <c r="V63" s="2">
        <v>92.830336765239281</v>
      </c>
      <c r="W63" s="2" t="str">
        <f t="shared" si="22"/>
        <v>Production</v>
      </c>
    </row>
    <row r="64" spans="1:23" ht="13">
      <c r="A64" s="2" t="s">
        <v>390</v>
      </c>
      <c r="B64" s="21">
        <v>17.848497845856301</v>
      </c>
      <c r="C64" s="2" t="s">
        <v>333</v>
      </c>
      <c r="D64" s="6">
        <v>33.812767396262267</v>
      </c>
      <c r="E64" s="2" t="str">
        <f t="shared" si="19"/>
        <v>Production</v>
      </c>
      <c r="G64" s="2" t="s">
        <v>387</v>
      </c>
      <c r="H64" s="23">
        <v>135.84690027123901</v>
      </c>
      <c r="I64" s="23" t="s">
        <v>388</v>
      </c>
      <c r="J64" s="23">
        <v>64.978196232770017</v>
      </c>
      <c r="K64" s="2" t="str">
        <f t="shared" si="20"/>
        <v>Production</v>
      </c>
      <c r="M64" s="2" t="s">
        <v>382</v>
      </c>
      <c r="N64" s="2">
        <v>198.31664273173701</v>
      </c>
      <c r="O64" s="2" t="s">
        <v>342</v>
      </c>
      <c r="P64" s="2">
        <v>42.662582366180942</v>
      </c>
      <c r="Q64" s="2" t="str">
        <f t="shared" si="21"/>
        <v>Production</v>
      </c>
      <c r="S64" s="2" t="s">
        <v>384</v>
      </c>
      <c r="T64" s="2">
        <v>17.848497845856301</v>
      </c>
      <c r="U64" s="2" t="s">
        <v>333</v>
      </c>
      <c r="V64" s="2">
        <v>77.891183029639421</v>
      </c>
      <c r="W64" s="2" t="str">
        <f t="shared" si="22"/>
        <v>Production</v>
      </c>
    </row>
    <row r="65" spans="1:23" ht="13">
      <c r="A65" s="2" t="s">
        <v>391</v>
      </c>
      <c r="B65" s="21">
        <v>0.99158321365868596</v>
      </c>
      <c r="C65" s="2" t="s">
        <v>333</v>
      </c>
      <c r="D65" s="6">
        <v>25.023465242744496</v>
      </c>
      <c r="E65" s="2" t="str">
        <f t="shared" si="19"/>
        <v>Production</v>
      </c>
      <c r="G65" s="2" t="s">
        <v>389</v>
      </c>
      <c r="H65" s="23">
        <v>0.99158321365868596</v>
      </c>
      <c r="I65" s="23" t="s">
        <v>333</v>
      </c>
      <c r="J65" s="23">
        <v>54.872527032704205</v>
      </c>
      <c r="K65" s="2" t="str">
        <f t="shared" si="20"/>
        <v>Production</v>
      </c>
      <c r="M65" s="2" t="s">
        <v>390</v>
      </c>
      <c r="N65" s="2">
        <v>17.848497845856301</v>
      </c>
      <c r="O65" s="2" t="s">
        <v>333</v>
      </c>
      <c r="P65" s="2">
        <v>33.822954578606925</v>
      </c>
      <c r="Q65" s="2" t="str">
        <f t="shared" si="21"/>
        <v>Production</v>
      </c>
      <c r="S65" s="2" t="s">
        <v>387</v>
      </c>
      <c r="T65" s="2">
        <v>135.84690027123901</v>
      </c>
      <c r="U65" s="2" t="s">
        <v>388</v>
      </c>
      <c r="V65" s="2">
        <v>64.978484871222619</v>
      </c>
      <c r="W65" s="2" t="str">
        <f t="shared" si="22"/>
        <v>Production</v>
      </c>
    </row>
    <row r="66" spans="1:23" ht="13">
      <c r="A66" s="2" t="s">
        <v>392</v>
      </c>
      <c r="B66" s="21">
        <v>17.848497845856301</v>
      </c>
      <c r="C66" s="2" t="s">
        <v>333</v>
      </c>
      <c r="D66" s="6">
        <v>14.876749997447687</v>
      </c>
      <c r="E66" s="2" t="str">
        <f t="shared" si="19"/>
        <v>EoL</v>
      </c>
      <c r="G66" s="2" t="s">
        <v>390</v>
      </c>
      <c r="H66" s="23">
        <v>17.848497845856301</v>
      </c>
      <c r="I66" s="23" t="s">
        <v>333</v>
      </c>
      <c r="J66" s="23">
        <v>33.842876891922998</v>
      </c>
      <c r="K66" s="2" t="str">
        <f t="shared" si="20"/>
        <v>Production</v>
      </c>
      <c r="M66" s="2" t="s">
        <v>393</v>
      </c>
      <c r="N66" s="2">
        <v>11.8989985639042</v>
      </c>
      <c r="O66" s="2" t="s">
        <v>333</v>
      </c>
      <c r="P66" s="2">
        <v>14.879900093007775</v>
      </c>
      <c r="Q66" s="2" t="str">
        <f t="shared" si="21"/>
        <v>Production</v>
      </c>
      <c r="S66" s="2" t="s">
        <v>389</v>
      </c>
      <c r="T66" s="2">
        <v>0.99158321365868596</v>
      </c>
      <c r="U66" s="2" t="s">
        <v>333</v>
      </c>
      <c r="V66" s="2">
        <v>54.884070318103944</v>
      </c>
      <c r="W66" s="2" t="str">
        <f t="shared" si="22"/>
        <v>Production</v>
      </c>
    </row>
    <row r="67" spans="1:23" ht="13">
      <c r="A67" s="2" t="s">
        <v>394</v>
      </c>
      <c r="B67" s="21">
        <v>9.9158321365868591</v>
      </c>
      <c r="C67" s="2" t="s">
        <v>342</v>
      </c>
      <c r="D67" s="6">
        <v>12.217553468946376</v>
      </c>
      <c r="E67" s="2" t="str">
        <f t="shared" si="19"/>
        <v>Production</v>
      </c>
      <c r="G67" s="2" t="s">
        <v>395</v>
      </c>
      <c r="H67" s="23">
        <v>694.10824956108002</v>
      </c>
      <c r="I67" s="23" t="s">
        <v>342</v>
      </c>
      <c r="J67" s="23">
        <v>31.569850865046117</v>
      </c>
      <c r="K67" s="2" t="str">
        <f t="shared" si="20"/>
        <v>EoL</v>
      </c>
      <c r="M67" s="2" t="s">
        <v>392</v>
      </c>
      <c r="N67" s="2">
        <v>17.848497845856301</v>
      </c>
      <c r="O67" s="2" t="s">
        <v>333</v>
      </c>
      <c r="P67" s="2">
        <v>14.874016159538268</v>
      </c>
      <c r="Q67" s="2" t="str">
        <f t="shared" si="21"/>
        <v>EoL</v>
      </c>
      <c r="S67" s="2" t="s">
        <v>390</v>
      </c>
      <c r="T67" s="2">
        <v>17.848497845856301</v>
      </c>
      <c r="U67" s="2" t="s">
        <v>333</v>
      </c>
      <c r="V67" s="2">
        <v>33.86120232920527</v>
      </c>
      <c r="W67" s="2" t="str">
        <f t="shared" si="22"/>
        <v>Production</v>
      </c>
    </row>
    <row r="68" spans="1:23" ht="13">
      <c r="A68" s="2" t="s">
        <v>395</v>
      </c>
      <c r="B68" s="21">
        <v>198.31664273173701</v>
      </c>
      <c r="C68" s="2" t="s">
        <v>342</v>
      </c>
      <c r="D68" s="23">
        <v>9.0120158816620286</v>
      </c>
      <c r="E68" s="2" t="str">
        <f t="shared" si="19"/>
        <v>EoL</v>
      </c>
      <c r="G68" s="2" t="s">
        <v>391</v>
      </c>
      <c r="H68" s="23">
        <v>0.99158321365868596</v>
      </c>
      <c r="I68" s="23" t="s">
        <v>333</v>
      </c>
      <c r="J68" s="23">
        <v>25.051891184849229</v>
      </c>
      <c r="K68" s="2" t="str">
        <f t="shared" si="20"/>
        <v>Production</v>
      </c>
      <c r="M68" s="2" t="s">
        <v>396</v>
      </c>
      <c r="N68" s="2">
        <v>5.94949928195211</v>
      </c>
      <c r="O68" s="2" t="s">
        <v>333</v>
      </c>
      <c r="P68" s="2">
        <v>12.84333877494265</v>
      </c>
      <c r="Q68" s="2" t="str">
        <f t="shared" si="21"/>
        <v>EoL</v>
      </c>
      <c r="S68" s="2" t="s">
        <v>395</v>
      </c>
      <c r="T68" s="2">
        <v>694.10824956108002</v>
      </c>
      <c r="U68" s="2" t="s">
        <v>342</v>
      </c>
      <c r="V68" s="2">
        <v>31.569995159379857</v>
      </c>
      <c r="W68" s="2" t="str">
        <f t="shared" si="22"/>
        <v>EoL</v>
      </c>
    </row>
    <row r="69" spans="1:23" ht="13">
      <c r="A69" s="2" t="s">
        <v>397</v>
      </c>
      <c r="B69" s="21">
        <v>0.99158321365868596</v>
      </c>
      <c r="C69" s="2" t="s">
        <v>333</v>
      </c>
      <c r="D69" s="23">
        <v>7.6619146728037268</v>
      </c>
      <c r="E69" s="2" t="str">
        <f t="shared" si="19"/>
        <v>EoL</v>
      </c>
      <c r="G69" s="2" t="s">
        <v>394</v>
      </c>
      <c r="H69" s="23">
        <v>19.831664273173701</v>
      </c>
      <c r="I69" s="23" t="s">
        <v>342</v>
      </c>
      <c r="J69" s="23">
        <v>24.493628513547787</v>
      </c>
      <c r="K69" s="2" t="str">
        <f t="shared" si="20"/>
        <v>Production</v>
      </c>
      <c r="M69" s="2" t="s">
        <v>394</v>
      </c>
      <c r="N69" s="2">
        <v>9.9158321365868591</v>
      </c>
      <c r="O69" s="2" t="s">
        <v>342</v>
      </c>
      <c r="P69" s="2">
        <v>12.2233271137708</v>
      </c>
      <c r="Q69" s="2" t="str">
        <f t="shared" si="21"/>
        <v>Production</v>
      </c>
      <c r="S69" s="2" t="s">
        <v>394</v>
      </c>
      <c r="T69" s="2">
        <v>19.831664273173701</v>
      </c>
      <c r="U69" s="2" t="s">
        <v>342</v>
      </c>
      <c r="V69" s="2">
        <v>24.510668525440913</v>
      </c>
      <c r="W69" s="2" t="str">
        <f t="shared" si="22"/>
        <v>Production</v>
      </c>
    </row>
    <row r="70" spans="1:23" ht="13">
      <c r="A70" s="2" t="s">
        <v>398</v>
      </c>
      <c r="B70" s="21">
        <v>17.848497845856301</v>
      </c>
      <c r="C70" s="2" t="s">
        <v>333</v>
      </c>
      <c r="D70" s="23">
        <v>6.6722786035771771</v>
      </c>
      <c r="E70" s="2" t="str">
        <f t="shared" si="19"/>
        <v>Production</v>
      </c>
      <c r="G70" s="2" t="s">
        <v>392</v>
      </c>
      <c r="H70" s="23">
        <v>17.848497845856301</v>
      </c>
      <c r="I70" s="23" t="s">
        <v>333</v>
      </c>
      <c r="J70" s="23">
        <v>14.872772866055303</v>
      </c>
      <c r="K70" s="2" t="str">
        <f t="shared" si="20"/>
        <v>EoL</v>
      </c>
      <c r="M70" s="2" t="s">
        <v>395</v>
      </c>
      <c r="N70" s="2">
        <v>198.31664273173701</v>
      </c>
      <c r="O70" s="2" t="s">
        <v>342</v>
      </c>
      <c r="P70" s="2">
        <v>9.0104491538955376</v>
      </c>
      <c r="Q70" s="2" t="str">
        <f t="shared" si="21"/>
        <v>EoL</v>
      </c>
      <c r="S70" s="2" t="s">
        <v>393</v>
      </c>
      <c r="T70" s="2">
        <v>11.8989985639042</v>
      </c>
      <c r="U70" s="2" t="s">
        <v>333</v>
      </c>
      <c r="V70" s="2">
        <v>14.896775770144515</v>
      </c>
      <c r="W70" s="2" t="str">
        <f t="shared" si="22"/>
        <v>Production</v>
      </c>
    </row>
    <row r="71" spans="1:23" ht="13">
      <c r="A71" s="2" t="s">
        <v>399</v>
      </c>
      <c r="B71" s="21">
        <v>11.8989985639042</v>
      </c>
      <c r="C71" s="2" t="s">
        <v>333</v>
      </c>
      <c r="D71" s="23">
        <v>5.2186859636525256</v>
      </c>
      <c r="E71" s="2" t="str">
        <f t="shared" si="19"/>
        <v>EoL</v>
      </c>
      <c r="G71" s="2" t="s">
        <v>397</v>
      </c>
      <c r="H71" s="23">
        <v>0.99158321365868596</v>
      </c>
      <c r="I71" s="23" t="s">
        <v>333</v>
      </c>
      <c r="J71" s="23">
        <v>7.7005286337647592</v>
      </c>
      <c r="K71" s="2" t="str">
        <f t="shared" si="20"/>
        <v>EoL</v>
      </c>
      <c r="M71" s="2" t="s">
        <v>400</v>
      </c>
      <c r="N71" s="2">
        <v>23.797997127808401</v>
      </c>
      <c r="O71" s="2" t="s">
        <v>333</v>
      </c>
      <c r="P71" s="2">
        <v>6.7616505577856421</v>
      </c>
      <c r="Q71" s="2" t="str">
        <f t="shared" si="21"/>
        <v>EoL</v>
      </c>
      <c r="S71" s="2" t="s">
        <v>392</v>
      </c>
      <c r="T71" s="2">
        <v>17.848497845856301</v>
      </c>
      <c r="U71" s="2" t="s">
        <v>333</v>
      </c>
      <c r="V71" s="2">
        <v>14.873008252730751</v>
      </c>
      <c r="W71" s="2" t="str">
        <f t="shared" si="22"/>
        <v>EoL</v>
      </c>
    </row>
    <row r="72" spans="1:23" ht="13">
      <c r="A72" s="2" t="s">
        <v>401</v>
      </c>
      <c r="B72" s="21">
        <v>0.99158321365868596</v>
      </c>
      <c r="C72" s="2" t="s">
        <v>333</v>
      </c>
      <c r="D72" s="23">
        <v>4.5877632526881644</v>
      </c>
      <c r="E72" s="2" t="str">
        <f t="shared" si="19"/>
        <v>EoL</v>
      </c>
      <c r="G72" s="2" t="s">
        <v>398</v>
      </c>
      <c r="H72" s="23">
        <v>17.848497845856301</v>
      </c>
      <c r="I72" s="23" t="s">
        <v>333</v>
      </c>
      <c r="J72" s="23">
        <v>6.678466414720214</v>
      </c>
      <c r="K72" s="2" t="str">
        <f t="shared" si="20"/>
        <v>Production</v>
      </c>
      <c r="M72" s="2" t="s">
        <v>398</v>
      </c>
      <c r="N72" s="2">
        <v>17.848497845856301</v>
      </c>
      <c r="O72" s="2" t="s">
        <v>333</v>
      </c>
      <c r="P72" s="2">
        <v>6.6711770926691241</v>
      </c>
      <c r="Q72" s="2" t="str">
        <f t="shared" si="21"/>
        <v>Production</v>
      </c>
      <c r="S72" s="2" t="s">
        <v>396</v>
      </c>
      <c r="T72" s="2">
        <v>5.94949928195211</v>
      </c>
      <c r="U72" s="2" t="s">
        <v>333</v>
      </c>
      <c r="V72" s="2">
        <v>12.846161127046219</v>
      </c>
      <c r="W72" s="2" t="str">
        <f t="shared" si="22"/>
        <v>EoL</v>
      </c>
    </row>
    <row r="73" spans="1:23" ht="13">
      <c r="A73" s="2" t="s">
        <v>402</v>
      </c>
      <c r="B73" s="21">
        <v>1.9831664273173699</v>
      </c>
      <c r="C73" s="2" t="s">
        <v>333</v>
      </c>
      <c r="D73" s="23">
        <v>3.5720979580176935</v>
      </c>
      <c r="E73" s="2" t="str">
        <f t="shared" si="19"/>
        <v>Production</v>
      </c>
      <c r="F73" s="2"/>
      <c r="G73" s="2" t="s">
        <v>399</v>
      </c>
      <c r="H73" s="23">
        <v>11.8989985639042</v>
      </c>
      <c r="I73" s="23" t="s">
        <v>333</v>
      </c>
      <c r="J73" s="23">
        <v>5.2499189775623778</v>
      </c>
      <c r="K73" s="2" t="str">
        <f t="shared" si="20"/>
        <v>EoL</v>
      </c>
      <c r="M73" s="2" t="s">
        <v>399</v>
      </c>
      <c r="N73" s="2">
        <v>11.8989985639042</v>
      </c>
      <c r="O73" s="2" t="s">
        <v>333</v>
      </c>
      <c r="P73" s="2">
        <v>5.2177324967140253</v>
      </c>
      <c r="Q73" s="2" t="str">
        <f t="shared" si="21"/>
        <v>EoL</v>
      </c>
      <c r="S73" s="2" t="s">
        <v>400</v>
      </c>
      <c r="T73" s="2">
        <v>23.797997127808401</v>
      </c>
      <c r="U73" s="2" t="s">
        <v>333</v>
      </c>
      <c r="V73" s="2">
        <v>6.8183892853963268</v>
      </c>
      <c r="W73" s="2" t="str">
        <f t="shared" si="22"/>
        <v>EoL</v>
      </c>
    </row>
    <row r="74" spans="1:23" ht="13">
      <c r="A74" s="2" t="s">
        <v>400</v>
      </c>
      <c r="B74" s="21">
        <v>11.8989985639042</v>
      </c>
      <c r="C74" s="2" t="s">
        <v>333</v>
      </c>
      <c r="D74" s="23">
        <v>3.3813558577147043</v>
      </c>
      <c r="E74" s="2" t="str">
        <f t="shared" si="19"/>
        <v>EoL</v>
      </c>
      <c r="G74" s="2" t="s">
        <v>401</v>
      </c>
      <c r="H74" s="23">
        <v>0.99158321365868596</v>
      </c>
      <c r="I74" s="23" t="s">
        <v>333</v>
      </c>
      <c r="J74" s="23">
        <v>4.5885135395542331</v>
      </c>
      <c r="K74" s="2" t="str">
        <f t="shared" si="20"/>
        <v>EoL</v>
      </c>
      <c r="M74" s="2" t="s">
        <v>403</v>
      </c>
      <c r="N74" s="2">
        <v>39.663328546347401</v>
      </c>
      <c r="O74" s="2" t="s">
        <v>342</v>
      </c>
      <c r="P74" s="2">
        <v>4.5818238529431445</v>
      </c>
      <c r="Q74" s="2" t="str">
        <f t="shared" si="21"/>
        <v>EoL</v>
      </c>
      <c r="S74" s="2" t="s">
        <v>398</v>
      </c>
      <c r="T74" s="2">
        <v>17.848497845856301</v>
      </c>
      <c r="U74" s="2" t="s">
        <v>333</v>
      </c>
      <c r="V74" s="2">
        <v>6.6786177675112315</v>
      </c>
      <c r="W74" s="2" t="str">
        <f t="shared" si="22"/>
        <v>Production</v>
      </c>
    </row>
    <row r="75" spans="1:23" ht="13">
      <c r="A75" s="2" t="s">
        <v>404</v>
      </c>
      <c r="B75" s="21">
        <v>0.99158321365868596</v>
      </c>
      <c r="C75" s="2" t="s">
        <v>333</v>
      </c>
      <c r="D75" s="23">
        <v>3.0237774614750657</v>
      </c>
      <c r="E75" s="2" t="str">
        <f t="shared" si="19"/>
        <v>EoL</v>
      </c>
      <c r="G75" s="2" t="s">
        <v>405</v>
      </c>
      <c r="H75" s="23">
        <v>903.93729494290096</v>
      </c>
      <c r="I75" s="23" t="s">
        <v>377</v>
      </c>
      <c r="J75" s="23">
        <v>4.0358026198619745</v>
      </c>
      <c r="K75" s="2" t="str">
        <f t="shared" si="20"/>
        <v>EoL</v>
      </c>
      <c r="M75" s="2" t="s">
        <v>404</v>
      </c>
      <c r="N75" s="2">
        <v>0.99158321365868596</v>
      </c>
      <c r="O75" s="2" t="s">
        <v>333</v>
      </c>
      <c r="P75" s="2">
        <v>3.0231907789097336</v>
      </c>
      <c r="Q75" s="2" t="str">
        <f t="shared" si="21"/>
        <v>EoL</v>
      </c>
      <c r="S75" s="2" t="s">
        <v>399</v>
      </c>
      <c r="T75" s="2">
        <v>11.8989985639042</v>
      </c>
      <c r="U75" s="2" t="s">
        <v>333</v>
      </c>
      <c r="V75" s="2">
        <v>5.2500148520393077</v>
      </c>
      <c r="W75" s="2" t="str">
        <f t="shared" si="22"/>
        <v>EoL</v>
      </c>
    </row>
    <row r="76" spans="1:23" ht="13">
      <c r="A76" s="2" t="s">
        <v>403</v>
      </c>
      <c r="B76" s="21">
        <v>19.831664273173701</v>
      </c>
      <c r="C76" s="2" t="s">
        <v>342</v>
      </c>
      <c r="D76" s="23">
        <v>2.2911869590730558</v>
      </c>
      <c r="E76" s="2" t="str">
        <f t="shared" si="19"/>
        <v>EoL</v>
      </c>
      <c r="G76" s="2" t="s">
        <v>402</v>
      </c>
      <c r="H76" s="23">
        <v>1.9831664273173699</v>
      </c>
      <c r="I76" s="23" t="s">
        <v>333</v>
      </c>
      <c r="J76" s="23">
        <v>3.5759610614629831</v>
      </c>
      <c r="K76" s="2" t="str">
        <f t="shared" si="20"/>
        <v>Production</v>
      </c>
      <c r="M76" s="2" t="s">
        <v>406</v>
      </c>
      <c r="N76" s="2">
        <v>11.8989985639042</v>
      </c>
      <c r="O76" s="2" t="s">
        <v>333</v>
      </c>
      <c r="P76" s="2">
        <v>2.7095507125087743</v>
      </c>
      <c r="Q76" s="2" t="str">
        <f t="shared" si="21"/>
        <v>EoL</v>
      </c>
      <c r="S76" s="2" t="s">
        <v>403</v>
      </c>
      <c r="T76" s="2">
        <v>39.663328546347401</v>
      </c>
      <c r="U76" s="2" t="s">
        <v>342</v>
      </c>
      <c r="V76" s="2">
        <v>4.6191628644710061</v>
      </c>
      <c r="W76" s="2" t="str">
        <f t="shared" si="22"/>
        <v>EoL</v>
      </c>
    </row>
    <row r="77" spans="1:23" ht="13">
      <c r="A77" s="2" t="s">
        <v>407</v>
      </c>
      <c r="B77" s="21">
        <v>1.9831664273173699</v>
      </c>
      <c r="C77" s="2" t="s">
        <v>333</v>
      </c>
      <c r="D77" s="23">
        <v>1.3534897502050698</v>
      </c>
      <c r="E77" s="2" t="str">
        <f t="shared" si="19"/>
        <v>EoL</v>
      </c>
      <c r="G77" s="2" t="s">
        <v>400</v>
      </c>
      <c r="H77" s="23">
        <v>11.8989985639042</v>
      </c>
      <c r="I77" s="23" t="s">
        <v>333</v>
      </c>
      <c r="J77" s="23">
        <v>3.4090428353424058</v>
      </c>
      <c r="K77" s="2" t="str">
        <f t="shared" si="20"/>
        <v>EoL</v>
      </c>
      <c r="M77" s="2" t="s">
        <v>408</v>
      </c>
      <c r="N77" s="2">
        <v>17.848497845856301</v>
      </c>
      <c r="O77" s="2" t="s">
        <v>333</v>
      </c>
      <c r="P77" s="2">
        <v>1.2889636876840167</v>
      </c>
      <c r="Q77" s="2" t="str">
        <f t="shared" si="21"/>
        <v>EoL</v>
      </c>
      <c r="S77" s="2" t="s">
        <v>405</v>
      </c>
      <c r="T77" s="2">
        <v>883.84979949972501</v>
      </c>
      <c r="U77" s="2" t="s">
        <v>377</v>
      </c>
      <c r="V77" s="2">
        <v>3.9461950047177718</v>
      </c>
      <c r="W77" s="2" t="str">
        <f t="shared" si="22"/>
        <v>EoL</v>
      </c>
    </row>
    <row r="78" spans="1:23" ht="13">
      <c r="A78" s="2" t="s">
        <v>408</v>
      </c>
      <c r="B78" s="21">
        <v>17.848497845856301</v>
      </c>
      <c r="C78" s="2" t="s">
        <v>333</v>
      </c>
      <c r="D78" s="23">
        <v>1.2884913803935771</v>
      </c>
      <c r="E78" s="2" t="str">
        <f t="shared" si="19"/>
        <v>EoL</v>
      </c>
      <c r="G78" s="2" t="s">
        <v>404</v>
      </c>
      <c r="H78" s="23">
        <v>0.99158321365868596</v>
      </c>
      <c r="I78" s="23" t="s">
        <v>333</v>
      </c>
      <c r="J78" s="23">
        <v>3.0313220111252899</v>
      </c>
      <c r="K78" s="2" t="str">
        <f t="shared" si="20"/>
        <v>EoL</v>
      </c>
      <c r="M78" s="2" t="s">
        <v>409</v>
      </c>
      <c r="N78" s="2">
        <v>9.9158321365868591</v>
      </c>
      <c r="O78" s="2" t="s">
        <v>342</v>
      </c>
      <c r="P78" s="2">
        <v>1.0197342933719509</v>
      </c>
      <c r="Q78" s="2" t="str">
        <f t="shared" si="21"/>
        <v>EoL</v>
      </c>
      <c r="S78" s="2" t="s">
        <v>404</v>
      </c>
      <c r="T78" s="2">
        <v>0.99158321365868596</v>
      </c>
      <c r="U78" s="2" t="s">
        <v>333</v>
      </c>
      <c r="V78" s="2">
        <v>3.0313491764027347</v>
      </c>
      <c r="W78" s="2" t="str">
        <f t="shared" si="22"/>
        <v>EoL</v>
      </c>
    </row>
    <row r="79" spans="1:23" ht="13">
      <c r="A79" s="2" t="s">
        <v>405</v>
      </c>
      <c r="B79" s="21">
        <v>240.380362136667</v>
      </c>
      <c r="C79" s="2" t="s">
        <v>377</v>
      </c>
      <c r="D79" s="23">
        <v>1.06618354036939</v>
      </c>
      <c r="E79" s="2" t="str">
        <f t="shared" si="19"/>
        <v>EoL</v>
      </c>
      <c r="G79" s="2" t="s">
        <v>403</v>
      </c>
      <c r="H79" s="23">
        <v>19.831664273173701</v>
      </c>
      <c r="I79" s="23" t="s">
        <v>342</v>
      </c>
      <c r="J79" s="23">
        <v>2.3093954145362603</v>
      </c>
      <c r="K79" s="2" t="str">
        <f t="shared" si="20"/>
        <v>EoL</v>
      </c>
      <c r="M79" s="2" t="s">
        <v>405</v>
      </c>
      <c r="N79" s="2">
        <v>220.29286669349099</v>
      </c>
      <c r="O79" s="2" t="s">
        <v>377</v>
      </c>
      <c r="P79" s="2">
        <v>0.97692207760495664</v>
      </c>
      <c r="Q79" s="2" t="str">
        <f t="shared" si="21"/>
        <v>EoL</v>
      </c>
      <c r="S79" s="2" t="s">
        <v>406</v>
      </c>
      <c r="T79" s="2">
        <v>11.8989985639042</v>
      </c>
      <c r="U79" s="2" t="s">
        <v>333</v>
      </c>
      <c r="V79" s="2">
        <v>2.7193955391574525</v>
      </c>
      <c r="W79" s="2" t="str">
        <f t="shared" si="22"/>
        <v>EoL</v>
      </c>
    </row>
    <row r="80" spans="1:23" ht="13">
      <c r="A80" s="2" t="s">
        <v>409</v>
      </c>
      <c r="B80" s="21">
        <v>9.9158321365868591</v>
      </c>
      <c r="C80" s="2" t="s">
        <v>342</v>
      </c>
      <c r="D80" s="23">
        <v>1.0180461860748233</v>
      </c>
      <c r="E80" s="2" t="str">
        <f t="shared" si="19"/>
        <v>EoL</v>
      </c>
      <c r="G80" s="2" t="s">
        <v>409</v>
      </c>
      <c r="H80" s="23">
        <v>19.831664273173701</v>
      </c>
      <c r="I80" s="23" t="s">
        <v>342</v>
      </c>
      <c r="J80" s="23">
        <v>2.0607743344610858</v>
      </c>
      <c r="K80" s="2" t="str">
        <f t="shared" si="20"/>
        <v>EoL</v>
      </c>
      <c r="M80" s="2" t="s">
        <v>410</v>
      </c>
      <c r="N80" s="2">
        <v>0.99158321365868596</v>
      </c>
      <c r="O80" s="2" t="s">
        <v>333</v>
      </c>
      <c r="P80" s="2">
        <v>0.66363602528998789</v>
      </c>
      <c r="Q80" s="2" t="str">
        <f t="shared" si="21"/>
        <v>EoL</v>
      </c>
      <c r="S80" s="2" t="s">
        <v>409</v>
      </c>
      <c r="T80" s="2">
        <v>19.831664273173701</v>
      </c>
      <c r="U80" s="2" t="s">
        <v>342</v>
      </c>
      <c r="V80" s="2">
        <v>2.0618631548041981</v>
      </c>
      <c r="W80" s="2" t="str">
        <f t="shared" si="22"/>
        <v>EoL</v>
      </c>
    </row>
    <row r="81" spans="1:23" ht="13">
      <c r="A81" s="2" t="s">
        <v>410</v>
      </c>
      <c r="B81" s="21">
        <v>0.99158321365868596</v>
      </c>
      <c r="C81" s="2" t="s">
        <v>333</v>
      </c>
      <c r="D81" s="23">
        <v>0.66373064775938606</v>
      </c>
      <c r="E81" s="2" t="str">
        <f t="shared" si="19"/>
        <v>EoL</v>
      </c>
      <c r="G81" s="2" t="s">
        <v>411</v>
      </c>
      <c r="H81" s="23">
        <v>434.70004349632399</v>
      </c>
      <c r="I81" s="23" t="s">
        <v>377</v>
      </c>
      <c r="J81" s="23">
        <v>1.4990893843280046</v>
      </c>
      <c r="K81" s="2" t="str">
        <f t="shared" si="20"/>
        <v>EoL</v>
      </c>
      <c r="M81" s="2" t="s">
        <v>412</v>
      </c>
      <c r="N81" s="2">
        <v>17.848497845856301</v>
      </c>
      <c r="O81" s="2" t="s">
        <v>333</v>
      </c>
      <c r="P81" s="2">
        <v>0.41258317308157616</v>
      </c>
      <c r="Q81" s="2" t="str">
        <f t="shared" si="21"/>
        <v>EoL</v>
      </c>
      <c r="S81" s="2" t="s">
        <v>411</v>
      </c>
      <c r="T81" s="2">
        <v>425.04004252973999</v>
      </c>
      <c r="U81" s="2" t="s">
        <v>377</v>
      </c>
      <c r="V81" s="2">
        <v>1.4658094386558482</v>
      </c>
      <c r="W81" s="2" t="str">
        <f t="shared" si="22"/>
        <v>EoL</v>
      </c>
    </row>
    <row r="82" spans="1:23" ht="13">
      <c r="A82" s="2" t="s">
        <v>412</v>
      </c>
      <c r="B82" s="21">
        <v>17.848497845856301</v>
      </c>
      <c r="C82" s="2" t="s">
        <v>333</v>
      </c>
      <c r="D82" s="23">
        <v>0.41261787820751467</v>
      </c>
      <c r="E82" s="2" t="str">
        <f t="shared" si="19"/>
        <v>EoL</v>
      </c>
      <c r="G82" s="2" t="s">
        <v>407</v>
      </c>
      <c r="H82" s="23">
        <v>1.9831664273173699</v>
      </c>
      <c r="I82" s="23" t="s">
        <v>333</v>
      </c>
      <c r="J82" s="23">
        <v>1.3646212957321324</v>
      </c>
      <c r="K82" s="2" t="str">
        <f t="shared" si="20"/>
        <v>EoL</v>
      </c>
      <c r="M82" s="2" t="s">
        <v>411</v>
      </c>
      <c r="N82" s="2">
        <v>105.93801060021499</v>
      </c>
      <c r="O82" s="2" t="s">
        <v>377</v>
      </c>
      <c r="P82" s="2">
        <v>0.36125295031466281</v>
      </c>
      <c r="Q82" s="2" t="str">
        <f t="shared" si="21"/>
        <v>EoL</v>
      </c>
      <c r="S82" s="2" t="s">
        <v>408</v>
      </c>
      <c r="T82" s="2">
        <v>17.848497845856301</v>
      </c>
      <c r="U82" s="2" t="s">
        <v>333</v>
      </c>
      <c r="V82" s="2">
        <v>1.2913999007665657</v>
      </c>
      <c r="W82" s="2" t="str">
        <f t="shared" si="22"/>
        <v>EoL</v>
      </c>
    </row>
    <row r="83" spans="1:23" ht="13">
      <c r="A83" s="2" t="s">
        <v>411</v>
      </c>
      <c r="B83" s="21">
        <v>115.5980115668</v>
      </c>
      <c r="C83" s="2" t="s">
        <v>377</v>
      </c>
      <c r="D83" s="23">
        <v>0.39434447072120182</v>
      </c>
      <c r="E83" s="2" t="str">
        <f t="shared" si="19"/>
        <v>EoL</v>
      </c>
      <c r="G83" s="2" t="s">
        <v>408</v>
      </c>
      <c r="H83" s="23">
        <v>17.848497845856301</v>
      </c>
      <c r="I83" s="23" t="s">
        <v>333</v>
      </c>
      <c r="J83" s="23">
        <v>1.2907846760602986</v>
      </c>
      <c r="K83" s="2" t="str">
        <f t="shared" si="20"/>
        <v>EoL</v>
      </c>
      <c r="S83" s="2" t="s">
        <v>410</v>
      </c>
      <c r="T83" s="2">
        <v>0.99158321365868596</v>
      </c>
      <c r="U83" s="2" t="s">
        <v>333</v>
      </c>
      <c r="V83" s="2">
        <v>0.66857739690100315</v>
      </c>
      <c r="W83" s="2" t="str">
        <f t="shared" si="22"/>
        <v>EoL</v>
      </c>
    </row>
    <row r="84" spans="1:23" ht="13">
      <c r="A84" s="2" t="s">
        <v>413</v>
      </c>
      <c r="B84" s="21">
        <v>1.9831664273173699</v>
      </c>
      <c r="C84" s="2" t="s">
        <v>333</v>
      </c>
      <c r="D84" s="23">
        <v>8.0414272740876078E-2</v>
      </c>
      <c r="E84" s="2" t="str">
        <f t="shared" si="19"/>
        <v>EoL</v>
      </c>
      <c r="G84" s="2" t="s">
        <v>410</v>
      </c>
      <c r="H84" s="23">
        <v>0.99158321365868596</v>
      </c>
      <c r="I84" s="23" t="s">
        <v>333</v>
      </c>
      <c r="J84" s="23">
        <v>0.66853838355623973</v>
      </c>
      <c r="K84" s="2" t="str">
        <f t="shared" si="20"/>
        <v>EoL</v>
      </c>
      <c r="S84" s="2" t="s">
        <v>412</v>
      </c>
      <c r="T84" s="2">
        <v>17.848497845856301</v>
      </c>
      <c r="U84" s="2" t="s">
        <v>333</v>
      </c>
      <c r="V84" s="2">
        <v>0.41779949182207088</v>
      </c>
      <c r="W84" s="2" t="str">
        <f t="shared" si="22"/>
        <v>EoL</v>
      </c>
    </row>
    <row r="85" spans="1:23" ht="13">
      <c r="A85" s="2"/>
      <c r="C85" s="2"/>
      <c r="E85" s="2"/>
      <c r="G85" s="2" t="s">
        <v>412</v>
      </c>
      <c r="H85" s="23">
        <v>17.848497845856301</v>
      </c>
      <c r="I85" s="23" t="s">
        <v>333</v>
      </c>
      <c r="J85" s="23">
        <v>0.41779866825484102</v>
      </c>
      <c r="K85" s="2" t="str">
        <f t="shared" si="20"/>
        <v>EoL</v>
      </c>
      <c r="S85" s="2"/>
      <c r="U85" s="2"/>
      <c r="W85" s="2"/>
    </row>
    <row r="86" spans="1:23" ht="13">
      <c r="G86" s="2" t="s">
        <v>413</v>
      </c>
      <c r="H86" s="23">
        <v>1.9831664273173699</v>
      </c>
      <c r="I86" s="23" t="s">
        <v>333</v>
      </c>
      <c r="J86" s="23">
        <v>8.1315296276149057E-2</v>
      </c>
      <c r="K86" s="2" t="str">
        <f t="shared" si="20"/>
        <v>EoL</v>
      </c>
    </row>
    <row r="88" spans="1:23" ht="13">
      <c r="A88" s="2" t="s">
        <v>414</v>
      </c>
      <c r="C88" s="2"/>
      <c r="G88" s="2" t="s">
        <v>414</v>
      </c>
      <c r="I88" s="2"/>
      <c r="M88" s="2" t="s">
        <v>414</v>
      </c>
      <c r="O88" s="2"/>
      <c r="S88" s="2" t="s">
        <v>414</v>
      </c>
      <c r="U88" s="2"/>
    </row>
    <row r="89" spans="1:23" ht="13">
      <c r="A89" s="1" t="s">
        <v>415</v>
      </c>
      <c r="B89" s="1" t="s">
        <v>416</v>
      </c>
      <c r="C89" s="1" t="s">
        <v>417</v>
      </c>
      <c r="D89" s="1" t="s">
        <v>418</v>
      </c>
      <c r="G89" s="1" t="s">
        <v>415</v>
      </c>
      <c r="H89" s="1" t="s">
        <v>416</v>
      </c>
      <c r="I89" s="1" t="s">
        <v>417</v>
      </c>
      <c r="J89" s="1" t="s">
        <v>418</v>
      </c>
      <c r="M89" s="1" t="s">
        <v>415</v>
      </c>
      <c r="N89" s="1" t="s">
        <v>416</v>
      </c>
      <c r="O89" s="1" t="s">
        <v>417</v>
      </c>
      <c r="P89" s="1" t="s">
        <v>418</v>
      </c>
      <c r="S89" s="1" t="s">
        <v>415</v>
      </c>
      <c r="T89" s="1" t="s">
        <v>416</v>
      </c>
      <c r="U89" s="1" t="s">
        <v>417</v>
      </c>
      <c r="V89" s="1" t="s">
        <v>418</v>
      </c>
    </row>
    <row r="90" spans="1:23" ht="13">
      <c r="A90" s="2" t="s">
        <v>419</v>
      </c>
      <c r="B90" s="6">
        <f>SUMIF(E47:E84, A90, D47:D84)</f>
        <v>5605.267633359701</v>
      </c>
      <c r="C90" s="21">
        <f>B90/E38</f>
        <v>3.9743242080870278</v>
      </c>
      <c r="D90" s="34">
        <f>B90/B92</f>
        <v>0.91228932156256215</v>
      </c>
      <c r="G90" s="2" t="s">
        <v>419</v>
      </c>
      <c r="H90" s="6">
        <f>SUMIF(K47:K86, G90, J47:J86)</f>
        <v>9478.6287678035824</v>
      </c>
      <c r="I90" s="21">
        <f>H90/K40</f>
        <v>4.1202830573635003</v>
      </c>
      <c r="J90" s="34">
        <f>H90/H92</f>
        <v>0.95592651512729809</v>
      </c>
      <c r="M90" s="2" t="s">
        <v>419</v>
      </c>
      <c r="N90" s="6">
        <f>SUMIF(Q47:Q82, M90, P47:P82)</f>
        <v>6907.0857168069533</v>
      </c>
      <c r="O90" s="21">
        <f>N90/Q37</f>
        <v>4.231530988247771</v>
      </c>
      <c r="P90" s="34">
        <f>N90/N92</f>
        <v>0.91489943546434482</v>
      </c>
      <c r="S90" s="2" t="s">
        <v>419</v>
      </c>
      <c r="T90" s="6">
        <f>SUMIF(W47:W84, S90, V47:V84)</f>
        <v>10782.338529827719</v>
      </c>
      <c r="U90" s="21">
        <f>T90/W39</f>
        <v>4.2746346851521251</v>
      </c>
      <c r="V90" s="34">
        <f>T90/T92</f>
        <v>0.95224576769557445</v>
      </c>
    </row>
    <row r="91" spans="1:23" ht="13">
      <c r="A91" s="2" t="s">
        <v>420</v>
      </c>
      <c r="B91" s="6">
        <f>SUMIF(E47:E84, A91, D47:D84)</f>
        <v>538.90998757204648</v>
      </c>
      <c r="C91" s="21">
        <f>B91/E38</f>
        <v>0.38210539615281558</v>
      </c>
      <c r="D91" s="34">
        <f>B91/B92</f>
        <v>8.7710678437437864E-2</v>
      </c>
      <c r="G91" s="2" t="s">
        <v>420</v>
      </c>
      <c r="H91" s="6">
        <f>SUMIF(K47:K86, G91, J47:J86)</f>
        <v>437.01706668960509</v>
      </c>
      <c r="I91" s="21">
        <f>H91/K40</f>
        <v>0.18996777485116376</v>
      </c>
      <c r="J91" s="34">
        <f>H91/H92</f>
        <v>4.40734848727019E-2</v>
      </c>
      <c r="M91" s="2" t="s">
        <v>420</v>
      </c>
      <c r="N91" s="6">
        <f>SUMIF(Q47:Q82, M91, P47:P82)</f>
        <v>642.47158869226303</v>
      </c>
      <c r="O91" s="21">
        <f>N91/Q37</f>
        <v>0.39360137517981675</v>
      </c>
      <c r="P91" s="34">
        <f>N91/N92</f>
        <v>8.5100564535655177E-2</v>
      </c>
      <c r="S91" s="2" t="s">
        <v>420</v>
      </c>
      <c r="T91" s="6">
        <f>SUMIF(W47:W84, S91, V47:V84)</f>
        <v>540.72416639289497</v>
      </c>
      <c r="U91" s="21">
        <f>T91/W39</f>
        <v>0.21436892102477603</v>
      </c>
      <c r="V91" s="34">
        <f>T91/T92</f>
        <v>4.775423230442561E-2</v>
      </c>
    </row>
    <row r="92" spans="1:23" ht="13">
      <c r="A92" s="4" t="s">
        <v>357</v>
      </c>
      <c r="B92" s="116">
        <f>SUM(D47:D84)</f>
        <v>6144.1776209317477</v>
      </c>
      <c r="C92" s="117">
        <f t="shared" ref="C92:D92" si="23">SUM(C90:C91)</f>
        <v>4.3564296042398434</v>
      </c>
      <c r="D92" s="118">
        <f t="shared" si="23"/>
        <v>1</v>
      </c>
      <c r="G92" s="4" t="s">
        <v>357</v>
      </c>
      <c r="H92" s="116">
        <f t="shared" ref="H92:J92" si="24">SUM(H90:H91)</f>
        <v>9915.6458344931871</v>
      </c>
      <c r="I92" s="117">
        <f t="shared" si="24"/>
        <v>4.3102508322146642</v>
      </c>
      <c r="J92" s="118">
        <f t="shared" si="24"/>
        <v>1</v>
      </c>
      <c r="M92" s="4" t="s">
        <v>357</v>
      </c>
      <c r="N92" s="116">
        <f t="shared" ref="N92:P92" si="25">SUM(N90:N91)</f>
        <v>7549.5573054992165</v>
      </c>
      <c r="O92" s="117">
        <f t="shared" si="25"/>
        <v>4.6251323634275874</v>
      </c>
      <c r="P92" s="118">
        <f t="shared" si="25"/>
        <v>1</v>
      </c>
      <c r="S92" s="4" t="s">
        <v>357</v>
      </c>
      <c r="T92" s="116">
        <f t="shared" ref="T92:V92" si="26">SUM(T90:T91)</f>
        <v>11323.062696220613</v>
      </c>
      <c r="U92" s="117">
        <f t="shared" si="26"/>
        <v>4.489003606176901</v>
      </c>
      <c r="V92" s="118">
        <f t="shared" si="26"/>
        <v>1</v>
      </c>
    </row>
    <row r="93" spans="1:23" ht="13">
      <c r="A93" s="2"/>
      <c r="C93" s="2"/>
    </row>
    <row r="94" spans="1:23" ht="13">
      <c r="A94" s="2"/>
      <c r="C94" s="2"/>
    </row>
    <row r="95" spans="1:23" ht="13">
      <c r="A95" s="2"/>
      <c r="C95" s="2"/>
    </row>
    <row r="96" spans="1:23" ht="13">
      <c r="A96" s="2"/>
      <c r="C96" s="2"/>
      <c r="M96" s="90"/>
    </row>
    <row r="97" spans="1:20" ht="13">
      <c r="A97" s="2"/>
      <c r="C97" s="2"/>
      <c r="M97" s="81"/>
    </row>
    <row r="98" spans="1:20" ht="13">
      <c r="A98" s="2"/>
      <c r="C98" s="2"/>
      <c r="M98" s="81"/>
    </row>
    <row r="99" spans="1:20" ht="13">
      <c r="A99" s="2"/>
      <c r="C99" s="2"/>
      <c r="M99" s="81"/>
      <c r="T99" s="6"/>
    </row>
    <row r="100" spans="1:20" ht="13">
      <c r="A100" s="2"/>
      <c r="C100" s="2"/>
      <c r="M100" s="81"/>
      <c r="T100" s="81"/>
    </row>
    <row r="101" spans="1:20" ht="13">
      <c r="A101" s="2"/>
      <c r="C101" s="2"/>
      <c r="T101" s="81"/>
    </row>
    <row r="102" spans="1:20" ht="13">
      <c r="A102" s="2"/>
      <c r="C102" s="2"/>
    </row>
    <row r="103" spans="1:20" ht="13">
      <c r="A103" s="2"/>
      <c r="C103" s="2"/>
    </row>
    <row r="104" spans="1:20" ht="13">
      <c r="A104" s="2"/>
      <c r="C104" s="2"/>
    </row>
    <row r="105" spans="1:20" ht="13">
      <c r="A105" s="2"/>
      <c r="C105" s="2"/>
    </row>
    <row r="106" spans="1:20" ht="13">
      <c r="A106" s="2"/>
      <c r="C106" s="2"/>
    </row>
    <row r="107" spans="1:20" ht="13">
      <c r="A107" s="2"/>
      <c r="C107" s="2"/>
    </row>
    <row r="108" spans="1:20" ht="13">
      <c r="A108" s="2"/>
      <c r="C108" s="2"/>
    </row>
    <row r="109" spans="1:20" ht="13">
      <c r="A109" s="2"/>
      <c r="C109" s="2"/>
    </row>
    <row r="110" spans="1:20" ht="13">
      <c r="A110" s="2"/>
      <c r="C110" s="2"/>
    </row>
    <row r="111" spans="1:20" ht="13">
      <c r="A111" s="2"/>
      <c r="C111" s="2"/>
    </row>
    <row r="112" spans="1:20" ht="13">
      <c r="A112" s="2"/>
      <c r="C112" s="2"/>
    </row>
    <row r="113" spans="1:20" ht="13">
      <c r="A113" s="2"/>
      <c r="C113" s="2"/>
    </row>
    <row r="114" spans="1:20" ht="13">
      <c r="A114" s="2"/>
      <c r="C114" s="2"/>
    </row>
    <row r="115" spans="1:20" ht="13">
      <c r="A115" s="2"/>
      <c r="C115" s="2"/>
    </row>
    <row r="116" spans="1:20" ht="13">
      <c r="A116" s="2"/>
      <c r="C116" s="2"/>
    </row>
    <row r="117" spans="1:20" ht="13">
      <c r="A117" s="2"/>
      <c r="C117" s="2"/>
    </row>
    <row r="118" spans="1:20" ht="13">
      <c r="A118" s="2"/>
      <c r="C118" s="2"/>
    </row>
    <row r="119" spans="1:20" ht="13">
      <c r="A119" s="2"/>
      <c r="C119" s="2"/>
    </row>
    <row r="120" spans="1:20" ht="13">
      <c r="A120" s="2"/>
      <c r="C120" s="2"/>
    </row>
    <row r="121" spans="1:20" ht="13">
      <c r="A121" s="2"/>
      <c r="C121" s="2"/>
      <c r="M121" s="81"/>
    </row>
    <row r="122" spans="1:20" ht="13">
      <c r="A122" s="2"/>
      <c r="C122" s="2"/>
      <c r="M122" s="81"/>
    </row>
    <row r="123" spans="1:20" ht="13">
      <c r="A123" s="2"/>
      <c r="C123" s="2"/>
      <c r="M123" s="81"/>
    </row>
    <row r="124" spans="1:20" ht="13">
      <c r="A124" s="2"/>
      <c r="C124" s="2"/>
      <c r="M124" s="81"/>
    </row>
    <row r="125" spans="1:20" ht="13">
      <c r="A125" s="2"/>
      <c r="C125" s="2"/>
      <c r="M125" s="81"/>
    </row>
    <row r="126" spans="1:20" ht="13">
      <c r="A126" s="2"/>
      <c r="C126" s="2"/>
      <c r="M126" s="81"/>
      <c r="T126" s="81"/>
    </row>
    <row r="127" spans="1:20" ht="13">
      <c r="A127" s="2"/>
      <c r="C127" s="2"/>
      <c r="M127" s="81"/>
      <c r="T127" s="81"/>
    </row>
    <row r="128" spans="1:20" ht="13">
      <c r="A128" s="2"/>
      <c r="C128" s="2"/>
      <c r="M128" s="81"/>
      <c r="T128" s="81"/>
    </row>
    <row r="129" spans="1:20" ht="13">
      <c r="A129" s="2"/>
      <c r="C129" s="2"/>
      <c r="M129" s="81"/>
      <c r="T129" s="81"/>
    </row>
    <row r="130" spans="1:20" ht="13">
      <c r="A130" s="2"/>
      <c r="C130" s="2"/>
      <c r="M130" s="81"/>
      <c r="T130" s="81"/>
    </row>
    <row r="131" spans="1:20" ht="13">
      <c r="A131" s="2"/>
      <c r="C131" s="2"/>
      <c r="M131" s="81"/>
      <c r="T131" s="81"/>
    </row>
    <row r="132" spans="1:20" ht="13">
      <c r="A132" s="2"/>
      <c r="C132" s="2"/>
      <c r="M132" s="81"/>
      <c r="T132" s="81"/>
    </row>
    <row r="133" spans="1:20" ht="13">
      <c r="A133" s="2"/>
      <c r="C133" s="2"/>
      <c r="T133" s="81"/>
    </row>
    <row r="134" spans="1:20" ht="13">
      <c r="A134" s="2"/>
      <c r="C134" s="2"/>
      <c r="T134" s="81"/>
    </row>
    <row r="135" spans="1:20" ht="13">
      <c r="A135" s="2"/>
      <c r="C135" s="2"/>
      <c r="T135" s="81"/>
    </row>
    <row r="136" spans="1:20" ht="13">
      <c r="A136" s="2"/>
      <c r="C136" s="2"/>
      <c r="T136" s="81"/>
    </row>
    <row r="137" spans="1:20" ht="13">
      <c r="A137" s="2"/>
      <c r="C137" s="2"/>
      <c r="T137" s="81"/>
    </row>
    <row r="138" spans="1:20" ht="13">
      <c r="A138" s="2"/>
      <c r="C138" s="2"/>
    </row>
    <row r="139" spans="1:20" ht="13">
      <c r="A139" s="2"/>
      <c r="C139" s="2"/>
    </row>
    <row r="140" spans="1:20" ht="13">
      <c r="A140" s="2"/>
      <c r="C140" s="2"/>
    </row>
    <row r="141" spans="1:20" ht="13">
      <c r="A141" s="2"/>
      <c r="C141" s="2"/>
    </row>
    <row r="142" spans="1:20" ht="13">
      <c r="A142" s="2"/>
      <c r="C142" s="2"/>
    </row>
    <row r="143" spans="1:20" ht="13">
      <c r="A143" s="2"/>
      <c r="C143" s="2"/>
    </row>
    <row r="144" spans="1:20" ht="13">
      <c r="A144" s="2"/>
      <c r="C144" s="2"/>
    </row>
    <row r="145" spans="1:3" ht="13">
      <c r="A145" s="2"/>
      <c r="C145" s="2"/>
    </row>
    <row r="146" spans="1:3" ht="13">
      <c r="A146" s="2"/>
      <c r="C146" s="2"/>
    </row>
    <row r="147" spans="1:3" ht="13">
      <c r="A147" s="2"/>
      <c r="C147" s="2"/>
    </row>
    <row r="148" spans="1:3" ht="13">
      <c r="A148" s="2"/>
      <c r="C148" s="2"/>
    </row>
    <row r="149" spans="1:3" ht="13">
      <c r="A149" s="2"/>
      <c r="C149" s="2"/>
    </row>
    <row r="150" spans="1:3" ht="13">
      <c r="A150" s="2"/>
      <c r="C150" s="2"/>
    </row>
    <row r="151" spans="1:3" ht="13">
      <c r="A151" s="2"/>
      <c r="C151" s="2"/>
    </row>
    <row r="152" spans="1:3" ht="13">
      <c r="A152" s="2"/>
      <c r="C152" s="2"/>
    </row>
    <row r="153" spans="1:3" ht="13">
      <c r="A153" s="2"/>
      <c r="C153" s="2"/>
    </row>
    <row r="154" spans="1:3" ht="13">
      <c r="A154" s="2"/>
      <c r="C154" s="2"/>
    </row>
    <row r="155" spans="1:3" ht="13">
      <c r="A155" s="2"/>
      <c r="C155" s="2"/>
    </row>
    <row r="156" spans="1:3" ht="13">
      <c r="A156" s="2"/>
      <c r="C156" s="2"/>
    </row>
    <row r="157" spans="1:3" ht="13">
      <c r="A157" s="2"/>
      <c r="C157" s="2"/>
    </row>
    <row r="158" spans="1:3" ht="13">
      <c r="A158" s="2"/>
      <c r="C158" s="2"/>
    </row>
    <row r="159" spans="1:3" ht="13">
      <c r="A159" s="2"/>
      <c r="C159" s="2"/>
    </row>
    <row r="160" spans="1:3" ht="13">
      <c r="A160" s="2"/>
      <c r="C160" s="2"/>
    </row>
    <row r="161" spans="1:3" ht="13">
      <c r="A161" s="2"/>
      <c r="C161" s="2"/>
    </row>
    <row r="162" spans="1:3" ht="13">
      <c r="A162" s="2"/>
      <c r="C162" s="2"/>
    </row>
    <row r="163" spans="1:3" ht="13">
      <c r="A163" s="2"/>
      <c r="C163" s="2"/>
    </row>
    <row r="164" spans="1:3" ht="13">
      <c r="A164" s="2"/>
      <c r="C164" s="2"/>
    </row>
    <row r="165" spans="1:3" ht="13">
      <c r="A165" s="2"/>
      <c r="C165" s="2"/>
    </row>
    <row r="166" spans="1:3" ht="13">
      <c r="A166" s="2"/>
      <c r="C166" s="2"/>
    </row>
    <row r="167" spans="1:3" ht="13">
      <c r="A167" s="2"/>
      <c r="C167" s="2"/>
    </row>
    <row r="168" spans="1:3" ht="13">
      <c r="A168" s="2"/>
      <c r="C168" s="2"/>
    </row>
    <row r="169" spans="1:3" ht="13">
      <c r="A169" s="2"/>
      <c r="C169" s="2"/>
    </row>
    <row r="170" spans="1:3" ht="13">
      <c r="A170" s="2"/>
      <c r="C170" s="2"/>
    </row>
    <row r="171" spans="1:3" ht="13">
      <c r="A171" s="2"/>
      <c r="C171" s="2"/>
    </row>
    <row r="172" spans="1:3" ht="13">
      <c r="A172" s="2"/>
      <c r="C172" s="2"/>
    </row>
    <row r="173" spans="1:3" ht="13">
      <c r="A173" s="2"/>
      <c r="C173" s="2"/>
    </row>
    <row r="174" spans="1:3" ht="13">
      <c r="A174" s="2"/>
      <c r="C174" s="2"/>
    </row>
    <row r="175" spans="1:3" ht="13">
      <c r="A175" s="2"/>
      <c r="C175" s="2"/>
    </row>
    <row r="176" spans="1:3" ht="13">
      <c r="A176" s="2"/>
      <c r="C176" s="2"/>
    </row>
    <row r="177" spans="1:3" ht="13">
      <c r="A177" s="2"/>
      <c r="C177" s="2"/>
    </row>
    <row r="178" spans="1:3" ht="13">
      <c r="A178" s="2"/>
      <c r="C178" s="2"/>
    </row>
    <row r="179" spans="1:3" ht="13">
      <c r="A179" s="2"/>
      <c r="C179" s="2"/>
    </row>
    <row r="180" spans="1:3" ht="13">
      <c r="A180" s="2"/>
      <c r="C180" s="2"/>
    </row>
    <row r="181" spans="1:3" ht="13">
      <c r="A181" s="2"/>
      <c r="C181" s="2"/>
    </row>
    <row r="182" spans="1:3" ht="13">
      <c r="A182" s="2"/>
      <c r="C182" s="2"/>
    </row>
    <row r="183" spans="1:3" ht="13">
      <c r="A183" s="2"/>
      <c r="C183" s="2"/>
    </row>
    <row r="184" spans="1:3" ht="13">
      <c r="A184" s="2"/>
      <c r="C184" s="2"/>
    </row>
    <row r="185" spans="1:3" ht="13">
      <c r="A185" s="2"/>
      <c r="C185" s="2"/>
    </row>
    <row r="186" spans="1:3" ht="13">
      <c r="A186" s="2"/>
      <c r="C186" s="2"/>
    </row>
    <row r="187" spans="1:3" ht="13">
      <c r="A187" s="2"/>
      <c r="C187" s="2"/>
    </row>
    <row r="188" spans="1:3" ht="13">
      <c r="A188" s="2"/>
      <c r="C188" s="2"/>
    </row>
    <row r="189" spans="1:3" ht="13">
      <c r="A189" s="2"/>
      <c r="C189" s="2"/>
    </row>
    <row r="190" spans="1:3" ht="13">
      <c r="A190" s="2"/>
      <c r="C190" s="2"/>
    </row>
    <row r="191" spans="1:3" ht="13">
      <c r="A191" s="2"/>
      <c r="C191" s="2"/>
    </row>
    <row r="192" spans="1:3" ht="13">
      <c r="A192" s="2"/>
      <c r="C192" s="2"/>
    </row>
    <row r="193" spans="1:3" ht="13">
      <c r="A193" s="2"/>
      <c r="C193" s="2"/>
    </row>
    <row r="194" spans="1:3" ht="13">
      <c r="A194" s="2"/>
      <c r="C194" s="2"/>
    </row>
    <row r="195" spans="1:3" ht="13">
      <c r="A195" s="2"/>
      <c r="C195" s="2"/>
    </row>
    <row r="196" spans="1:3" ht="13">
      <c r="A196" s="2"/>
      <c r="C196" s="2"/>
    </row>
    <row r="197" spans="1:3" ht="13">
      <c r="A197" s="2"/>
      <c r="C197" s="2"/>
    </row>
    <row r="198" spans="1:3" ht="13">
      <c r="A198" s="2"/>
      <c r="C198" s="2"/>
    </row>
    <row r="199" spans="1:3" ht="13">
      <c r="A199" s="2"/>
      <c r="C199" s="2"/>
    </row>
    <row r="200" spans="1:3" ht="13">
      <c r="A200" s="2"/>
      <c r="C200" s="2"/>
    </row>
    <row r="201" spans="1:3" ht="13">
      <c r="A201" s="2"/>
      <c r="C201" s="2"/>
    </row>
    <row r="202" spans="1:3" ht="13">
      <c r="A202" s="2"/>
      <c r="C202" s="2"/>
    </row>
    <row r="203" spans="1:3" ht="13">
      <c r="A203" s="2"/>
      <c r="C203" s="2"/>
    </row>
    <row r="204" spans="1:3" ht="13">
      <c r="A204" s="2"/>
      <c r="C204" s="2"/>
    </row>
    <row r="205" spans="1:3" ht="13">
      <c r="A205" s="2"/>
      <c r="C205" s="2"/>
    </row>
    <row r="206" spans="1:3" ht="13">
      <c r="A206" s="2"/>
      <c r="C206" s="2"/>
    </row>
    <row r="207" spans="1:3" ht="13">
      <c r="A207" s="2"/>
      <c r="C207" s="2"/>
    </row>
    <row r="208" spans="1:3" ht="13">
      <c r="A208" s="2"/>
      <c r="C208" s="2"/>
    </row>
    <row r="209" spans="1:3" ht="13">
      <c r="A209" s="2"/>
      <c r="C209" s="2"/>
    </row>
    <row r="210" spans="1:3" ht="13">
      <c r="A210" s="2"/>
      <c r="C210" s="2"/>
    </row>
    <row r="211" spans="1:3" ht="13">
      <c r="A211" s="2"/>
      <c r="C211" s="2"/>
    </row>
    <row r="212" spans="1:3" ht="13">
      <c r="A212" s="2"/>
      <c r="C212" s="2"/>
    </row>
    <row r="213" spans="1:3" ht="13">
      <c r="A213" s="2"/>
      <c r="C213" s="2"/>
    </row>
    <row r="214" spans="1:3" ht="13">
      <c r="A214" s="2"/>
      <c r="C214" s="2"/>
    </row>
    <row r="215" spans="1:3" ht="13">
      <c r="A215" s="2"/>
      <c r="C215" s="2"/>
    </row>
    <row r="216" spans="1:3" ht="13">
      <c r="A216" s="2"/>
      <c r="C216" s="2"/>
    </row>
    <row r="217" spans="1:3" ht="13">
      <c r="A217" s="2"/>
      <c r="C217" s="2"/>
    </row>
    <row r="218" spans="1:3" ht="13">
      <c r="A218" s="2"/>
      <c r="C218" s="2"/>
    </row>
    <row r="219" spans="1:3" ht="13">
      <c r="A219" s="2"/>
      <c r="C219" s="2"/>
    </row>
    <row r="220" spans="1:3" ht="13">
      <c r="A220" s="2"/>
      <c r="C220" s="2"/>
    </row>
    <row r="221" spans="1:3" ht="13">
      <c r="A221" s="2"/>
      <c r="C221" s="2"/>
    </row>
    <row r="222" spans="1:3" ht="13">
      <c r="A222" s="2"/>
      <c r="C222" s="2"/>
    </row>
    <row r="223" spans="1:3" ht="13">
      <c r="A223" s="2"/>
      <c r="C223" s="2"/>
    </row>
    <row r="224" spans="1:3" ht="13">
      <c r="A224" s="2"/>
      <c r="C224" s="2"/>
    </row>
    <row r="225" spans="1:3" ht="13">
      <c r="A225" s="2"/>
      <c r="C225" s="2"/>
    </row>
    <row r="226" spans="1:3" ht="13">
      <c r="A226" s="2"/>
      <c r="C226" s="2"/>
    </row>
    <row r="227" spans="1:3" ht="13">
      <c r="A227" s="2"/>
      <c r="C227" s="2"/>
    </row>
    <row r="228" spans="1:3" ht="13">
      <c r="A228" s="2"/>
      <c r="C228" s="2"/>
    </row>
    <row r="229" spans="1:3" ht="13">
      <c r="A229" s="2"/>
      <c r="C229" s="2"/>
    </row>
    <row r="230" spans="1:3" ht="13">
      <c r="A230" s="2"/>
      <c r="C230" s="2"/>
    </row>
    <row r="231" spans="1:3" ht="13">
      <c r="A231" s="2"/>
      <c r="C231" s="2"/>
    </row>
    <row r="232" spans="1:3" ht="13">
      <c r="A232" s="2"/>
      <c r="C232" s="2"/>
    </row>
    <row r="233" spans="1:3" ht="13">
      <c r="A233" s="2"/>
      <c r="C233" s="2"/>
    </row>
    <row r="234" spans="1:3" ht="13">
      <c r="A234" s="2"/>
      <c r="C234" s="2"/>
    </row>
    <row r="235" spans="1:3" ht="13">
      <c r="A235" s="2"/>
      <c r="C235" s="2"/>
    </row>
    <row r="236" spans="1:3" ht="13">
      <c r="A236" s="2"/>
      <c r="C236" s="2"/>
    </row>
    <row r="237" spans="1:3" ht="13">
      <c r="A237" s="2"/>
      <c r="C237" s="2"/>
    </row>
    <row r="238" spans="1:3" ht="13">
      <c r="A238" s="2"/>
      <c r="C238" s="2"/>
    </row>
    <row r="239" spans="1:3" ht="13">
      <c r="A239" s="2"/>
      <c r="C239" s="2"/>
    </row>
    <row r="240" spans="1:3" ht="13">
      <c r="A240" s="2"/>
      <c r="C240" s="2"/>
    </row>
    <row r="241" spans="1:3" ht="13">
      <c r="A241" s="2"/>
      <c r="C241" s="2"/>
    </row>
    <row r="242" spans="1:3" ht="13">
      <c r="A242" s="2"/>
      <c r="C242" s="2"/>
    </row>
    <row r="243" spans="1:3" ht="13">
      <c r="A243" s="2"/>
      <c r="C243" s="2"/>
    </row>
    <row r="244" spans="1:3" ht="13">
      <c r="A244" s="2"/>
      <c r="C244" s="2"/>
    </row>
    <row r="245" spans="1:3" ht="13">
      <c r="A245" s="2"/>
      <c r="C245" s="2"/>
    </row>
    <row r="246" spans="1:3" ht="13">
      <c r="A246" s="2"/>
      <c r="C246" s="2"/>
    </row>
    <row r="247" spans="1:3" ht="13">
      <c r="A247" s="2"/>
      <c r="C247" s="2"/>
    </row>
    <row r="248" spans="1:3" ht="13">
      <c r="A248" s="2"/>
      <c r="C248" s="2"/>
    </row>
    <row r="249" spans="1:3" ht="13">
      <c r="A249" s="2"/>
      <c r="C249" s="2"/>
    </row>
    <row r="250" spans="1:3" ht="13">
      <c r="A250" s="2"/>
      <c r="C250" s="2"/>
    </row>
    <row r="251" spans="1:3" ht="13">
      <c r="A251" s="2"/>
      <c r="C251" s="2"/>
    </row>
    <row r="252" spans="1:3" ht="13">
      <c r="A252" s="2"/>
      <c r="C252" s="2"/>
    </row>
    <row r="253" spans="1:3" ht="13">
      <c r="A253" s="2"/>
      <c r="C253" s="2"/>
    </row>
    <row r="254" spans="1:3" ht="13">
      <c r="A254" s="2"/>
      <c r="C254" s="2"/>
    </row>
    <row r="255" spans="1:3" ht="13">
      <c r="A255" s="2"/>
      <c r="C255" s="2"/>
    </row>
    <row r="256" spans="1:3" ht="13">
      <c r="A256" s="2"/>
      <c r="C256" s="2"/>
    </row>
    <row r="257" spans="1:3" ht="13">
      <c r="A257" s="2"/>
      <c r="C257" s="2"/>
    </row>
    <row r="258" spans="1:3" ht="13">
      <c r="A258" s="2"/>
      <c r="C258" s="2"/>
    </row>
    <row r="259" spans="1:3" ht="13">
      <c r="A259" s="2"/>
      <c r="C259" s="2"/>
    </row>
    <row r="260" spans="1:3" ht="13">
      <c r="A260" s="2"/>
      <c r="C260" s="2"/>
    </row>
    <row r="261" spans="1:3" ht="13">
      <c r="A261" s="2"/>
      <c r="C261" s="2"/>
    </row>
    <row r="262" spans="1:3" ht="13">
      <c r="A262" s="2"/>
      <c r="C262" s="2"/>
    </row>
    <row r="263" spans="1:3" ht="13">
      <c r="A263" s="2"/>
      <c r="C263" s="2"/>
    </row>
    <row r="264" spans="1:3" ht="13">
      <c r="A264" s="2"/>
      <c r="C264" s="2"/>
    </row>
    <row r="265" spans="1:3" ht="13">
      <c r="A265" s="2"/>
      <c r="C265" s="2"/>
    </row>
    <row r="266" spans="1:3" ht="13">
      <c r="A266" s="2"/>
      <c r="C266" s="2"/>
    </row>
    <row r="267" spans="1:3" ht="13">
      <c r="A267" s="2"/>
      <c r="C267" s="2"/>
    </row>
    <row r="268" spans="1:3" ht="13">
      <c r="A268" s="2"/>
      <c r="C268" s="2"/>
    </row>
    <row r="269" spans="1:3" ht="13">
      <c r="A269" s="2"/>
      <c r="C269" s="2"/>
    </row>
    <row r="270" spans="1:3" ht="13">
      <c r="A270" s="2"/>
      <c r="C270" s="2"/>
    </row>
    <row r="271" spans="1:3" ht="13">
      <c r="A271" s="2"/>
      <c r="C271" s="2"/>
    </row>
    <row r="272" spans="1:3" ht="13">
      <c r="A272" s="2"/>
      <c r="C272" s="2"/>
    </row>
    <row r="273" spans="1:3" ht="13">
      <c r="A273" s="2"/>
      <c r="C273" s="2"/>
    </row>
    <row r="274" spans="1:3" ht="13">
      <c r="A274" s="2"/>
      <c r="C274" s="2"/>
    </row>
    <row r="275" spans="1:3" ht="13">
      <c r="A275" s="2"/>
      <c r="C275" s="2"/>
    </row>
    <row r="276" spans="1:3" ht="13">
      <c r="A276" s="2"/>
      <c r="C276" s="2"/>
    </row>
    <row r="277" spans="1:3" ht="13">
      <c r="A277" s="2"/>
      <c r="C277" s="2"/>
    </row>
    <row r="278" spans="1:3" ht="13">
      <c r="A278" s="2"/>
      <c r="C278" s="2"/>
    </row>
    <row r="279" spans="1:3" ht="13">
      <c r="A279" s="2"/>
      <c r="C279" s="2"/>
    </row>
    <row r="280" spans="1:3" ht="13">
      <c r="A280" s="2"/>
      <c r="C280" s="2"/>
    </row>
    <row r="281" spans="1:3" ht="13">
      <c r="A281" s="2"/>
      <c r="C281" s="2"/>
    </row>
    <row r="282" spans="1:3" ht="13">
      <c r="A282" s="2"/>
      <c r="C282" s="2"/>
    </row>
    <row r="283" spans="1:3" ht="13">
      <c r="A283" s="2"/>
      <c r="C283" s="2"/>
    </row>
    <row r="284" spans="1:3" ht="13">
      <c r="A284" s="2"/>
      <c r="C284" s="2"/>
    </row>
    <row r="285" spans="1:3" ht="13">
      <c r="A285" s="2"/>
      <c r="C285" s="2"/>
    </row>
    <row r="286" spans="1:3" ht="13">
      <c r="A286" s="2"/>
      <c r="C286" s="2"/>
    </row>
    <row r="287" spans="1:3" ht="13">
      <c r="A287" s="2"/>
      <c r="C287" s="2"/>
    </row>
    <row r="288" spans="1:3" ht="13">
      <c r="A288" s="2"/>
      <c r="C288" s="2"/>
    </row>
    <row r="289" spans="1:3" ht="13">
      <c r="A289" s="2"/>
      <c r="C289" s="2"/>
    </row>
    <row r="290" spans="1:3" ht="13">
      <c r="A290" s="2"/>
      <c r="C290" s="2"/>
    </row>
    <row r="291" spans="1:3" ht="13">
      <c r="A291" s="2"/>
      <c r="C291" s="2"/>
    </row>
    <row r="292" spans="1:3" ht="13">
      <c r="A292" s="2"/>
      <c r="C292" s="2"/>
    </row>
    <row r="293" spans="1:3" ht="13">
      <c r="A293" s="2"/>
      <c r="C293" s="2"/>
    </row>
    <row r="294" spans="1:3" ht="13">
      <c r="A294" s="2"/>
      <c r="C294" s="2"/>
    </row>
    <row r="295" spans="1:3" ht="13">
      <c r="A295" s="2"/>
      <c r="C295" s="2"/>
    </row>
    <row r="296" spans="1:3" ht="13">
      <c r="A296" s="2"/>
      <c r="C296" s="2"/>
    </row>
    <row r="297" spans="1:3" ht="13">
      <c r="A297" s="2"/>
      <c r="C297" s="2"/>
    </row>
    <row r="298" spans="1:3" ht="13">
      <c r="A298" s="2"/>
      <c r="C298" s="2"/>
    </row>
    <row r="299" spans="1:3" ht="13">
      <c r="A299" s="2"/>
      <c r="C299" s="2"/>
    </row>
    <row r="300" spans="1:3" ht="13">
      <c r="A300" s="2"/>
      <c r="C300" s="2"/>
    </row>
    <row r="301" spans="1:3" ht="13">
      <c r="A301" s="2"/>
      <c r="C301" s="2"/>
    </row>
    <row r="302" spans="1:3" ht="13">
      <c r="A302" s="2"/>
      <c r="C302" s="2"/>
    </row>
    <row r="303" spans="1:3" ht="13">
      <c r="A303" s="2"/>
      <c r="C303" s="2"/>
    </row>
    <row r="304" spans="1:3" ht="13">
      <c r="A304" s="2"/>
      <c r="C304" s="2"/>
    </row>
    <row r="305" spans="1:3" ht="13">
      <c r="A305" s="2"/>
      <c r="C305" s="2"/>
    </row>
    <row r="306" spans="1:3" ht="13">
      <c r="A306" s="2"/>
      <c r="C306" s="2"/>
    </row>
    <row r="307" spans="1:3" ht="13">
      <c r="A307" s="2"/>
      <c r="C307" s="2"/>
    </row>
    <row r="308" spans="1:3" ht="13">
      <c r="A308" s="2"/>
      <c r="C308" s="2"/>
    </row>
    <row r="309" spans="1:3" ht="13">
      <c r="A309" s="2"/>
      <c r="C309" s="2"/>
    </row>
    <row r="310" spans="1:3" ht="13">
      <c r="A310" s="2"/>
      <c r="C310" s="2"/>
    </row>
    <row r="311" spans="1:3" ht="13">
      <c r="A311" s="2"/>
      <c r="C311" s="2"/>
    </row>
    <row r="312" spans="1:3" ht="13">
      <c r="A312" s="2"/>
      <c r="C312" s="2"/>
    </row>
    <row r="313" spans="1:3" ht="13">
      <c r="A313" s="2"/>
      <c r="C313" s="2"/>
    </row>
    <row r="314" spans="1:3" ht="13">
      <c r="A314" s="2"/>
      <c r="C314" s="2"/>
    </row>
    <row r="315" spans="1:3" ht="13">
      <c r="A315" s="2"/>
      <c r="C315" s="2"/>
    </row>
    <row r="316" spans="1:3" ht="13">
      <c r="A316" s="2"/>
      <c r="C316" s="2"/>
    </row>
    <row r="317" spans="1:3" ht="13">
      <c r="A317" s="2"/>
      <c r="C317" s="2"/>
    </row>
    <row r="318" spans="1:3" ht="13">
      <c r="A318" s="2"/>
      <c r="C318" s="2"/>
    </row>
    <row r="319" spans="1:3" ht="13">
      <c r="A319" s="2"/>
      <c r="C319" s="2"/>
    </row>
    <row r="320" spans="1:3" ht="13">
      <c r="A320" s="2"/>
      <c r="C320" s="2"/>
    </row>
    <row r="321" spans="1:3" ht="13">
      <c r="A321" s="2"/>
      <c r="C321" s="2"/>
    </row>
    <row r="322" spans="1:3" ht="13">
      <c r="A322" s="2"/>
      <c r="C322" s="2"/>
    </row>
    <row r="323" spans="1:3" ht="13">
      <c r="A323" s="2"/>
      <c r="C323" s="2"/>
    </row>
    <row r="324" spans="1:3" ht="13">
      <c r="A324" s="2"/>
      <c r="C324" s="2"/>
    </row>
    <row r="325" spans="1:3" ht="13">
      <c r="A325" s="2"/>
      <c r="C325" s="2"/>
    </row>
    <row r="326" spans="1:3" ht="13">
      <c r="A326" s="2"/>
      <c r="C326" s="2"/>
    </row>
    <row r="327" spans="1:3" ht="13">
      <c r="A327" s="2"/>
      <c r="C327" s="2"/>
    </row>
    <row r="328" spans="1:3" ht="13">
      <c r="A328" s="2"/>
      <c r="C328" s="2"/>
    </row>
    <row r="329" spans="1:3" ht="13">
      <c r="A329" s="2"/>
      <c r="C329" s="2"/>
    </row>
    <row r="330" spans="1:3" ht="13">
      <c r="A330" s="2"/>
      <c r="C330" s="2"/>
    </row>
    <row r="331" spans="1:3" ht="13">
      <c r="A331" s="2"/>
      <c r="C331" s="2"/>
    </row>
    <row r="332" spans="1:3" ht="13">
      <c r="A332" s="2"/>
      <c r="C332" s="2"/>
    </row>
    <row r="333" spans="1:3" ht="13">
      <c r="A333" s="2"/>
      <c r="C333" s="2"/>
    </row>
    <row r="334" spans="1:3" ht="13">
      <c r="A334" s="2"/>
      <c r="C334" s="2"/>
    </row>
    <row r="335" spans="1:3" ht="13">
      <c r="A335" s="2"/>
      <c r="C335" s="2"/>
    </row>
    <row r="336" spans="1:3" ht="13">
      <c r="A336" s="2"/>
      <c r="C336" s="2"/>
    </row>
    <row r="337" spans="1:3" ht="13">
      <c r="A337" s="2"/>
      <c r="C337" s="2"/>
    </row>
    <row r="338" spans="1:3" ht="13">
      <c r="A338" s="2"/>
      <c r="C338" s="2"/>
    </row>
    <row r="339" spans="1:3" ht="13">
      <c r="A339" s="2"/>
      <c r="C339" s="2"/>
    </row>
    <row r="340" spans="1:3" ht="13">
      <c r="A340" s="2"/>
      <c r="C340" s="2"/>
    </row>
    <row r="341" spans="1:3" ht="13">
      <c r="A341" s="2"/>
      <c r="C341" s="2"/>
    </row>
    <row r="342" spans="1:3" ht="13">
      <c r="A342" s="2"/>
      <c r="C342" s="2"/>
    </row>
    <row r="343" spans="1:3" ht="13">
      <c r="A343" s="2"/>
      <c r="C343" s="2"/>
    </row>
    <row r="344" spans="1:3" ht="13">
      <c r="A344" s="2"/>
      <c r="C344" s="2"/>
    </row>
    <row r="345" spans="1:3" ht="13">
      <c r="A345" s="2"/>
      <c r="C345" s="2"/>
    </row>
    <row r="346" spans="1:3" ht="13">
      <c r="A346" s="2"/>
      <c r="C346" s="2"/>
    </row>
    <row r="347" spans="1:3" ht="13">
      <c r="A347" s="2"/>
      <c r="C347" s="2"/>
    </row>
    <row r="348" spans="1:3" ht="13">
      <c r="A348" s="2"/>
      <c r="C348" s="2"/>
    </row>
    <row r="349" spans="1:3" ht="13">
      <c r="A349" s="2"/>
      <c r="C349" s="2"/>
    </row>
    <row r="350" spans="1:3" ht="13">
      <c r="A350" s="2"/>
      <c r="C350" s="2"/>
    </row>
    <row r="351" spans="1:3" ht="13">
      <c r="A351" s="2"/>
      <c r="C351" s="2"/>
    </row>
    <row r="352" spans="1:3" ht="13">
      <c r="A352" s="2"/>
      <c r="C352" s="2"/>
    </row>
    <row r="353" spans="1:3" ht="13">
      <c r="A353" s="2"/>
      <c r="C353" s="2"/>
    </row>
    <row r="354" spans="1:3" ht="13">
      <c r="A354" s="2"/>
      <c r="C354" s="2"/>
    </row>
    <row r="355" spans="1:3" ht="13">
      <c r="A355" s="2"/>
      <c r="C355" s="2"/>
    </row>
    <row r="356" spans="1:3" ht="13">
      <c r="A356" s="2"/>
      <c r="C356" s="2"/>
    </row>
    <row r="357" spans="1:3" ht="13">
      <c r="A357" s="2"/>
      <c r="C357" s="2"/>
    </row>
    <row r="358" spans="1:3" ht="13">
      <c r="A358" s="2"/>
      <c r="C358" s="2"/>
    </row>
    <row r="359" spans="1:3" ht="13">
      <c r="A359" s="2"/>
      <c r="C359" s="2"/>
    </row>
    <row r="360" spans="1:3" ht="13">
      <c r="A360" s="2"/>
      <c r="C360" s="2"/>
    </row>
    <row r="361" spans="1:3" ht="13">
      <c r="A361" s="2"/>
      <c r="C361" s="2"/>
    </row>
    <row r="362" spans="1:3" ht="13">
      <c r="A362" s="2"/>
      <c r="C362" s="2"/>
    </row>
    <row r="363" spans="1:3" ht="13">
      <c r="A363" s="2"/>
      <c r="C363" s="2"/>
    </row>
    <row r="364" spans="1:3" ht="13">
      <c r="A364" s="2"/>
      <c r="C364" s="2"/>
    </row>
    <row r="365" spans="1:3" ht="13">
      <c r="A365" s="2"/>
      <c r="C365" s="2"/>
    </row>
    <row r="366" spans="1:3" ht="13">
      <c r="A366" s="2"/>
      <c r="C366" s="2"/>
    </row>
    <row r="367" spans="1:3" ht="13">
      <c r="A367" s="2"/>
      <c r="C367" s="2"/>
    </row>
    <row r="368" spans="1:3" ht="13">
      <c r="A368" s="2"/>
      <c r="C368" s="2"/>
    </row>
    <row r="369" spans="1:3" ht="13">
      <c r="A369" s="2"/>
      <c r="C369" s="2"/>
    </row>
    <row r="370" spans="1:3" ht="13">
      <c r="A370" s="2"/>
      <c r="C370" s="2"/>
    </row>
    <row r="371" spans="1:3" ht="13">
      <c r="A371" s="2"/>
      <c r="C371" s="2"/>
    </row>
    <row r="372" spans="1:3" ht="13">
      <c r="A372" s="2"/>
      <c r="C372" s="2"/>
    </row>
    <row r="373" spans="1:3" ht="13">
      <c r="A373" s="2"/>
      <c r="C373" s="2"/>
    </row>
    <row r="374" spans="1:3" ht="13">
      <c r="A374" s="2"/>
      <c r="C374" s="2"/>
    </row>
    <row r="375" spans="1:3" ht="13">
      <c r="A375" s="2"/>
      <c r="C375" s="2"/>
    </row>
    <row r="376" spans="1:3" ht="13">
      <c r="A376" s="2"/>
      <c r="C376" s="2"/>
    </row>
    <row r="377" spans="1:3" ht="13">
      <c r="A377" s="2"/>
      <c r="C377" s="2"/>
    </row>
    <row r="378" spans="1:3" ht="13">
      <c r="A378" s="2"/>
      <c r="C378" s="2"/>
    </row>
    <row r="379" spans="1:3" ht="13">
      <c r="A379" s="2"/>
      <c r="C379" s="2"/>
    </row>
    <row r="380" spans="1:3" ht="13">
      <c r="A380" s="2"/>
      <c r="C380" s="2"/>
    </row>
    <row r="381" spans="1:3" ht="13">
      <c r="A381" s="2"/>
      <c r="C381" s="2"/>
    </row>
    <row r="382" spans="1:3" ht="13">
      <c r="A382" s="2"/>
      <c r="C382" s="2"/>
    </row>
    <row r="383" spans="1:3" ht="13">
      <c r="A383" s="2"/>
      <c r="C383" s="2"/>
    </row>
    <row r="384" spans="1:3" ht="13">
      <c r="A384" s="2"/>
      <c r="C384" s="2"/>
    </row>
    <row r="385" spans="1:3" ht="13">
      <c r="A385" s="2"/>
      <c r="C385" s="2"/>
    </row>
    <row r="386" spans="1:3" ht="13">
      <c r="A386" s="2"/>
      <c r="C386" s="2"/>
    </row>
    <row r="387" spans="1:3" ht="13">
      <c r="A387" s="2"/>
      <c r="C387" s="2"/>
    </row>
    <row r="388" spans="1:3" ht="13">
      <c r="A388" s="2"/>
      <c r="C388" s="2"/>
    </row>
    <row r="389" spans="1:3" ht="13">
      <c r="A389" s="2"/>
      <c r="C389" s="2"/>
    </row>
    <row r="390" spans="1:3" ht="13">
      <c r="A390" s="2"/>
      <c r="C390" s="2"/>
    </row>
    <row r="391" spans="1:3" ht="13">
      <c r="A391" s="2"/>
      <c r="C391" s="2"/>
    </row>
    <row r="392" spans="1:3" ht="13">
      <c r="A392" s="2"/>
      <c r="C392" s="2"/>
    </row>
    <row r="393" spans="1:3" ht="13">
      <c r="A393" s="2"/>
      <c r="C393" s="2"/>
    </row>
    <row r="394" spans="1:3" ht="13">
      <c r="A394" s="2"/>
      <c r="C394" s="2"/>
    </row>
    <row r="395" spans="1:3" ht="13">
      <c r="A395" s="2"/>
      <c r="C395" s="2"/>
    </row>
    <row r="396" spans="1:3" ht="13">
      <c r="A396" s="2"/>
      <c r="C396" s="2"/>
    </row>
    <row r="397" spans="1:3" ht="13">
      <c r="A397" s="2"/>
      <c r="C397" s="2"/>
    </row>
    <row r="398" spans="1:3" ht="13">
      <c r="A398" s="2"/>
      <c r="C398" s="2"/>
    </row>
    <row r="399" spans="1:3" ht="13">
      <c r="A399" s="2"/>
      <c r="C399" s="2"/>
    </row>
    <row r="400" spans="1:3" ht="13">
      <c r="A400" s="2"/>
      <c r="C400" s="2"/>
    </row>
    <row r="401" spans="1:3" ht="13">
      <c r="A401" s="2"/>
      <c r="C401" s="2"/>
    </row>
    <row r="402" spans="1:3" ht="13">
      <c r="A402" s="2"/>
      <c r="C402" s="2"/>
    </row>
    <row r="403" spans="1:3" ht="13">
      <c r="A403" s="2"/>
      <c r="C403" s="2"/>
    </row>
    <row r="404" spans="1:3" ht="13">
      <c r="A404" s="2"/>
      <c r="C404" s="2"/>
    </row>
    <row r="405" spans="1:3" ht="13">
      <c r="A405" s="2"/>
      <c r="C405" s="2"/>
    </row>
    <row r="406" spans="1:3" ht="13">
      <c r="A406" s="2"/>
      <c r="C406" s="2"/>
    </row>
    <row r="407" spans="1:3" ht="13">
      <c r="A407" s="2"/>
      <c r="C407" s="2"/>
    </row>
    <row r="408" spans="1:3" ht="13">
      <c r="A408" s="2"/>
      <c r="C408" s="2"/>
    </row>
    <row r="409" spans="1:3" ht="13">
      <c r="A409" s="2"/>
      <c r="C409" s="2"/>
    </row>
    <row r="410" spans="1:3" ht="13">
      <c r="A410" s="2"/>
      <c r="C410" s="2"/>
    </row>
    <row r="411" spans="1:3" ht="13">
      <c r="A411" s="2"/>
      <c r="C411" s="2"/>
    </row>
    <row r="412" spans="1:3" ht="13">
      <c r="A412" s="2"/>
      <c r="C412" s="2"/>
    </row>
    <row r="413" spans="1:3" ht="13">
      <c r="A413" s="2"/>
      <c r="C413" s="2"/>
    </row>
    <row r="414" spans="1:3" ht="13">
      <c r="A414" s="2"/>
      <c r="C414" s="2"/>
    </row>
    <row r="415" spans="1:3" ht="13">
      <c r="A415" s="2"/>
      <c r="C415" s="2"/>
    </row>
    <row r="416" spans="1:3" ht="13">
      <c r="A416" s="2"/>
      <c r="C416" s="2"/>
    </row>
    <row r="417" spans="1:3" ht="13">
      <c r="A417" s="2"/>
      <c r="C417" s="2"/>
    </row>
    <row r="418" spans="1:3" ht="13">
      <c r="A418" s="2"/>
      <c r="C418" s="2"/>
    </row>
    <row r="419" spans="1:3" ht="13">
      <c r="A419" s="2"/>
      <c r="C419" s="2"/>
    </row>
    <row r="420" spans="1:3" ht="13">
      <c r="A420" s="2"/>
      <c r="C420" s="2"/>
    </row>
    <row r="421" spans="1:3" ht="13">
      <c r="A421" s="2"/>
      <c r="C421" s="2"/>
    </row>
    <row r="422" spans="1:3" ht="13">
      <c r="A422" s="2"/>
      <c r="C422" s="2"/>
    </row>
    <row r="423" spans="1:3" ht="13">
      <c r="A423" s="2"/>
      <c r="C423" s="2"/>
    </row>
    <row r="424" spans="1:3" ht="13">
      <c r="A424" s="2"/>
      <c r="C424" s="2"/>
    </row>
    <row r="425" spans="1:3" ht="13">
      <c r="A425" s="2"/>
      <c r="C425" s="2"/>
    </row>
    <row r="426" spans="1:3" ht="13">
      <c r="A426" s="2"/>
      <c r="C426" s="2"/>
    </row>
    <row r="427" spans="1:3" ht="13">
      <c r="A427" s="2"/>
      <c r="C427" s="2"/>
    </row>
    <row r="428" spans="1:3" ht="13">
      <c r="A428" s="2"/>
      <c r="C428" s="2"/>
    </row>
    <row r="429" spans="1:3" ht="13">
      <c r="A429" s="2"/>
      <c r="C429" s="2"/>
    </row>
    <row r="430" spans="1:3" ht="13">
      <c r="A430" s="2"/>
      <c r="C430" s="2"/>
    </row>
    <row r="431" spans="1:3" ht="13">
      <c r="A431" s="2"/>
      <c r="C431" s="2"/>
    </row>
    <row r="432" spans="1:3" ht="13">
      <c r="A432" s="2"/>
      <c r="C432" s="2"/>
    </row>
    <row r="433" spans="1:3" ht="13">
      <c r="A433" s="2"/>
      <c r="C433" s="2"/>
    </row>
    <row r="434" spans="1:3" ht="13">
      <c r="A434" s="2"/>
      <c r="C434" s="2"/>
    </row>
    <row r="435" spans="1:3" ht="13">
      <c r="A435" s="2"/>
      <c r="C435" s="2"/>
    </row>
    <row r="436" spans="1:3" ht="13">
      <c r="A436" s="2"/>
      <c r="C436" s="2"/>
    </row>
    <row r="437" spans="1:3" ht="13">
      <c r="A437" s="2"/>
      <c r="C437" s="2"/>
    </row>
    <row r="438" spans="1:3" ht="13">
      <c r="A438" s="2"/>
      <c r="C438" s="2"/>
    </row>
    <row r="439" spans="1:3" ht="13">
      <c r="A439" s="2"/>
      <c r="C439" s="2"/>
    </row>
    <row r="440" spans="1:3" ht="13">
      <c r="A440" s="2"/>
      <c r="C440" s="2"/>
    </row>
    <row r="441" spans="1:3" ht="13">
      <c r="A441" s="2"/>
      <c r="C441" s="2"/>
    </row>
    <row r="442" spans="1:3" ht="13">
      <c r="A442" s="2"/>
      <c r="C442" s="2"/>
    </row>
    <row r="443" spans="1:3" ht="13">
      <c r="A443" s="2"/>
      <c r="C443" s="2"/>
    </row>
    <row r="444" spans="1:3" ht="13">
      <c r="A444" s="2"/>
      <c r="C444" s="2"/>
    </row>
    <row r="445" spans="1:3" ht="13">
      <c r="A445" s="2"/>
      <c r="C445" s="2"/>
    </row>
    <row r="446" spans="1:3" ht="13">
      <c r="A446" s="2"/>
      <c r="C446" s="2"/>
    </row>
    <row r="447" spans="1:3" ht="13">
      <c r="A447" s="2"/>
      <c r="C447" s="2"/>
    </row>
    <row r="448" spans="1:3" ht="13">
      <c r="A448" s="2"/>
      <c r="C448" s="2"/>
    </row>
    <row r="449" spans="1:3" ht="13">
      <c r="A449" s="2"/>
      <c r="C449" s="2"/>
    </row>
    <row r="450" spans="1:3" ht="13">
      <c r="A450" s="2"/>
      <c r="C450" s="2"/>
    </row>
    <row r="451" spans="1:3" ht="13">
      <c r="A451" s="2"/>
      <c r="C451" s="2"/>
    </row>
    <row r="452" spans="1:3" ht="13">
      <c r="A452" s="2"/>
      <c r="C452" s="2"/>
    </row>
    <row r="453" spans="1:3" ht="13">
      <c r="A453" s="2"/>
      <c r="C453" s="2"/>
    </row>
    <row r="454" spans="1:3" ht="13">
      <c r="A454" s="2"/>
      <c r="C454" s="2"/>
    </row>
    <row r="455" spans="1:3" ht="13">
      <c r="A455" s="2"/>
      <c r="C455" s="2"/>
    </row>
    <row r="456" spans="1:3" ht="13">
      <c r="A456" s="2"/>
      <c r="C456" s="2"/>
    </row>
    <row r="457" spans="1:3" ht="13">
      <c r="A457" s="2"/>
      <c r="C457" s="2"/>
    </row>
    <row r="458" spans="1:3" ht="13">
      <c r="A458" s="2"/>
      <c r="C458" s="2"/>
    </row>
    <row r="459" spans="1:3" ht="13">
      <c r="A459" s="2"/>
      <c r="C459" s="2"/>
    </row>
    <row r="460" spans="1:3" ht="13">
      <c r="A460" s="2"/>
      <c r="C460" s="2"/>
    </row>
    <row r="461" spans="1:3" ht="13">
      <c r="A461" s="2"/>
      <c r="C461" s="2"/>
    </row>
    <row r="462" spans="1:3" ht="13">
      <c r="A462" s="2"/>
      <c r="C462" s="2"/>
    </row>
    <row r="463" spans="1:3" ht="13">
      <c r="A463" s="2"/>
      <c r="C463" s="2"/>
    </row>
    <row r="464" spans="1:3" ht="13">
      <c r="A464" s="2"/>
      <c r="C464" s="2"/>
    </row>
    <row r="465" spans="1:3" ht="13">
      <c r="A465" s="2"/>
      <c r="C465" s="2"/>
    </row>
    <row r="466" spans="1:3" ht="13">
      <c r="A466" s="2"/>
      <c r="C466" s="2"/>
    </row>
    <row r="467" spans="1:3" ht="13">
      <c r="A467" s="2"/>
      <c r="C467" s="2"/>
    </row>
    <row r="468" spans="1:3" ht="13">
      <c r="A468" s="2"/>
      <c r="C468" s="2"/>
    </row>
    <row r="469" spans="1:3" ht="13">
      <c r="A469" s="2"/>
      <c r="C469" s="2"/>
    </row>
    <row r="470" spans="1:3" ht="13">
      <c r="A470" s="2"/>
      <c r="C470" s="2"/>
    </row>
    <row r="471" spans="1:3" ht="13">
      <c r="A471" s="2"/>
      <c r="C471" s="2"/>
    </row>
    <row r="472" spans="1:3" ht="13">
      <c r="A472" s="2"/>
      <c r="C472" s="2"/>
    </row>
    <row r="473" spans="1:3" ht="13">
      <c r="A473" s="2"/>
      <c r="C473" s="2"/>
    </row>
    <row r="474" spans="1:3" ht="13">
      <c r="A474" s="2"/>
      <c r="C474" s="2"/>
    </row>
    <row r="475" spans="1:3" ht="13">
      <c r="A475" s="2"/>
      <c r="C475" s="2"/>
    </row>
    <row r="476" spans="1:3" ht="13">
      <c r="A476" s="2"/>
      <c r="C476" s="2"/>
    </row>
    <row r="477" spans="1:3" ht="13">
      <c r="A477" s="2"/>
      <c r="C477" s="2"/>
    </row>
    <row r="478" spans="1:3" ht="13">
      <c r="A478" s="2"/>
      <c r="C478" s="2"/>
    </row>
    <row r="479" spans="1:3" ht="13">
      <c r="A479" s="2"/>
      <c r="C479" s="2"/>
    </row>
    <row r="480" spans="1:3" ht="13">
      <c r="A480" s="2"/>
      <c r="C480" s="2"/>
    </row>
    <row r="481" spans="1:3" ht="13">
      <c r="A481" s="2"/>
      <c r="C481" s="2"/>
    </row>
    <row r="482" spans="1:3" ht="13">
      <c r="A482" s="2"/>
      <c r="C482" s="2"/>
    </row>
    <row r="483" spans="1:3" ht="13">
      <c r="A483" s="2"/>
      <c r="C483" s="2"/>
    </row>
    <row r="484" spans="1:3" ht="13">
      <c r="A484" s="2"/>
      <c r="C484" s="2"/>
    </row>
    <row r="485" spans="1:3" ht="13">
      <c r="A485" s="2"/>
      <c r="C485" s="2"/>
    </row>
    <row r="486" spans="1:3" ht="13">
      <c r="A486" s="2"/>
      <c r="C486" s="2"/>
    </row>
    <row r="487" spans="1:3" ht="13">
      <c r="A487" s="2"/>
      <c r="C487" s="2"/>
    </row>
    <row r="488" spans="1:3" ht="13">
      <c r="A488" s="2"/>
      <c r="C488" s="2"/>
    </row>
    <row r="489" spans="1:3" ht="13">
      <c r="A489" s="2"/>
      <c r="C489" s="2"/>
    </row>
    <row r="490" spans="1:3" ht="13">
      <c r="A490" s="2"/>
      <c r="C490" s="2"/>
    </row>
    <row r="491" spans="1:3" ht="13">
      <c r="A491" s="2"/>
      <c r="C491" s="2"/>
    </row>
    <row r="492" spans="1:3" ht="13">
      <c r="A492" s="2"/>
      <c r="C492" s="2"/>
    </row>
    <row r="493" spans="1:3" ht="13">
      <c r="A493" s="2"/>
      <c r="C493" s="2"/>
    </row>
    <row r="494" spans="1:3" ht="13">
      <c r="A494" s="2"/>
      <c r="C494" s="2"/>
    </row>
    <row r="495" spans="1:3" ht="13">
      <c r="A495" s="2"/>
      <c r="C495" s="2"/>
    </row>
    <row r="496" spans="1:3" ht="13">
      <c r="A496" s="2"/>
      <c r="C496" s="2"/>
    </row>
    <row r="497" spans="1:3" ht="13">
      <c r="A497" s="2"/>
      <c r="C497" s="2"/>
    </row>
    <row r="498" spans="1:3" ht="13">
      <c r="A498" s="2"/>
      <c r="C498" s="2"/>
    </row>
    <row r="499" spans="1:3" ht="13">
      <c r="A499" s="2"/>
      <c r="C499" s="2"/>
    </row>
    <row r="500" spans="1:3" ht="13">
      <c r="A500" s="2"/>
      <c r="C500" s="2"/>
    </row>
    <row r="501" spans="1:3" ht="13">
      <c r="A501" s="2"/>
      <c r="C501" s="2"/>
    </row>
    <row r="502" spans="1:3" ht="13">
      <c r="A502" s="2"/>
      <c r="C502" s="2"/>
    </row>
    <row r="503" spans="1:3" ht="13">
      <c r="A503" s="2"/>
      <c r="C503" s="2"/>
    </row>
    <row r="504" spans="1:3" ht="13">
      <c r="A504" s="2"/>
      <c r="C504" s="2"/>
    </row>
    <row r="505" spans="1:3" ht="13">
      <c r="A505" s="2"/>
      <c r="C505" s="2"/>
    </row>
    <row r="506" spans="1:3" ht="13">
      <c r="A506" s="2"/>
      <c r="C506" s="2"/>
    </row>
    <row r="507" spans="1:3" ht="13">
      <c r="A507" s="2"/>
      <c r="C507" s="2"/>
    </row>
    <row r="508" spans="1:3" ht="13">
      <c r="A508" s="2"/>
      <c r="C508" s="2"/>
    </row>
    <row r="509" spans="1:3" ht="13">
      <c r="A509" s="2"/>
      <c r="C509" s="2"/>
    </row>
    <row r="510" spans="1:3" ht="13">
      <c r="A510" s="2"/>
      <c r="C510" s="2"/>
    </row>
    <row r="511" spans="1:3" ht="13">
      <c r="A511" s="2"/>
      <c r="C511" s="2"/>
    </row>
    <row r="512" spans="1:3" ht="13">
      <c r="A512" s="2"/>
      <c r="C512" s="2"/>
    </row>
    <row r="513" spans="1:3" ht="13">
      <c r="A513" s="2"/>
      <c r="C513" s="2"/>
    </row>
    <row r="514" spans="1:3" ht="13">
      <c r="A514" s="2"/>
      <c r="C514" s="2"/>
    </row>
    <row r="515" spans="1:3" ht="13">
      <c r="A515" s="2"/>
      <c r="C515" s="2"/>
    </row>
    <row r="516" spans="1:3" ht="13">
      <c r="A516" s="2"/>
      <c r="C516" s="2"/>
    </row>
    <row r="517" spans="1:3" ht="13">
      <c r="A517" s="2"/>
      <c r="C517" s="2"/>
    </row>
    <row r="518" spans="1:3" ht="13">
      <c r="A518" s="2"/>
      <c r="C518" s="2"/>
    </row>
    <row r="519" spans="1:3" ht="13">
      <c r="A519" s="2"/>
      <c r="C519" s="2"/>
    </row>
    <row r="520" spans="1:3" ht="13">
      <c r="A520" s="2"/>
      <c r="C520" s="2"/>
    </row>
    <row r="521" spans="1:3" ht="13">
      <c r="A521" s="2"/>
      <c r="C521" s="2"/>
    </row>
    <row r="522" spans="1:3" ht="13">
      <c r="A522" s="2"/>
      <c r="C522" s="2"/>
    </row>
    <row r="523" spans="1:3" ht="13">
      <c r="A523" s="2"/>
      <c r="C523" s="2"/>
    </row>
    <row r="524" spans="1:3" ht="13">
      <c r="A524" s="2"/>
      <c r="C524" s="2"/>
    </row>
    <row r="525" spans="1:3" ht="13">
      <c r="A525" s="2"/>
      <c r="C525" s="2"/>
    </row>
    <row r="526" spans="1:3" ht="13">
      <c r="A526" s="2"/>
      <c r="C526" s="2"/>
    </row>
    <row r="527" spans="1:3" ht="13">
      <c r="A527" s="2"/>
      <c r="C527" s="2"/>
    </row>
    <row r="528" spans="1:3" ht="13">
      <c r="A528" s="2"/>
      <c r="C528" s="2"/>
    </row>
    <row r="529" spans="1:3" ht="13">
      <c r="A529" s="2"/>
      <c r="C529" s="2"/>
    </row>
    <row r="530" spans="1:3" ht="13">
      <c r="A530" s="2"/>
      <c r="C530" s="2"/>
    </row>
    <row r="531" spans="1:3" ht="13">
      <c r="A531" s="2"/>
      <c r="C531" s="2"/>
    </row>
    <row r="532" spans="1:3" ht="13">
      <c r="A532" s="2"/>
      <c r="C532" s="2"/>
    </row>
    <row r="533" spans="1:3" ht="13">
      <c r="A533" s="2"/>
      <c r="C533" s="2"/>
    </row>
    <row r="534" spans="1:3" ht="13">
      <c r="A534" s="2"/>
      <c r="C534" s="2"/>
    </row>
    <row r="535" spans="1:3" ht="13">
      <c r="A535" s="2"/>
      <c r="C535" s="2"/>
    </row>
    <row r="536" spans="1:3" ht="13">
      <c r="A536" s="2"/>
      <c r="C536" s="2"/>
    </row>
    <row r="537" spans="1:3" ht="13">
      <c r="A537" s="2"/>
      <c r="C537" s="2"/>
    </row>
    <row r="538" spans="1:3" ht="13">
      <c r="A538" s="2"/>
      <c r="C538" s="2"/>
    </row>
    <row r="539" spans="1:3" ht="13">
      <c r="A539" s="2"/>
      <c r="C539" s="2"/>
    </row>
    <row r="540" spans="1:3" ht="13">
      <c r="A540" s="2"/>
      <c r="C540" s="2"/>
    </row>
    <row r="541" spans="1:3" ht="13">
      <c r="A541" s="2"/>
      <c r="C541" s="2"/>
    </row>
    <row r="542" spans="1:3" ht="13">
      <c r="A542" s="2"/>
      <c r="C542" s="2"/>
    </row>
    <row r="543" spans="1:3" ht="13">
      <c r="A543" s="2"/>
      <c r="C543" s="2"/>
    </row>
    <row r="544" spans="1:3" ht="13">
      <c r="A544" s="2"/>
      <c r="C544" s="2"/>
    </row>
    <row r="545" spans="1:3" ht="13">
      <c r="A545" s="2"/>
      <c r="C545" s="2"/>
    </row>
    <row r="546" spans="1:3" ht="13">
      <c r="A546" s="2"/>
      <c r="C546" s="2"/>
    </row>
    <row r="547" spans="1:3" ht="13">
      <c r="A547" s="2"/>
      <c r="C547" s="2"/>
    </row>
    <row r="548" spans="1:3" ht="13">
      <c r="A548" s="2"/>
      <c r="C548" s="2"/>
    </row>
    <row r="549" spans="1:3" ht="13">
      <c r="A549" s="2"/>
      <c r="C549" s="2"/>
    </row>
    <row r="550" spans="1:3" ht="13">
      <c r="A550" s="2"/>
      <c r="C550" s="2"/>
    </row>
    <row r="551" spans="1:3" ht="13">
      <c r="A551" s="2"/>
      <c r="C551" s="2"/>
    </row>
    <row r="552" spans="1:3" ht="13">
      <c r="A552" s="2"/>
      <c r="C552" s="2"/>
    </row>
    <row r="553" spans="1:3" ht="13">
      <c r="A553" s="2"/>
      <c r="C553" s="2"/>
    </row>
    <row r="554" spans="1:3" ht="13">
      <c r="A554" s="2"/>
      <c r="C554" s="2"/>
    </row>
    <row r="555" spans="1:3" ht="13">
      <c r="A555" s="2"/>
      <c r="C555" s="2"/>
    </row>
    <row r="556" spans="1:3" ht="13">
      <c r="A556" s="2"/>
      <c r="C556" s="2"/>
    </row>
    <row r="557" spans="1:3" ht="13">
      <c r="A557" s="2"/>
      <c r="C557" s="2"/>
    </row>
    <row r="558" spans="1:3" ht="13">
      <c r="A558" s="2"/>
      <c r="C558" s="2"/>
    </row>
    <row r="559" spans="1:3" ht="13">
      <c r="A559" s="2"/>
      <c r="C559" s="2"/>
    </row>
    <row r="560" spans="1:3" ht="13">
      <c r="A560" s="2"/>
      <c r="C560" s="2"/>
    </row>
    <row r="561" spans="1:3" ht="13">
      <c r="A561" s="2"/>
      <c r="C561" s="2"/>
    </row>
    <row r="562" spans="1:3" ht="13">
      <c r="A562" s="2"/>
      <c r="C562" s="2"/>
    </row>
    <row r="563" spans="1:3" ht="13">
      <c r="A563" s="2"/>
      <c r="C563" s="2"/>
    </row>
    <row r="564" spans="1:3" ht="13">
      <c r="A564" s="2"/>
      <c r="C564" s="2"/>
    </row>
    <row r="565" spans="1:3" ht="13">
      <c r="A565" s="2"/>
      <c r="C565" s="2"/>
    </row>
    <row r="566" spans="1:3" ht="13">
      <c r="A566" s="2"/>
      <c r="C566" s="2"/>
    </row>
    <row r="567" spans="1:3" ht="13">
      <c r="A567" s="2"/>
      <c r="C567" s="2"/>
    </row>
    <row r="568" spans="1:3" ht="13">
      <c r="A568" s="2"/>
      <c r="C568" s="2"/>
    </row>
    <row r="569" spans="1:3" ht="13">
      <c r="A569" s="2"/>
      <c r="C569" s="2"/>
    </row>
    <row r="570" spans="1:3" ht="13">
      <c r="A570" s="2"/>
      <c r="C570" s="2"/>
    </row>
    <row r="571" spans="1:3" ht="13">
      <c r="A571" s="2"/>
      <c r="C571" s="2"/>
    </row>
    <row r="572" spans="1:3" ht="13">
      <c r="A572" s="2"/>
      <c r="C572" s="2"/>
    </row>
    <row r="573" spans="1:3" ht="13">
      <c r="A573" s="2"/>
      <c r="C573" s="2"/>
    </row>
    <row r="574" spans="1:3" ht="13">
      <c r="A574" s="2"/>
      <c r="C574" s="2"/>
    </row>
    <row r="575" spans="1:3" ht="13">
      <c r="A575" s="2"/>
      <c r="C575" s="2"/>
    </row>
    <row r="576" spans="1:3" ht="13">
      <c r="A576" s="2"/>
      <c r="C576" s="2"/>
    </row>
    <row r="577" spans="1:3" ht="13">
      <c r="A577" s="2"/>
      <c r="C577" s="2"/>
    </row>
    <row r="578" spans="1:3" ht="13">
      <c r="A578" s="2"/>
      <c r="C578" s="2"/>
    </row>
    <row r="579" spans="1:3" ht="13">
      <c r="A579" s="2"/>
      <c r="C579" s="2"/>
    </row>
    <row r="580" spans="1:3" ht="13">
      <c r="A580" s="2"/>
      <c r="C580" s="2"/>
    </row>
    <row r="581" spans="1:3" ht="13">
      <c r="A581" s="2"/>
      <c r="C581" s="2"/>
    </row>
    <row r="582" spans="1:3" ht="13">
      <c r="A582" s="2"/>
      <c r="C582" s="2"/>
    </row>
    <row r="583" spans="1:3" ht="13">
      <c r="A583" s="2"/>
      <c r="C583" s="2"/>
    </row>
    <row r="584" spans="1:3" ht="13">
      <c r="A584" s="2"/>
      <c r="C584" s="2"/>
    </row>
    <row r="585" spans="1:3" ht="13">
      <c r="A585" s="2"/>
      <c r="C585" s="2"/>
    </row>
    <row r="586" spans="1:3" ht="13">
      <c r="A586" s="2"/>
      <c r="C586" s="2"/>
    </row>
    <row r="587" spans="1:3" ht="13">
      <c r="A587" s="2"/>
      <c r="C587" s="2"/>
    </row>
    <row r="588" spans="1:3" ht="13">
      <c r="A588" s="2"/>
      <c r="C588" s="2"/>
    </row>
    <row r="589" spans="1:3" ht="13">
      <c r="A589" s="2"/>
      <c r="C589" s="2"/>
    </row>
    <row r="590" spans="1:3" ht="13">
      <c r="A590" s="2"/>
      <c r="C590" s="2"/>
    </row>
    <row r="591" spans="1:3" ht="13">
      <c r="A591" s="2"/>
      <c r="C591" s="2"/>
    </row>
    <row r="592" spans="1:3" ht="13">
      <c r="A592" s="2"/>
      <c r="C592" s="2"/>
    </row>
    <row r="593" spans="1:3" ht="13">
      <c r="A593" s="2"/>
      <c r="C593" s="2"/>
    </row>
    <row r="594" spans="1:3" ht="13">
      <c r="A594" s="2"/>
      <c r="C594" s="2"/>
    </row>
    <row r="595" spans="1:3" ht="13">
      <c r="A595" s="2"/>
      <c r="C595" s="2"/>
    </row>
    <row r="596" spans="1:3" ht="13">
      <c r="A596" s="2"/>
      <c r="C596" s="2"/>
    </row>
    <row r="597" spans="1:3" ht="13">
      <c r="A597" s="2"/>
      <c r="C597" s="2"/>
    </row>
    <row r="598" spans="1:3" ht="13">
      <c r="A598" s="2"/>
      <c r="C598" s="2"/>
    </row>
    <row r="599" spans="1:3" ht="13">
      <c r="A599" s="2"/>
      <c r="C599" s="2"/>
    </row>
    <row r="600" spans="1:3" ht="13">
      <c r="A600" s="2"/>
      <c r="C600" s="2"/>
    </row>
    <row r="601" spans="1:3" ht="13">
      <c r="A601" s="2"/>
      <c r="C601" s="2"/>
    </row>
    <row r="602" spans="1:3" ht="13">
      <c r="A602" s="2"/>
      <c r="C602" s="2"/>
    </row>
    <row r="603" spans="1:3" ht="13">
      <c r="A603" s="2"/>
      <c r="C603" s="2"/>
    </row>
    <row r="604" spans="1:3" ht="13">
      <c r="A604" s="2"/>
      <c r="C604" s="2"/>
    </row>
    <row r="605" spans="1:3" ht="13">
      <c r="A605" s="2"/>
      <c r="C605" s="2"/>
    </row>
    <row r="606" spans="1:3" ht="13">
      <c r="A606" s="2"/>
      <c r="C606" s="2"/>
    </row>
    <row r="607" spans="1:3" ht="13">
      <c r="A607" s="2"/>
      <c r="C607" s="2"/>
    </row>
    <row r="608" spans="1:3" ht="13">
      <c r="A608" s="2"/>
      <c r="C608" s="2"/>
    </row>
    <row r="609" spans="1:3" ht="13">
      <c r="A609" s="2"/>
      <c r="C609" s="2"/>
    </row>
    <row r="610" spans="1:3" ht="13">
      <c r="A610" s="2"/>
      <c r="C610" s="2"/>
    </row>
    <row r="611" spans="1:3" ht="13">
      <c r="A611" s="2"/>
      <c r="C611" s="2"/>
    </row>
    <row r="612" spans="1:3" ht="13">
      <c r="A612" s="2"/>
      <c r="C612" s="2"/>
    </row>
    <row r="613" spans="1:3" ht="13">
      <c r="A613" s="2"/>
      <c r="C613" s="2"/>
    </row>
    <row r="614" spans="1:3" ht="13">
      <c r="A614" s="2"/>
      <c r="C614" s="2"/>
    </row>
    <row r="615" spans="1:3" ht="13">
      <c r="A615" s="2"/>
      <c r="C615" s="2"/>
    </row>
    <row r="616" spans="1:3" ht="13">
      <c r="A616" s="2"/>
      <c r="C616" s="2"/>
    </row>
    <row r="617" spans="1:3" ht="13">
      <c r="A617" s="2"/>
      <c r="C617" s="2"/>
    </row>
    <row r="618" spans="1:3" ht="13">
      <c r="A618" s="2"/>
      <c r="C618" s="2"/>
    </row>
    <row r="619" spans="1:3" ht="13">
      <c r="A619" s="2"/>
      <c r="C619" s="2"/>
    </row>
    <row r="620" spans="1:3" ht="13">
      <c r="A620" s="2"/>
      <c r="C620" s="2"/>
    </row>
    <row r="621" spans="1:3" ht="13">
      <c r="A621" s="2"/>
      <c r="C621" s="2"/>
    </row>
    <row r="622" spans="1:3" ht="13">
      <c r="A622" s="2"/>
      <c r="C622" s="2"/>
    </row>
    <row r="623" spans="1:3" ht="13">
      <c r="A623" s="2"/>
      <c r="C623" s="2"/>
    </row>
    <row r="624" spans="1:3" ht="13">
      <c r="A624" s="2"/>
      <c r="C624" s="2"/>
    </row>
    <row r="625" spans="1:3" ht="13">
      <c r="A625" s="2"/>
      <c r="C625" s="2"/>
    </row>
    <row r="626" spans="1:3" ht="13">
      <c r="A626" s="2"/>
      <c r="C626" s="2"/>
    </row>
    <row r="627" spans="1:3" ht="13">
      <c r="A627" s="2"/>
      <c r="C627" s="2"/>
    </row>
    <row r="628" spans="1:3" ht="13">
      <c r="A628" s="2"/>
      <c r="C628" s="2"/>
    </row>
    <row r="629" spans="1:3" ht="13">
      <c r="A629" s="2"/>
      <c r="C629" s="2"/>
    </row>
    <row r="630" spans="1:3" ht="13">
      <c r="A630" s="2"/>
      <c r="C630" s="2"/>
    </row>
    <row r="631" spans="1:3" ht="13">
      <c r="A631" s="2"/>
      <c r="C631" s="2"/>
    </row>
    <row r="632" spans="1:3" ht="13">
      <c r="A632" s="2"/>
      <c r="C632" s="2"/>
    </row>
    <row r="633" spans="1:3" ht="13">
      <c r="A633" s="2"/>
      <c r="C633" s="2"/>
    </row>
    <row r="634" spans="1:3" ht="13">
      <c r="A634" s="2"/>
      <c r="C634" s="2"/>
    </row>
    <row r="635" spans="1:3" ht="13">
      <c r="A635" s="2"/>
      <c r="C635" s="2"/>
    </row>
    <row r="636" spans="1:3" ht="13">
      <c r="A636" s="2"/>
      <c r="C636" s="2"/>
    </row>
    <row r="637" spans="1:3" ht="13">
      <c r="A637" s="2"/>
      <c r="C637" s="2"/>
    </row>
    <row r="638" spans="1:3" ht="13">
      <c r="A638" s="2"/>
      <c r="C638" s="2"/>
    </row>
    <row r="639" spans="1:3" ht="13">
      <c r="A639" s="2"/>
      <c r="C639" s="2"/>
    </row>
    <row r="640" spans="1:3" ht="13">
      <c r="A640" s="2"/>
      <c r="C640" s="2"/>
    </row>
    <row r="641" spans="1:3" ht="13">
      <c r="A641" s="2"/>
      <c r="C641" s="2"/>
    </row>
    <row r="642" spans="1:3" ht="13">
      <c r="A642" s="2"/>
      <c r="C642" s="2"/>
    </row>
    <row r="643" spans="1:3" ht="13">
      <c r="A643" s="2"/>
      <c r="C643" s="2"/>
    </row>
    <row r="644" spans="1:3" ht="13">
      <c r="A644" s="2"/>
      <c r="C644" s="2"/>
    </row>
    <row r="645" spans="1:3" ht="13">
      <c r="A645" s="2"/>
      <c r="C645" s="2"/>
    </row>
    <row r="646" spans="1:3" ht="13">
      <c r="A646" s="2"/>
      <c r="C646" s="2"/>
    </row>
    <row r="647" spans="1:3" ht="13">
      <c r="A647" s="2"/>
      <c r="C647" s="2"/>
    </row>
    <row r="648" spans="1:3" ht="13">
      <c r="A648" s="2"/>
      <c r="C648" s="2"/>
    </row>
    <row r="649" spans="1:3" ht="13">
      <c r="A649" s="2"/>
      <c r="C649" s="2"/>
    </row>
    <row r="650" spans="1:3" ht="13">
      <c r="A650" s="2"/>
      <c r="C650" s="2"/>
    </row>
    <row r="651" spans="1:3" ht="13">
      <c r="A651" s="2"/>
      <c r="C651" s="2"/>
    </row>
    <row r="652" spans="1:3" ht="13">
      <c r="A652" s="2"/>
      <c r="C652" s="2"/>
    </row>
    <row r="653" spans="1:3" ht="13">
      <c r="A653" s="2"/>
      <c r="C653" s="2"/>
    </row>
    <row r="654" spans="1:3" ht="13">
      <c r="A654" s="2"/>
      <c r="C654" s="2"/>
    </row>
    <row r="655" spans="1:3" ht="13">
      <c r="A655" s="2"/>
      <c r="C655" s="2"/>
    </row>
    <row r="656" spans="1:3" ht="13">
      <c r="A656" s="2"/>
      <c r="C656" s="2"/>
    </row>
    <row r="657" spans="1:3" ht="13">
      <c r="A657" s="2"/>
      <c r="C657" s="2"/>
    </row>
    <row r="658" spans="1:3" ht="13">
      <c r="A658" s="2"/>
      <c r="C658" s="2"/>
    </row>
    <row r="659" spans="1:3" ht="13">
      <c r="A659" s="2"/>
      <c r="C659" s="2"/>
    </row>
    <row r="660" spans="1:3" ht="13">
      <c r="A660" s="2"/>
      <c r="C660" s="2"/>
    </row>
    <row r="661" spans="1:3" ht="13">
      <c r="A661" s="2"/>
      <c r="C661" s="2"/>
    </row>
    <row r="662" spans="1:3" ht="13">
      <c r="A662" s="2"/>
      <c r="C662" s="2"/>
    </row>
    <row r="663" spans="1:3" ht="13">
      <c r="A663" s="2"/>
      <c r="C663" s="2"/>
    </row>
    <row r="664" spans="1:3" ht="13">
      <c r="A664" s="2"/>
      <c r="C664" s="2"/>
    </row>
    <row r="665" spans="1:3" ht="13">
      <c r="A665" s="2"/>
      <c r="C665" s="2"/>
    </row>
    <row r="666" spans="1:3" ht="13">
      <c r="A666" s="2"/>
      <c r="C666" s="2"/>
    </row>
    <row r="667" spans="1:3" ht="13">
      <c r="A667" s="2"/>
      <c r="C667" s="2"/>
    </row>
    <row r="668" spans="1:3" ht="13">
      <c r="A668" s="2"/>
      <c r="C668" s="2"/>
    </row>
    <row r="669" spans="1:3" ht="13">
      <c r="A669" s="2"/>
      <c r="C669" s="2"/>
    </row>
    <row r="670" spans="1:3" ht="13">
      <c r="A670" s="2"/>
      <c r="C670" s="2"/>
    </row>
    <row r="671" spans="1:3" ht="13">
      <c r="A671" s="2"/>
      <c r="C671" s="2"/>
    </row>
    <row r="672" spans="1:3" ht="13">
      <c r="A672" s="2"/>
      <c r="C672" s="2"/>
    </row>
    <row r="673" spans="1:3" ht="13">
      <c r="A673" s="2"/>
      <c r="C673" s="2"/>
    </row>
    <row r="674" spans="1:3" ht="13">
      <c r="A674" s="2"/>
      <c r="C674" s="2"/>
    </row>
    <row r="675" spans="1:3" ht="13">
      <c r="A675" s="2"/>
      <c r="C675" s="2"/>
    </row>
    <row r="676" spans="1:3" ht="13">
      <c r="A676" s="2"/>
      <c r="C676" s="2"/>
    </row>
    <row r="677" spans="1:3" ht="13">
      <c r="A677" s="2"/>
      <c r="C677" s="2"/>
    </row>
    <row r="678" spans="1:3" ht="13">
      <c r="A678" s="2"/>
      <c r="C678" s="2"/>
    </row>
    <row r="679" spans="1:3" ht="13">
      <c r="A679" s="2"/>
      <c r="C679" s="2"/>
    </row>
    <row r="680" spans="1:3" ht="13">
      <c r="A680" s="2"/>
      <c r="C680" s="2"/>
    </row>
    <row r="681" spans="1:3" ht="13">
      <c r="A681" s="2"/>
      <c r="C681" s="2"/>
    </row>
    <row r="682" spans="1:3" ht="13">
      <c r="A682" s="2"/>
      <c r="C682" s="2"/>
    </row>
    <row r="683" spans="1:3" ht="13">
      <c r="A683" s="2"/>
      <c r="C683" s="2"/>
    </row>
    <row r="684" spans="1:3" ht="13">
      <c r="A684" s="2"/>
      <c r="C684" s="2"/>
    </row>
    <row r="685" spans="1:3" ht="13">
      <c r="A685" s="2"/>
      <c r="C685" s="2"/>
    </row>
    <row r="686" spans="1:3" ht="13">
      <c r="A686" s="2"/>
      <c r="C686" s="2"/>
    </row>
    <row r="687" spans="1:3" ht="13">
      <c r="A687" s="2"/>
      <c r="C687" s="2"/>
    </row>
    <row r="688" spans="1:3" ht="13">
      <c r="A688" s="2"/>
      <c r="C688" s="2"/>
    </row>
    <row r="689" spans="1:3" ht="13">
      <c r="A689" s="2"/>
      <c r="C689" s="2"/>
    </row>
    <row r="690" spans="1:3" ht="13">
      <c r="A690" s="2"/>
      <c r="C690" s="2"/>
    </row>
    <row r="691" spans="1:3" ht="13">
      <c r="A691" s="2"/>
      <c r="C691" s="2"/>
    </row>
    <row r="692" spans="1:3" ht="13">
      <c r="A692" s="2"/>
      <c r="C692" s="2"/>
    </row>
    <row r="693" spans="1:3" ht="13">
      <c r="A693" s="2"/>
      <c r="C693" s="2"/>
    </row>
    <row r="694" spans="1:3" ht="13">
      <c r="A694" s="2"/>
      <c r="C694" s="2"/>
    </row>
    <row r="695" spans="1:3" ht="13">
      <c r="A695" s="2"/>
      <c r="C695" s="2"/>
    </row>
    <row r="696" spans="1:3" ht="13">
      <c r="A696" s="2"/>
      <c r="C696" s="2"/>
    </row>
    <row r="697" spans="1:3" ht="13">
      <c r="A697" s="2"/>
      <c r="C697" s="2"/>
    </row>
    <row r="698" spans="1:3" ht="13">
      <c r="A698" s="2"/>
      <c r="C698" s="2"/>
    </row>
    <row r="699" spans="1:3" ht="13">
      <c r="A699" s="2"/>
      <c r="C699" s="2"/>
    </row>
    <row r="700" spans="1:3" ht="13">
      <c r="A700" s="2"/>
      <c r="C700" s="2"/>
    </row>
    <row r="701" spans="1:3" ht="13">
      <c r="A701" s="2"/>
      <c r="C701" s="2"/>
    </row>
    <row r="702" spans="1:3" ht="13">
      <c r="A702" s="2"/>
      <c r="C702" s="2"/>
    </row>
    <row r="703" spans="1:3" ht="13">
      <c r="A703" s="2"/>
      <c r="C703" s="2"/>
    </row>
    <row r="704" spans="1:3" ht="13">
      <c r="A704" s="2"/>
      <c r="C704" s="2"/>
    </row>
    <row r="705" spans="1:3" ht="13">
      <c r="A705" s="2"/>
      <c r="C705" s="2"/>
    </row>
    <row r="706" spans="1:3" ht="13">
      <c r="A706" s="2"/>
      <c r="C706" s="2"/>
    </row>
    <row r="707" spans="1:3" ht="13">
      <c r="A707" s="2"/>
      <c r="C707" s="2"/>
    </row>
    <row r="708" spans="1:3" ht="13">
      <c r="A708" s="2"/>
      <c r="C708" s="2"/>
    </row>
    <row r="709" spans="1:3" ht="13">
      <c r="A709" s="2"/>
      <c r="C709" s="2"/>
    </row>
    <row r="710" spans="1:3" ht="13">
      <c r="A710" s="2"/>
      <c r="C710" s="2"/>
    </row>
    <row r="711" spans="1:3" ht="13">
      <c r="A711" s="2"/>
      <c r="C711" s="2"/>
    </row>
    <row r="712" spans="1:3" ht="13">
      <c r="A712" s="2"/>
      <c r="C712" s="2"/>
    </row>
    <row r="713" spans="1:3" ht="13">
      <c r="A713" s="2"/>
      <c r="C713" s="2"/>
    </row>
    <row r="714" spans="1:3" ht="13">
      <c r="A714" s="2"/>
      <c r="C714" s="2"/>
    </row>
    <row r="715" spans="1:3" ht="13">
      <c r="A715" s="2"/>
      <c r="C715" s="2"/>
    </row>
    <row r="716" spans="1:3" ht="13">
      <c r="A716" s="2"/>
      <c r="C716" s="2"/>
    </row>
    <row r="717" spans="1:3" ht="13">
      <c r="A717" s="2"/>
      <c r="C717" s="2"/>
    </row>
    <row r="718" spans="1:3" ht="13">
      <c r="A718" s="2"/>
      <c r="C718" s="2"/>
    </row>
    <row r="719" spans="1:3" ht="13">
      <c r="A719" s="2"/>
      <c r="C719" s="2"/>
    </row>
    <row r="720" spans="1:3" ht="13">
      <c r="A720" s="2"/>
      <c r="C720" s="2"/>
    </row>
    <row r="721" spans="1:3" ht="13">
      <c r="A721" s="2"/>
      <c r="C721" s="2"/>
    </row>
    <row r="722" spans="1:3" ht="13">
      <c r="A722" s="2"/>
      <c r="C722" s="2"/>
    </row>
    <row r="723" spans="1:3" ht="13">
      <c r="A723" s="2"/>
      <c r="C723" s="2"/>
    </row>
    <row r="724" spans="1:3" ht="13">
      <c r="A724" s="2"/>
      <c r="C724" s="2"/>
    </row>
    <row r="725" spans="1:3" ht="13">
      <c r="A725" s="2"/>
      <c r="C725" s="2"/>
    </row>
    <row r="726" spans="1:3" ht="13">
      <c r="A726" s="2"/>
      <c r="C726" s="2"/>
    </row>
    <row r="727" spans="1:3" ht="13">
      <c r="A727" s="2"/>
      <c r="C727" s="2"/>
    </row>
    <row r="728" spans="1:3" ht="13">
      <c r="A728" s="2"/>
      <c r="C728" s="2"/>
    </row>
    <row r="729" spans="1:3" ht="13">
      <c r="A729" s="2"/>
      <c r="C729" s="2"/>
    </row>
    <row r="730" spans="1:3" ht="13">
      <c r="A730" s="2"/>
      <c r="C730" s="2"/>
    </row>
    <row r="731" spans="1:3" ht="13">
      <c r="A731" s="2"/>
      <c r="C731" s="2"/>
    </row>
    <row r="732" spans="1:3" ht="13">
      <c r="A732" s="2"/>
      <c r="C732" s="2"/>
    </row>
    <row r="733" spans="1:3" ht="13">
      <c r="A733" s="2"/>
      <c r="C733" s="2"/>
    </row>
    <row r="734" spans="1:3" ht="13">
      <c r="A734" s="2"/>
      <c r="C734" s="2"/>
    </row>
    <row r="735" spans="1:3" ht="13">
      <c r="A735" s="2"/>
      <c r="C735" s="2"/>
    </row>
    <row r="736" spans="1:3" ht="13">
      <c r="A736" s="2"/>
      <c r="C736" s="2"/>
    </row>
    <row r="737" spans="1:3" ht="13">
      <c r="A737" s="2"/>
      <c r="C737" s="2"/>
    </row>
    <row r="738" spans="1:3" ht="13">
      <c r="A738" s="2"/>
      <c r="C738" s="2"/>
    </row>
    <row r="739" spans="1:3" ht="13">
      <c r="A739" s="2"/>
      <c r="C739" s="2"/>
    </row>
    <row r="740" spans="1:3" ht="13">
      <c r="A740" s="2"/>
      <c r="C740" s="2"/>
    </row>
    <row r="741" spans="1:3" ht="13">
      <c r="A741" s="2"/>
      <c r="C741" s="2"/>
    </row>
    <row r="742" spans="1:3" ht="13">
      <c r="A742" s="2"/>
      <c r="C742" s="2"/>
    </row>
    <row r="743" spans="1:3" ht="13">
      <c r="A743" s="2"/>
      <c r="C743" s="2"/>
    </row>
    <row r="744" spans="1:3" ht="13">
      <c r="A744" s="2"/>
      <c r="C744" s="2"/>
    </row>
    <row r="745" spans="1:3" ht="13">
      <c r="A745" s="2"/>
      <c r="C745" s="2"/>
    </row>
    <row r="746" spans="1:3" ht="13">
      <c r="A746" s="2"/>
      <c r="C746" s="2"/>
    </row>
    <row r="747" spans="1:3" ht="13">
      <c r="A747" s="2"/>
      <c r="C747" s="2"/>
    </row>
    <row r="748" spans="1:3" ht="13">
      <c r="A748" s="2"/>
      <c r="C748" s="2"/>
    </row>
    <row r="749" spans="1:3" ht="13">
      <c r="A749" s="2"/>
      <c r="C749" s="2"/>
    </row>
    <row r="750" spans="1:3" ht="13">
      <c r="A750" s="2"/>
      <c r="C750" s="2"/>
    </row>
    <row r="751" spans="1:3" ht="13">
      <c r="A751" s="2"/>
      <c r="C751" s="2"/>
    </row>
    <row r="752" spans="1:3" ht="13">
      <c r="A752" s="2"/>
      <c r="C752" s="2"/>
    </row>
    <row r="753" spans="1:3" ht="13">
      <c r="A753" s="2"/>
      <c r="C753" s="2"/>
    </row>
    <row r="754" spans="1:3" ht="13">
      <c r="A754" s="2"/>
      <c r="C754" s="2"/>
    </row>
    <row r="755" spans="1:3" ht="13">
      <c r="A755" s="2"/>
      <c r="C755" s="2"/>
    </row>
    <row r="756" spans="1:3" ht="13">
      <c r="A756" s="2"/>
      <c r="C756" s="2"/>
    </row>
    <row r="757" spans="1:3" ht="13">
      <c r="A757" s="2"/>
      <c r="C757" s="2"/>
    </row>
    <row r="758" spans="1:3" ht="13">
      <c r="A758" s="2"/>
      <c r="C758" s="2"/>
    </row>
    <row r="759" spans="1:3" ht="13">
      <c r="A759" s="2"/>
      <c r="C759" s="2"/>
    </row>
    <row r="760" spans="1:3" ht="13">
      <c r="A760" s="2"/>
      <c r="C760" s="2"/>
    </row>
    <row r="761" spans="1:3" ht="13">
      <c r="A761" s="2"/>
      <c r="C761" s="2"/>
    </row>
    <row r="762" spans="1:3" ht="13">
      <c r="A762" s="2"/>
      <c r="C762" s="2"/>
    </row>
    <row r="763" spans="1:3" ht="13">
      <c r="A763" s="2"/>
      <c r="C763" s="2"/>
    </row>
    <row r="764" spans="1:3" ht="13">
      <c r="A764" s="2"/>
      <c r="C764" s="2"/>
    </row>
    <row r="765" spans="1:3" ht="13">
      <c r="A765" s="2"/>
      <c r="C765" s="2"/>
    </row>
    <row r="766" spans="1:3" ht="13">
      <c r="A766" s="2"/>
      <c r="C766" s="2"/>
    </row>
    <row r="767" spans="1:3" ht="13">
      <c r="A767" s="2"/>
      <c r="C767" s="2"/>
    </row>
    <row r="768" spans="1:3" ht="13">
      <c r="A768" s="2"/>
      <c r="C768" s="2"/>
    </row>
    <row r="769" spans="1:3" ht="13">
      <c r="A769" s="2"/>
      <c r="C769" s="2"/>
    </row>
    <row r="770" spans="1:3" ht="13">
      <c r="A770" s="2"/>
      <c r="C770" s="2"/>
    </row>
    <row r="771" spans="1:3" ht="13">
      <c r="A771" s="2"/>
      <c r="C771" s="2"/>
    </row>
    <row r="772" spans="1:3" ht="13">
      <c r="A772" s="2"/>
      <c r="C772" s="2"/>
    </row>
    <row r="773" spans="1:3" ht="13">
      <c r="A773" s="2"/>
      <c r="C773" s="2"/>
    </row>
    <row r="774" spans="1:3" ht="13">
      <c r="A774" s="2"/>
      <c r="C774" s="2"/>
    </row>
    <row r="775" spans="1:3" ht="13">
      <c r="A775" s="2"/>
      <c r="C775" s="2"/>
    </row>
    <row r="776" spans="1:3" ht="13">
      <c r="A776" s="2"/>
      <c r="C776" s="2"/>
    </row>
    <row r="777" spans="1:3" ht="13">
      <c r="A777" s="2"/>
      <c r="C777" s="2"/>
    </row>
    <row r="778" spans="1:3" ht="13">
      <c r="A778" s="2"/>
      <c r="C778" s="2"/>
    </row>
    <row r="779" spans="1:3" ht="13">
      <c r="A779" s="2"/>
      <c r="C779" s="2"/>
    </row>
    <row r="780" spans="1:3" ht="13">
      <c r="A780" s="2"/>
      <c r="C780" s="2"/>
    </row>
    <row r="781" spans="1:3" ht="13">
      <c r="A781" s="2"/>
      <c r="C781" s="2"/>
    </row>
    <row r="782" spans="1:3" ht="13">
      <c r="A782" s="2"/>
      <c r="C782" s="2"/>
    </row>
    <row r="783" spans="1:3" ht="13">
      <c r="A783" s="2"/>
      <c r="C783" s="2"/>
    </row>
    <row r="784" spans="1:3" ht="13">
      <c r="A784" s="2"/>
      <c r="C784" s="2"/>
    </row>
    <row r="785" spans="1:3" ht="13">
      <c r="A785" s="2"/>
      <c r="C785" s="2"/>
    </row>
    <row r="786" spans="1:3" ht="13">
      <c r="A786" s="2"/>
      <c r="C786" s="2"/>
    </row>
    <row r="787" spans="1:3" ht="13">
      <c r="A787" s="2"/>
      <c r="C787" s="2"/>
    </row>
    <row r="788" spans="1:3" ht="13">
      <c r="A788" s="2"/>
      <c r="C788" s="2"/>
    </row>
    <row r="789" spans="1:3" ht="13">
      <c r="A789" s="2"/>
      <c r="C789" s="2"/>
    </row>
    <row r="790" spans="1:3" ht="13">
      <c r="A790" s="2"/>
      <c r="C790" s="2"/>
    </row>
    <row r="791" spans="1:3" ht="13">
      <c r="A791" s="2"/>
      <c r="C791" s="2"/>
    </row>
    <row r="792" spans="1:3" ht="13">
      <c r="A792" s="2"/>
      <c r="C792" s="2"/>
    </row>
    <row r="793" spans="1:3" ht="13">
      <c r="A793" s="2"/>
      <c r="C793" s="2"/>
    </row>
    <row r="794" spans="1:3" ht="13">
      <c r="A794" s="2"/>
      <c r="C794" s="2"/>
    </row>
    <row r="795" spans="1:3" ht="13">
      <c r="A795" s="2"/>
      <c r="C795" s="2"/>
    </row>
    <row r="796" spans="1:3" ht="13">
      <c r="A796" s="2"/>
      <c r="C796" s="2"/>
    </row>
    <row r="797" spans="1:3" ht="13">
      <c r="A797" s="2"/>
      <c r="C797" s="2"/>
    </row>
    <row r="798" spans="1:3" ht="13">
      <c r="A798" s="2"/>
      <c r="C798" s="2"/>
    </row>
    <row r="799" spans="1:3" ht="13">
      <c r="A799" s="2"/>
      <c r="C799" s="2"/>
    </row>
    <row r="800" spans="1:3" ht="13">
      <c r="A800" s="2"/>
      <c r="C800" s="2"/>
    </row>
    <row r="801" spans="1:3" ht="13">
      <c r="A801" s="2"/>
      <c r="C801" s="2"/>
    </row>
    <row r="802" spans="1:3" ht="13">
      <c r="A802" s="2"/>
      <c r="C802" s="2"/>
    </row>
    <row r="803" spans="1:3" ht="13">
      <c r="A803" s="2"/>
      <c r="C803" s="2"/>
    </row>
    <row r="804" spans="1:3" ht="13">
      <c r="A804" s="2"/>
      <c r="C804" s="2"/>
    </row>
    <row r="805" spans="1:3" ht="13">
      <c r="A805" s="2"/>
      <c r="C805" s="2"/>
    </row>
    <row r="806" spans="1:3" ht="13">
      <c r="A806" s="2"/>
      <c r="C806" s="2"/>
    </row>
    <row r="807" spans="1:3" ht="13">
      <c r="A807" s="2"/>
      <c r="C807" s="2"/>
    </row>
    <row r="808" spans="1:3" ht="13">
      <c r="A808" s="2"/>
      <c r="C808" s="2"/>
    </row>
    <row r="809" spans="1:3" ht="13">
      <c r="A809" s="2"/>
      <c r="C809" s="2"/>
    </row>
    <row r="810" spans="1:3" ht="13">
      <c r="A810" s="2"/>
      <c r="C810" s="2"/>
    </row>
    <row r="811" spans="1:3" ht="13">
      <c r="A811" s="2"/>
      <c r="C811" s="2"/>
    </row>
    <row r="812" spans="1:3" ht="13">
      <c r="A812" s="2"/>
      <c r="C812" s="2"/>
    </row>
    <row r="813" spans="1:3" ht="13">
      <c r="A813" s="2"/>
      <c r="C813" s="2"/>
    </row>
    <row r="814" spans="1:3" ht="13">
      <c r="A814" s="2"/>
      <c r="C814" s="2"/>
    </row>
    <row r="815" spans="1:3" ht="13">
      <c r="A815" s="2"/>
      <c r="C815" s="2"/>
    </row>
    <row r="816" spans="1:3" ht="13">
      <c r="A816" s="2"/>
      <c r="C816" s="2"/>
    </row>
    <row r="817" spans="1:3" ht="13">
      <c r="A817" s="2"/>
      <c r="C817" s="2"/>
    </row>
    <row r="818" spans="1:3" ht="13">
      <c r="A818" s="2"/>
      <c r="C818" s="2"/>
    </row>
    <row r="819" spans="1:3" ht="13">
      <c r="A819" s="2"/>
      <c r="C819" s="2"/>
    </row>
    <row r="820" spans="1:3" ht="13">
      <c r="A820" s="2"/>
      <c r="C820" s="2"/>
    </row>
    <row r="821" spans="1:3" ht="13">
      <c r="A821" s="2"/>
      <c r="C821" s="2"/>
    </row>
    <row r="822" spans="1:3" ht="13">
      <c r="A822" s="2"/>
      <c r="C822" s="2"/>
    </row>
    <row r="823" spans="1:3" ht="13">
      <c r="A823" s="2"/>
      <c r="C823" s="2"/>
    </row>
    <row r="824" spans="1:3" ht="13">
      <c r="A824" s="2"/>
      <c r="C824" s="2"/>
    </row>
    <row r="825" spans="1:3" ht="13">
      <c r="A825" s="2"/>
      <c r="C825" s="2"/>
    </row>
    <row r="826" spans="1:3" ht="13">
      <c r="A826" s="2"/>
      <c r="C826" s="2"/>
    </row>
    <row r="827" spans="1:3" ht="13">
      <c r="A827" s="2"/>
      <c r="C827" s="2"/>
    </row>
    <row r="828" spans="1:3" ht="13">
      <c r="A828" s="2"/>
      <c r="C828" s="2"/>
    </row>
    <row r="829" spans="1:3" ht="13">
      <c r="A829" s="2"/>
      <c r="C829" s="2"/>
    </row>
    <row r="830" spans="1:3" ht="13">
      <c r="A830" s="2"/>
      <c r="C830" s="2"/>
    </row>
    <row r="831" spans="1:3" ht="13">
      <c r="A831" s="2"/>
      <c r="C831" s="2"/>
    </row>
    <row r="832" spans="1:3" ht="13">
      <c r="A832" s="2"/>
      <c r="C832" s="2"/>
    </row>
    <row r="833" spans="1:3" ht="13">
      <c r="A833" s="2"/>
      <c r="C833" s="2"/>
    </row>
    <row r="834" spans="1:3" ht="13">
      <c r="A834" s="2"/>
      <c r="C834" s="2"/>
    </row>
    <row r="835" spans="1:3" ht="13">
      <c r="A835" s="2"/>
      <c r="C835" s="2"/>
    </row>
    <row r="836" spans="1:3" ht="13">
      <c r="A836" s="2"/>
      <c r="C836" s="2"/>
    </row>
    <row r="837" spans="1:3" ht="13">
      <c r="A837" s="2"/>
      <c r="C837" s="2"/>
    </row>
    <row r="838" spans="1:3" ht="13">
      <c r="A838" s="2"/>
      <c r="C838" s="2"/>
    </row>
    <row r="839" spans="1:3" ht="13">
      <c r="A839" s="2"/>
      <c r="C839" s="2"/>
    </row>
    <row r="840" spans="1:3" ht="13">
      <c r="A840" s="2"/>
      <c r="C840" s="2"/>
    </row>
    <row r="841" spans="1:3" ht="13">
      <c r="A841" s="2"/>
      <c r="C841" s="2"/>
    </row>
    <row r="842" spans="1:3" ht="13">
      <c r="A842" s="2"/>
      <c r="C842" s="2"/>
    </row>
    <row r="843" spans="1:3" ht="13">
      <c r="A843" s="2"/>
      <c r="C843" s="2"/>
    </row>
    <row r="844" spans="1:3" ht="13">
      <c r="A844" s="2"/>
      <c r="C844" s="2"/>
    </row>
    <row r="845" spans="1:3" ht="13">
      <c r="A845" s="2"/>
      <c r="C845" s="2"/>
    </row>
    <row r="846" spans="1:3" ht="13">
      <c r="A846" s="2"/>
      <c r="C846" s="2"/>
    </row>
    <row r="847" spans="1:3" ht="13">
      <c r="A847" s="2"/>
      <c r="C847" s="2"/>
    </row>
    <row r="848" spans="1:3" ht="13">
      <c r="A848" s="2"/>
      <c r="C848" s="2"/>
    </row>
    <row r="849" spans="1:3" ht="13">
      <c r="A849" s="2"/>
      <c r="C849" s="2"/>
    </row>
    <row r="850" spans="1:3" ht="13">
      <c r="A850" s="2"/>
      <c r="C850" s="2"/>
    </row>
    <row r="851" spans="1:3" ht="13">
      <c r="A851" s="2"/>
      <c r="C851" s="2"/>
    </row>
    <row r="852" spans="1:3" ht="13">
      <c r="A852" s="2"/>
      <c r="C852" s="2"/>
    </row>
    <row r="853" spans="1:3" ht="13">
      <c r="A853" s="2"/>
      <c r="C853" s="2"/>
    </row>
    <row r="854" spans="1:3" ht="13">
      <c r="A854" s="2"/>
      <c r="C854" s="2"/>
    </row>
    <row r="855" spans="1:3" ht="13">
      <c r="A855" s="2"/>
      <c r="C855" s="2"/>
    </row>
    <row r="856" spans="1:3" ht="13">
      <c r="A856" s="2"/>
      <c r="C856" s="2"/>
    </row>
    <row r="857" spans="1:3" ht="13">
      <c r="A857" s="2"/>
      <c r="C857" s="2"/>
    </row>
    <row r="858" spans="1:3" ht="13">
      <c r="A858" s="2"/>
      <c r="C858" s="2"/>
    </row>
    <row r="859" spans="1:3" ht="13">
      <c r="A859" s="2"/>
      <c r="C859" s="2"/>
    </row>
    <row r="860" spans="1:3" ht="13">
      <c r="A860" s="2"/>
      <c r="C860" s="2"/>
    </row>
    <row r="861" spans="1:3" ht="13">
      <c r="A861" s="2"/>
      <c r="C861" s="2"/>
    </row>
    <row r="862" spans="1:3" ht="13">
      <c r="A862" s="2"/>
      <c r="C862" s="2"/>
    </row>
    <row r="863" spans="1:3" ht="13">
      <c r="A863" s="2"/>
      <c r="C863" s="2"/>
    </row>
    <row r="864" spans="1:3" ht="13">
      <c r="A864" s="2"/>
      <c r="C864" s="2"/>
    </row>
    <row r="865" spans="1:3" ht="13">
      <c r="A865" s="2"/>
      <c r="C865" s="2"/>
    </row>
    <row r="866" spans="1:3" ht="13">
      <c r="A866" s="2"/>
      <c r="C866" s="2"/>
    </row>
    <row r="867" spans="1:3" ht="13">
      <c r="A867" s="2"/>
      <c r="C867" s="2"/>
    </row>
    <row r="868" spans="1:3" ht="13">
      <c r="A868" s="2"/>
      <c r="C868" s="2"/>
    </row>
    <row r="869" spans="1:3" ht="13">
      <c r="A869" s="2"/>
      <c r="C869" s="2"/>
    </row>
    <row r="870" spans="1:3" ht="13">
      <c r="A870" s="2"/>
      <c r="C870" s="2"/>
    </row>
    <row r="871" spans="1:3" ht="13">
      <c r="A871" s="2"/>
      <c r="C871" s="2"/>
    </row>
    <row r="872" spans="1:3" ht="13">
      <c r="A872" s="2"/>
      <c r="C872" s="2"/>
    </row>
    <row r="873" spans="1:3" ht="13">
      <c r="A873" s="2"/>
      <c r="C873" s="2"/>
    </row>
    <row r="874" spans="1:3" ht="13">
      <c r="A874" s="2"/>
      <c r="C874" s="2"/>
    </row>
    <row r="875" spans="1:3" ht="13">
      <c r="A875" s="2"/>
      <c r="C875" s="2"/>
    </row>
    <row r="876" spans="1:3" ht="13">
      <c r="A876" s="2"/>
      <c r="C876" s="2"/>
    </row>
    <row r="877" spans="1:3" ht="13">
      <c r="A877" s="2"/>
      <c r="C877" s="2"/>
    </row>
    <row r="878" spans="1:3" ht="13">
      <c r="A878" s="2"/>
      <c r="C878" s="2"/>
    </row>
    <row r="879" spans="1:3" ht="13">
      <c r="A879" s="2"/>
      <c r="C879" s="2"/>
    </row>
    <row r="880" spans="1:3" ht="13">
      <c r="A880" s="2"/>
      <c r="C880" s="2"/>
    </row>
    <row r="881" spans="1:3" ht="13">
      <c r="A881" s="2"/>
      <c r="C881" s="2"/>
    </row>
    <row r="882" spans="1:3" ht="13">
      <c r="A882" s="2"/>
      <c r="C882" s="2"/>
    </row>
    <row r="883" spans="1:3" ht="13">
      <c r="A883" s="2"/>
      <c r="C883" s="2"/>
    </row>
    <row r="884" spans="1:3" ht="13">
      <c r="A884" s="2"/>
      <c r="C884" s="2"/>
    </row>
    <row r="885" spans="1:3" ht="13">
      <c r="A885" s="2"/>
      <c r="C885" s="2"/>
    </row>
    <row r="886" spans="1:3" ht="13">
      <c r="A886" s="2"/>
      <c r="C886" s="2"/>
    </row>
    <row r="887" spans="1:3" ht="13">
      <c r="A887" s="2"/>
      <c r="C887" s="2"/>
    </row>
    <row r="888" spans="1:3" ht="13">
      <c r="A888" s="2"/>
      <c r="C888" s="2"/>
    </row>
    <row r="889" spans="1:3" ht="13">
      <c r="A889" s="2"/>
      <c r="C889" s="2"/>
    </row>
    <row r="890" spans="1:3" ht="13">
      <c r="A890" s="2"/>
      <c r="C890" s="2"/>
    </row>
    <row r="891" spans="1:3" ht="13">
      <c r="A891" s="2"/>
      <c r="C891" s="2"/>
    </row>
    <row r="892" spans="1:3" ht="13">
      <c r="A892" s="2"/>
      <c r="C892" s="2"/>
    </row>
    <row r="893" spans="1:3" ht="13">
      <c r="A893" s="2"/>
      <c r="C893" s="2"/>
    </row>
    <row r="894" spans="1:3" ht="13">
      <c r="A894" s="2"/>
      <c r="C894" s="2"/>
    </row>
    <row r="895" spans="1:3" ht="13">
      <c r="A895" s="2"/>
      <c r="C895" s="2"/>
    </row>
    <row r="896" spans="1:3" ht="13">
      <c r="A896" s="2"/>
      <c r="C896" s="2"/>
    </row>
    <row r="897" spans="1:3" ht="13">
      <c r="A897" s="2"/>
      <c r="C897" s="2"/>
    </row>
    <row r="898" spans="1:3" ht="13">
      <c r="A898" s="2"/>
      <c r="C898" s="2"/>
    </row>
    <row r="899" spans="1:3" ht="13">
      <c r="A899" s="2"/>
      <c r="C899" s="2"/>
    </row>
    <row r="900" spans="1:3" ht="13">
      <c r="A900" s="2"/>
      <c r="C900" s="2"/>
    </row>
    <row r="901" spans="1:3" ht="13">
      <c r="A901" s="2"/>
      <c r="C901" s="2"/>
    </row>
    <row r="902" spans="1:3" ht="13">
      <c r="A902" s="2"/>
      <c r="C902" s="2"/>
    </row>
    <row r="903" spans="1:3" ht="13">
      <c r="A903" s="2"/>
      <c r="C903" s="2"/>
    </row>
  </sheetData>
  <hyperlinks>
    <hyperlink ref="E5" r:id="rId1" xr:uid="{00000000-0004-0000-0200-000000000000}"/>
    <hyperlink ref="E6" r:id="rId2" xr:uid="{00000000-0004-0000-0200-000001000000}"/>
    <hyperlink ref="E7" r:id="rId3" xr:uid="{00000000-0004-0000-0200-000002000000}"/>
    <hyperlink ref="D12" r:id="rId4" xr:uid="{00000000-0004-0000-0200-000003000000}"/>
    <hyperlink ref="D13" r:id="rId5" xr:uid="{00000000-0004-0000-0200-000004000000}"/>
    <hyperlink ref="D14" r:id="rId6" xr:uid="{00000000-0004-0000-0200-000005000000}"/>
  </hyperlinks>
  <pageMargins left="0.7" right="0.7" top="0.75" bottom="0.75" header="0.3" footer="0.3"/>
  <pageSetup paperSize="9" orientation="portrait" horizontalDpi="0" verticalDpi="0"/>
  <drawing r:id="rId7"/>
  <tableParts count="16">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35"/>
  <sheetViews>
    <sheetView topLeftCell="I201" workbookViewId="0">
      <selection activeCell="O114" sqref="O114"/>
    </sheetView>
  </sheetViews>
  <sheetFormatPr baseColWidth="10" defaultColWidth="12.6640625" defaultRowHeight="15.75" customHeight="1"/>
  <cols>
    <col min="1" max="1" width="24.83203125" customWidth="1"/>
    <col min="2" max="2" width="43.1640625" customWidth="1"/>
    <col min="3" max="3" width="38.6640625" customWidth="1"/>
    <col min="4" max="4" width="20.5" customWidth="1"/>
    <col min="5" max="5" width="19.33203125" customWidth="1"/>
    <col min="6" max="6" width="22" customWidth="1"/>
    <col min="7" max="7" width="18.1640625" customWidth="1"/>
    <col min="8" max="8" width="23.6640625" customWidth="1"/>
    <col min="9" max="11" width="21.5" customWidth="1"/>
    <col min="12" max="12" width="25.6640625" customWidth="1"/>
    <col min="13" max="13" width="19.5" customWidth="1"/>
    <col min="14" max="18" width="17.5" customWidth="1"/>
  </cols>
  <sheetData>
    <row r="1" spans="1:29" ht="13">
      <c r="A1" s="2" t="s">
        <v>250</v>
      </c>
      <c r="B1" s="81"/>
      <c r="D1" s="81"/>
      <c r="F1" s="81"/>
      <c r="Q1" s="81"/>
      <c r="R1" s="81"/>
    </row>
    <row r="2" spans="1:29" ht="14">
      <c r="A2" s="119" t="s">
        <v>254</v>
      </c>
      <c r="B2" s="120" t="s">
        <v>255</v>
      </c>
      <c r="C2" s="1" t="s">
        <v>256</v>
      </c>
      <c r="D2" s="84" t="s">
        <v>257</v>
      </c>
      <c r="E2" s="1" t="s">
        <v>258</v>
      </c>
      <c r="F2" s="84" t="s">
        <v>259</v>
      </c>
      <c r="G2" s="1" t="s">
        <v>260</v>
      </c>
      <c r="H2" s="1" t="s">
        <v>261</v>
      </c>
      <c r="Q2" s="81"/>
      <c r="R2" s="81"/>
    </row>
    <row r="3" spans="1:29" ht="13">
      <c r="A3" s="2">
        <f>'LCA results of ventilation syst'!A4</f>
        <v>1</v>
      </c>
      <c r="B3" s="81" t="str">
        <f>'LCA results of ventilation syst'!B4</f>
        <v>ventilation system production, central, polyethylene ducts</v>
      </c>
      <c r="C3" s="2" t="str">
        <f>'LCA results of ventilation syst'!C4</f>
        <v>market for ventilation system production, central, 1 x 720 m3/h, polyethylene ducts, with earth tube heat exchanger | ventilation system, central, 1 x 720 m3/h, polyethylene ducts, with earth tube heat exchanger | Cutoff, U</v>
      </c>
      <c r="D3" s="81" t="str">
        <f>'LCA results of ventilation syst'!D4</f>
        <v>cedcb5fd-101d-35ff-9668-54c879fb014b</v>
      </c>
      <c r="E3" s="2" t="str">
        <f>'LCA results of ventilation syst'!E4</f>
        <v>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central, 1 x 720 m3/h, polyethylene ducts, with earth tube heat exchanger', in the Global geography.;This market contains no transport or losses, as they are irrelevant for the delivered product.;This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https://v38.ecoquery.ecoinvent.org/Details/PDF/E1F8779B-905E-4183-983B-1425CA06596E/290C1F85-4CC4-4FA1-B0C8-2CB7F4276DCE</v>
      </c>
      <c r="F3" s="81" t="str">
        <f>'LCA results of ventilation syst'!F4</f>
        <v>Data representative for a building in Zurich, Switzerland</v>
      </c>
      <c r="G3" s="2" t="str">
        <f>'LCA results of ventilation syst'!G4</f>
        <v>Amount of material investigated in 2003</v>
      </c>
      <c r="H3" s="2" t="str">
        <f>'LCA results of ventilation syst'!H4</f>
        <v>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v>
      </c>
      <c r="Q3" s="81"/>
      <c r="R3" s="81"/>
    </row>
    <row r="4" spans="1:29" ht="13">
      <c r="A4" s="2">
        <f>'LCA results of ventilation syst'!A5</f>
        <v>2</v>
      </c>
      <c r="B4" s="81" t="str">
        <f>'LCA results of ventilation syst'!B5</f>
        <v>ventilation system production, central, steel ducts</v>
      </c>
      <c r="C4" s="2" t="str">
        <f>'LCA results of ventilation syst'!C5</f>
        <v>market for ventilation system production, central, 1 x 720 m3/h, steel ducts, with earth tube heat exchanger | ventilation system, central, 1 x 720 m3/h, steel ducts, with earth tube heat exchanger | Cutoff, U</v>
      </c>
      <c r="D4" s="81" t="str">
        <f>'LCA results of ventilation syst'!D5</f>
        <v>81466c7d-90a1-3953-b581-e56dd4ed782c</v>
      </c>
      <c r="E4" s="2" t="str">
        <f>'LCA results of ventilation syst'!E5</f>
        <v>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central, 1 x 720 m3/h, steel ducts, with earth tube heat exchanger', in the Global geography.;This market contains no transport or losses, as they are irrelevant for the delivered product.;This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https://v38.ecoquery.ecoinvent.org/Details/PDF/6E972DC0-3AC7-40B7-90D2-365989115A36/290C1F85-4CC4-4FA1-B0C8-2CB7F4276DCE</v>
      </c>
      <c r="F4" s="81" t="str">
        <f>'LCA results of ventilation syst'!F5</f>
        <v>Data representative for a building in Zurich, Switzerland</v>
      </c>
      <c r="G4" s="2" t="str">
        <f>'LCA results of ventilation syst'!G5</f>
        <v>Amount of material investigated in 2003</v>
      </c>
      <c r="H4" s="2" t="str">
        <f>'LCA results of ventilation syst'!H5</f>
        <v>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v>
      </c>
    </row>
    <row r="5" spans="1:29" ht="13">
      <c r="A5" s="2">
        <f>'LCA results of ventilation syst'!A6</f>
        <v>3</v>
      </c>
      <c r="B5" s="81" t="str">
        <f>'LCA results of ventilation syst'!B6</f>
        <v>ventilation system production, decentralized, polyethylene ducts</v>
      </c>
      <c r="C5" s="2" t="str">
        <f>'LCA results of ventilation syst'!C6</f>
        <v>market for ventilation system production, decentralized, 6 x 120 m3/h, polyethylene ducts, with earth tube heat exchanger | ventilation system, decentralized, 6 x 120 m3/h, polyethylene ducts, with earth tube heat exchanger | Cutoff, U</v>
      </c>
      <c r="D5" s="81" t="str">
        <f>'LCA results of ventilation syst'!D6</f>
        <v>56300731-a250-33b3-ae52-f94c7793633f</v>
      </c>
      <c r="E5" s="2" t="str">
        <f>'LCA results of ventilation syst'!E6</f>
        <v>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decentralized, 6 x 120 m3/h, polyethylene ducts, with earth tube heat exchanger', in the Global geography.;This market contains no transport or losses, as they are irrelevant for the delivered product.;This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https://v38.ecoquery.ecoinvent.org/Details/PDF/25E172FE-742E-496B-97D7-4B77B337215D/290C1F85-4CC4-4FA1-B0C8-2CB7F4276DCE</v>
      </c>
      <c r="F5" s="81" t="str">
        <f>'LCA results of ventilation syst'!F6</f>
        <v>Data representative for a building in Zurich, Switzerland</v>
      </c>
      <c r="G5" s="2" t="str">
        <f>'LCA results of ventilation syst'!G6</f>
        <v>Amount of material investigated in 2003</v>
      </c>
      <c r="H5" s="2" t="str">
        <f>'LCA results of ventilation syst'!H6</f>
        <v>Decentral ventilation system including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v>
      </c>
    </row>
    <row r="6" spans="1:29" ht="13">
      <c r="A6" s="2">
        <f>'LCA results of ventilation syst'!A7</f>
        <v>4</v>
      </c>
      <c r="B6" s="81" t="str">
        <f>'LCA results of ventilation syst'!B7</f>
        <v>ventilation system production, decentralized, steel ducts</v>
      </c>
      <c r="C6" s="2" t="str">
        <f>'LCA results of ventilation syst'!C7</f>
        <v>market for ventilation system production, decentralized, 6 x 120 m3/h, steel ducts, with earth tube heat exchanger | ventilation system, decentralized, 6 x 120 m3/h, steel ducts, with earth tube heat exchanger | Cutoff, U</v>
      </c>
      <c r="D6" s="81" t="str">
        <f>'LCA results of ventilation syst'!D7</f>
        <v>c6325e81-94f1-3b5b-a526-652fa90564a5</v>
      </c>
      <c r="E6" s="2" t="str">
        <f>'LCA results of ventilation syst'!E7</f>
        <v>This is a market activity. In the case of services or immobile infrastructures, markets are connecting suppliers and consumers at a global level. For specific connections at regional level, direct links between the local producing activities and the local consumers are preferred. Transport or losses are logically not relevant for this type of products.;This is the market for  'ventilation system, decentralized, 6 x 120 m3/h, steel ducts, with earth tube heat exchanger', in the Global geography.;This market contains no transport or losses, as they are irrelevant for the delivered product.;This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 This activity starts with the built infrastructure ready to use. This activity ends with the infrastructure made accessible to the users. Transport or losses are considered irrelevant for this product. Dataset documentation https://v38.ecoquery.ecoinvent.org/Details/PDF/287D7D87-8F79-4D5B-9562-102DF0ED6AAD/290C1F85-4CC4-4FA1-B0C8-2CB7F4276DCE</v>
      </c>
      <c r="F6" s="81" t="str">
        <f>'LCA results of ventilation syst'!F7</f>
        <v>Data representative for a building in Zurich, Switzerland</v>
      </c>
      <c r="G6" s="2" t="str">
        <f>'LCA results of ventilation syst'!G7</f>
        <v>Amount of material investigated in 2003</v>
      </c>
      <c r="H6" s="2" t="str">
        <f>'LCA results of ventilation syst'!H7</f>
        <v>Decentral ventilation system including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v>
      </c>
    </row>
    <row r="7" spans="1:29" ht="13">
      <c r="A7" s="2"/>
      <c r="B7" s="81"/>
      <c r="D7" s="81"/>
      <c r="F7" s="81"/>
    </row>
    <row r="8" spans="1:29" ht="13">
      <c r="A8" s="2"/>
      <c r="B8" s="81"/>
      <c r="D8" s="81"/>
      <c r="F8" s="81"/>
    </row>
    <row r="9" spans="1:29" ht="13">
      <c r="A9" s="81" t="s">
        <v>421</v>
      </c>
      <c r="D9" s="81"/>
      <c r="F9" s="81"/>
      <c r="L9" s="81" t="s">
        <v>422</v>
      </c>
      <c r="N9" s="4" t="s">
        <v>324</v>
      </c>
      <c r="O9" s="106"/>
      <c r="R9" s="4" t="s">
        <v>325</v>
      </c>
      <c r="S9" s="106"/>
      <c r="T9" s="81"/>
      <c r="U9" s="38"/>
      <c r="V9" s="4" t="s">
        <v>423</v>
      </c>
      <c r="W9" s="106"/>
      <c r="X9" s="81"/>
      <c r="Y9" s="38"/>
      <c r="Z9" s="4" t="s">
        <v>327</v>
      </c>
      <c r="AA9" s="106"/>
      <c r="AB9" s="81"/>
    </row>
    <row r="10" spans="1:29" ht="14">
      <c r="A10" s="121" t="s">
        <v>424</v>
      </c>
      <c r="B10" s="84" t="s">
        <v>425</v>
      </c>
      <c r="C10" s="84" t="s">
        <v>426</v>
      </c>
      <c r="D10" s="1" t="s">
        <v>427</v>
      </c>
      <c r="E10" s="1" t="s">
        <v>418</v>
      </c>
      <c r="F10" s="1" t="s">
        <v>428</v>
      </c>
      <c r="G10" s="1" t="s">
        <v>429</v>
      </c>
      <c r="H10" s="1" t="s">
        <v>430</v>
      </c>
      <c r="I10" s="1" t="s">
        <v>431</v>
      </c>
      <c r="J10" s="1"/>
      <c r="L10" s="121" t="s">
        <v>432</v>
      </c>
      <c r="M10" s="107" t="s">
        <v>433</v>
      </c>
      <c r="N10" s="107" t="s">
        <v>425</v>
      </c>
      <c r="O10" s="107" t="s">
        <v>426</v>
      </c>
      <c r="P10" s="1" t="s">
        <v>427</v>
      </c>
      <c r="Q10" s="1" t="s">
        <v>418</v>
      </c>
      <c r="R10" s="84" t="s">
        <v>425</v>
      </c>
      <c r="S10" s="84" t="s">
        <v>426</v>
      </c>
      <c r="T10" s="122" t="s">
        <v>427</v>
      </c>
      <c r="U10" s="122" t="s">
        <v>418</v>
      </c>
      <c r="V10" s="84" t="s">
        <v>425</v>
      </c>
      <c r="W10" s="84" t="s">
        <v>426</v>
      </c>
      <c r="X10" s="122" t="s">
        <v>427</v>
      </c>
      <c r="Y10" s="122" t="s">
        <v>418</v>
      </c>
      <c r="Z10" s="84" t="s">
        <v>425</v>
      </c>
      <c r="AA10" s="84" t="s">
        <v>426</v>
      </c>
      <c r="AB10" s="1" t="s">
        <v>427</v>
      </c>
      <c r="AC10" s="1" t="s">
        <v>418</v>
      </c>
    </row>
    <row r="11" spans="1:29" ht="14">
      <c r="A11" s="3" t="s">
        <v>434</v>
      </c>
      <c r="B11" s="81">
        <f t="shared" ref="B11:E11" si="0">AVERAGE(N11,R11,V11,Z11)</f>
        <v>1.0342472520036439E-10</v>
      </c>
      <c r="C11" s="81">
        <f t="shared" si="0"/>
        <v>4.8609620844171356E-11</v>
      </c>
      <c r="D11" s="38">
        <f t="shared" si="0"/>
        <v>6.519538653034421E-15</v>
      </c>
      <c r="E11" s="38">
        <f t="shared" si="0"/>
        <v>1.4024182682722942E-17</v>
      </c>
      <c r="F11" s="38">
        <f t="shared" ref="F11:F96" si="1">IF(OR(H11="Mining tailings", H11="Fossil fuels"), "", D11/(SUM($D$11:$D$96)-SUMIF($H$11:$H$96, "Mining tailings", $D$11:$D$96)-SUMIF($H$11:$H$96, "Fossil fuels", $D$11:$D$96)))</f>
        <v>1.5694249443784282E-14</v>
      </c>
      <c r="G11" s="38">
        <f t="shared" ref="G11:G96" si="2">IF(OR(I11="Mining tailings", I11="Fossil fuels"), "", E11/(SUM(E$11:E$96)-SUMIF(I$11:I$96, "Mining tailings", E$11:E$96)-SUMIF(I$11:I$96, "Fossil fuels", E$11:E$96)))</f>
        <v>1.4122851807190595E-17</v>
      </c>
      <c r="H11" s="2" t="s">
        <v>435</v>
      </c>
      <c r="I11" s="2" t="s">
        <v>435</v>
      </c>
      <c r="J11" s="2"/>
      <c r="L11" s="3" t="s">
        <v>436</v>
      </c>
      <c r="M11" s="81">
        <v>0.47</v>
      </c>
      <c r="N11" s="81">
        <v>5.0121847309362903E-11</v>
      </c>
      <c r="O11" s="81">
        <v>2.35572682354006E-11</v>
      </c>
      <c r="P11" s="38">
        <f t="shared" ref="P11:P96" si="3">N11/SUM($N$11:$N$96)</f>
        <v>5.4303540385975391E-15</v>
      </c>
      <c r="Q11" s="38">
        <f t="shared" ref="Q11:Q96" si="4">O11/SUM($O$11:$O$96)</f>
        <v>1.2363020025832776E-17</v>
      </c>
      <c r="R11" s="81">
        <v>1.4916848369498099E-10</v>
      </c>
      <c r="S11" s="81">
        <v>7.01091873366411E-11</v>
      </c>
      <c r="T11" s="38">
        <f t="shared" ref="T11:T96" si="5">R11/SUM($R$11:$R$96)</f>
        <v>7.9983665167636221E-15</v>
      </c>
      <c r="U11" s="38">
        <f t="shared" ref="U11:U96" si="6">S11/SUM($S$11:$S$96)</f>
        <v>1.6120038614144692E-17</v>
      </c>
      <c r="V11" s="81">
        <v>5.7679984173825697E-11</v>
      </c>
      <c r="W11" s="81">
        <v>2.7109592561698001E-11</v>
      </c>
      <c r="X11" s="38">
        <f t="shared" ref="X11:X96" si="7">V11/SUM($V$11:$V$96)</f>
        <v>5.0942544916091361E-15</v>
      </c>
      <c r="Y11" s="38">
        <f t="shared" ref="Y11:Y96" si="8">W11/SUM($W$11:$W$96)</f>
        <v>1.1970369935153498E-17</v>
      </c>
      <c r="Z11" s="81">
        <v>1.56728585623288E-10</v>
      </c>
      <c r="AA11" s="81">
        <v>7.3662435242945696E-11</v>
      </c>
      <c r="AB11" s="38">
        <f t="shared" ref="AB11:AB96" si="9">Z11/SUM($Z$11:$Z$96)</f>
        <v>7.5551795651673859E-15</v>
      </c>
      <c r="AC11" s="38">
        <f t="shared" ref="AC11:AC96" si="10">AA11/SUM($AA$11:$AA$96)</f>
        <v>1.5643302155760798E-17</v>
      </c>
    </row>
    <row r="12" spans="1:29" ht="14">
      <c r="A12" s="3" t="s">
        <v>437</v>
      </c>
      <c r="B12" s="81">
        <f t="shared" ref="B12:E12" si="11">AVERAGE(N12,R12,V12,Z12)</f>
        <v>862.08022005634075</v>
      </c>
      <c r="C12" s="81">
        <f t="shared" si="11"/>
        <v>706.90578044620054</v>
      </c>
      <c r="D12" s="38">
        <f t="shared" si="11"/>
        <v>6.0703011422151579E-2</v>
      </c>
      <c r="E12" s="38">
        <f t="shared" si="11"/>
        <v>2.3287133133868441E-4</v>
      </c>
      <c r="F12" s="38" t="str">
        <f t="shared" si="1"/>
        <v/>
      </c>
      <c r="G12" s="38" t="str">
        <f t="shared" si="2"/>
        <v/>
      </c>
      <c r="H12" s="2" t="s">
        <v>438</v>
      </c>
      <c r="I12" s="2" t="s">
        <v>438</v>
      </c>
      <c r="J12" s="2"/>
      <c r="L12" s="3" t="s">
        <v>439</v>
      </c>
      <c r="M12" s="81">
        <v>0.82</v>
      </c>
      <c r="N12" s="81">
        <v>676.78822412618194</v>
      </c>
      <c r="O12" s="81">
        <v>554.96634378346903</v>
      </c>
      <c r="P12" s="38">
        <f t="shared" si="3"/>
        <v>7.3325303504372857E-2</v>
      </c>
      <c r="Q12" s="38">
        <f t="shared" si="4"/>
        <v>2.9125023976879423E-4</v>
      </c>
      <c r="R12" s="81">
        <v>958.96537585655301</v>
      </c>
      <c r="S12" s="81">
        <v>786.35160820237297</v>
      </c>
      <c r="T12" s="38">
        <f t="shared" si="5"/>
        <v>5.1419417580663991E-2</v>
      </c>
      <c r="U12" s="38">
        <f t="shared" si="6"/>
        <v>1.8080395409022484E-4</v>
      </c>
      <c r="V12" s="81">
        <v>765.11405246907805</v>
      </c>
      <c r="W12" s="81">
        <v>627.39352302464397</v>
      </c>
      <c r="X12" s="38">
        <f t="shared" si="7"/>
        <v>6.7574319830562293E-2</v>
      </c>
      <c r="Y12" s="38">
        <f t="shared" si="8"/>
        <v>2.7702860337838428E-4</v>
      </c>
      <c r="Z12" s="81">
        <v>1047.45322777355</v>
      </c>
      <c r="AA12" s="81">
        <v>858.91164677431595</v>
      </c>
      <c r="AB12" s="38">
        <f t="shared" si="9"/>
        <v>5.0493004773007173E-2</v>
      </c>
      <c r="AC12" s="38">
        <f t="shared" si="10"/>
        <v>1.8240252811733423E-4</v>
      </c>
    </row>
    <row r="13" spans="1:29" ht="14">
      <c r="A13" s="3" t="s">
        <v>440</v>
      </c>
      <c r="B13" s="81">
        <f t="shared" ref="B13:E13" si="12">AVERAGE(N13,R13,V13,Z13)</f>
        <v>25.847876672290703</v>
      </c>
      <c r="C13" s="81">
        <f t="shared" si="12"/>
        <v>21.195258871278327</v>
      </c>
      <c r="D13" s="38">
        <f t="shared" si="12"/>
        <v>1.7173488376784579E-3</v>
      </c>
      <c r="E13" s="38">
        <f t="shared" si="12"/>
        <v>6.5194112793150384E-6</v>
      </c>
      <c r="F13" s="38" t="str">
        <f t="shared" si="1"/>
        <v/>
      </c>
      <c r="G13" s="38" t="str">
        <f t="shared" si="2"/>
        <v/>
      </c>
      <c r="H13" s="2" t="s">
        <v>438</v>
      </c>
      <c r="I13" s="2" t="s">
        <v>438</v>
      </c>
      <c r="J13" s="2"/>
      <c r="L13" s="3" t="s">
        <v>441</v>
      </c>
      <c r="M13" s="81">
        <v>0.82</v>
      </c>
      <c r="N13" s="81">
        <v>15.7262994503724</v>
      </c>
      <c r="O13" s="81">
        <v>12.895565549305299</v>
      </c>
      <c r="P13" s="38">
        <f t="shared" si="3"/>
        <v>1.7038353196645085E-3</v>
      </c>
      <c r="Q13" s="38">
        <f t="shared" si="4"/>
        <v>6.7676834825406709E-6</v>
      </c>
      <c r="R13" s="81">
        <v>32.664149503784003</v>
      </c>
      <c r="S13" s="81">
        <v>26.7846025931028</v>
      </c>
      <c r="T13" s="38">
        <f t="shared" si="5"/>
        <v>1.7514412777959851E-3</v>
      </c>
      <c r="U13" s="38">
        <f t="shared" si="6"/>
        <v>6.1585199382233064E-6</v>
      </c>
      <c r="V13" s="81">
        <v>19.0150463525388</v>
      </c>
      <c r="W13" s="81">
        <v>15.5923380090818</v>
      </c>
      <c r="X13" s="38">
        <f t="shared" si="7"/>
        <v>1.6793951433421803E-3</v>
      </c>
      <c r="Y13" s="38">
        <f t="shared" si="8"/>
        <v>6.8848712387646971E-6</v>
      </c>
      <c r="Z13" s="81">
        <v>35.986011382467602</v>
      </c>
      <c r="AA13" s="81">
        <v>29.5085293336234</v>
      </c>
      <c r="AB13" s="38">
        <f t="shared" si="9"/>
        <v>1.7347236099111581E-3</v>
      </c>
      <c r="AC13" s="38">
        <f t="shared" si="10"/>
        <v>6.2665704577314792E-6</v>
      </c>
    </row>
    <row r="14" spans="1:29" ht="14">
      <c r="A14" s="3" t="s">
        <v>442</v>
      </c>
      <c r="B14" s="81">
        <f t="shared" ref="B14:E14" si="13">AVERAGE(N14,R14,V14,Z14)</f>
        <v>0.11670075818322553</v>
      </c>
      <c r="C14" s="81">
        <f t="shared" si="13"/>
        <v>9.5694621710244648E-2</v>
      </c>
      <c r="D14" s="38">
        <f t="shared" si="13"/>
        <v>8.1771665260906259E-6</v>
      </c>
      <c r="E14" s="38">
        <f t="shared" si="13"/>
        <v>3.1972965684911923E-8</v>
      </c>
      <c r="F14" s="38">
        <f t="shared" si="1"/>
        <v>1.9684597029591641E-5</v>
      </c>
      <c r="G14" s="38">
        <f t="shared" si="2"/>
        <v>3.2197916015504165E-8</v>
      </c>
      <c r="H14" s="2" t="s">
        <v>435</v>
      </c>
      <c r="I14" s="2" t="s">
        <v>435</v>
      </c>
      <c r="J14" s="2"/>
      <c r="L14" s="3" t="s">
        <v>443</v>
      </c>
      <c r="M14" s="81">
        <v>0.82</v>
      </c>
      <c r="N14" s="81">
        <v>3.3223917057178601E-2</v>
      </c>
      <c r="O14" s="81">
        <v>2.72436119868864E-2</v>
      </c>
      <c r="P14" s="38">
        <f t="shared" si="3"/>
        <v>3.5995806590268463E-6</v>
      </c>
      <c r="Q14" s="38">
        <f t="shared" si="4"/>
        <v>1.429763914916711E-8</v>
      </c>
      <c r="R14" s="81">
        <v>3.3269237502785598E-2</v>
      </c>
      <c r="S14" s="81">
        <v>2.7280774752284201E-2</v>
      </c>
      <c r="T14" s="38">
        <f t="shared" si="5"/>
        <v>1.7838859033028454E-6</v>
      </c>
      <c r="U14" s="38">
        <f t="shared" si="6"/>
        <v>6.2726036221043144E-9</v>
      </c>
      <c r="V14" s="81">
        <v>0.20013229073896799</v>
      </c>
      <c r="W14" s="81">
        <v>0.164108478405953</v>
      </c>
      <c r="X14" s="38">
        <f t="shared" si="7"/>
        <v>1.7675539194680606E-5</v>
      </c>
      <c r="Y14" s="38">
        <f t="shared" si="8"/>
        <v>7.2462881599699138E-8</v>
      </c>
      <c r="Z14" s="81">
        <v>0.20017758743396999</v>
      </c>
      <c r="AA14" s="81">
        <v>0.164145621695855</v>
      </c>
      <c r="AB14" s="38">
        <f t="shared" si="9"/>
        <v>9.6496603473522102E-6</v>
      </c>
      <c r="AC14" s="38">
        <f t="shared" si="10"/>
        <v>3.4858738368677123E-8</v>
      </c>
    </row>
    <row r="15" spans="1:29" ht="14">
      <c r="A15" s="3" t="s">
        <v>444</v>
      </c>
      <c r="B15" s="81">
        <f t="shared" ref="B15:E15" si="14">AVERAGE(N15,R15,V15,Z15)</f>
        <v>1.2249072562952541</v>
      </c>
      <c r="C15" s="81">
        <f t="shared" si="14"/>
        <v>1.2249072562952541</v>
      </c>
      <c r="D15" s="38">
        <f t="shared" si="14"/>
        <v>8.5247135982837626E-5</v>
      </c>
      <c r="E15" s="38">
        <f t="shared" si="14"/>
        <v>3.9903761509420953E-7</v>
      </c>
      <c r="F15" s="38">
        <f t="shared" si="1"/>
        <v>2.0521234518030686E-4</v>
      </c>
      <c r="G15" s="38">
        <f t="shared" si="2"/>
        <v>4.01845100778171E-7</v>
      </c>
      <c r="H15" s="2" t="s">
        <v>445</v>
      </c>
      <c r="I15" s="2" t="s">
        <v>445</v>
      </c>
      <c r="J15" s="2"/>
      <c r="L15" s="3" t="s">
        <v>446</v>
      </c>
      <c r="M15" s="81">
        <v>1</v>
      </c>
      <c r="N15" s="81">
        <v>0.84028274980309603</v>
      </c>
      <c r="O15" s="81">
        <v>0.84028274980309603</v>
      </c>
      <c r="P15" s="38">
        <f t="shared" si="3"/>
        <v>9.1038799823020509E-5</v>
      </c>
      <c r="Q15" s="38">
        <f t="shared" si="4"/>
        <v>4.4098629600720549E-7</v>
      </c>
      <c r="R15" s="81">
        <v>1.26780529735142</v>
      </c>
      <c r="S15" s="81">
        <v>1.26780529735142</v>
      </c>
      <c r="T15" s="38">
        <f t="shared" si="5"/>
        <v>6.7979315663261203E-5</v>
      </c>
      <c r="U15" s="38">
        <f t="shared" si="6"/>
        <v>2.9150345518041793E-7</v>
      </c>
      <c r="V15" s="81">
        <v>1.1817087868990901</v>
      </c>
      <c r="W15" s="81">
        <v>1.1817087868990901</v>
      </c>
      <c r="X15" s="38">
        <f t="shared" si="7"/>
        <v>1.0436766551968687E-4</v>
      </c>
      <c r="Y15" s="38">
        <f t="shared" si="8"/>
        <v>5.2178915277351489E-7</v>
      </c>
      <c r="Z15" s="81">
        <v>1.6098321911274101</v>
      </c>
      <c r="AA15" s="81">
        <v>1.6098321911274101</v>
      </c>
      <c r="AB15" s="38">
        <f t="shared" si="9"/>
        <v>7.7602762925381961E-5</v>
      </c>
      <c r="AC15" s="38">
        <f t="shared" si="10"/>
        <v>3.418715564156998E-7</v>
      </c>
    </row>
    <row r="16" spans="1:29" ht="14">
      <c r="A16" s="3" t="s">
        <v>447</v>
      </c>
      <c r="B16" s="81">
        <f t="shared" ref="B16:E16" si="15">AVERAGE(N16,R16,V16,Z16)</f>
        <v>0.78397205347867349</v>
      </c>
      <c r="C16" s="81">
        <f t="shared" si="15"/>
        <v>0.94076646417440812</v>
      </c>
      <c r="D16" s="38">
        <f t="shared" si="15"/>
        <v>5.1995404793287932E-5</v>
      </c>
      <c r="E16" s="38">
        <f t="shared" si="15"/>
        <v>2.8869821820697587E-7</v>
      </c>
      <c r="F16" s="38">
        <f t="shared" si="1"/>
        <v>1.2516665613702426E-4</v>
      </c>
      <c r="G16" s="38">
        <f t="shared" si="2"/>
        <v>2.9072939542922827E-7</v>
      </c>
      <c r="H16" s="2" t="s">
        <v>435</v>
      </c>
      <c r="I16" s="2" t="s">
        <v>435</v>
      </c>
      <c r="J16" s="2"/>
      <c r="L16" s="3" t="s">
        <v>448</v>
      </c>
      <c r="M16" s="81">
        <v>1.2</v>
      </c>
      <c r="N16" s="81">
        <v>0.47667442517827602</v>
      </c>
      <c r="O16" s="81">
        <v>0.57200931021393198</v>
      </c>
      <c r="P16" s="38">
        <f t="shared" si="3"/>
        <v>5.1644363263112823E-5</v>
      </c>
      <c r="Q16" s="38">
        <f t="shared" si="4"/>
        <v>3.0019450839849791E-7</v>
      </c>
      <c r="R16" s="81">
        <v>1.00100705007826</v>
      </c>
      <c r="S16" s="81">
        <v>1.2012084600939099</v>
      </c>
      <c r="T16" s="38">
        <f t="shared" si="5"/>
        <v>5.3673678742768301E-5</v>
      </c>
      <c r="U16" s="38">
        <f t="shared" si="6"/>
        <v>2.761910028620624E-7</v>
      </c>
      <c r="V16" s="81">
        <v>0.56661067292766798</v>
      </c>
      <c r="W16" s="81">
        <v>0.67993280751320095</v>
      </c>
      <c r="X16" s="38">
        <f t="shared" si="7"/>
        <v>5.0042644894921433E-5</v>
      </c>
      <c r="Y16" s="38">
        <f t="shared" si="8"/>
        <v>3.0022757510859267E-7</v>
      </c>
      <c r="Z16" s="81">
        <v>1.09159606573049</v>
      </c>
      <c r="AA16" s="81">
        <v>1.30991527887659</v>
      </c>
      <c r="AB16" s="38">
        <f t="shared" si="9"/>
        <v>5.262093227234915E-5</v>
      </c>
      <c r="AC16" s="38">
        <f t="shared" si="10"/>
        <v>2.7817978645875044E-7</v>
      </c>
    </row>
    <row r="17" spans="1:29" ht="14">
      <c r="A17" s="3" t="s">
        <v>449</v>
      </c>
      <c r="B17" s="81">
        <f t="shared" ref="B17:E17" si="16">AVERAGE(N17,R17,V17,Z17)</f>
        <v>18.7271026362417</v>
      </c>
      <c r="C17" s="81">
        <f t="shared" si="16"/>
        <v>26.217943690738423</v>
      </c>
      <c r="D17" s="38">
        <f t="shared" si="16"/>
        <v>1.2193709752682815E-3</v>
      </c>
      <c r="E17" s="38">
        <f t="shared" si="16"/>
        <v>7.8626619182962433E-6</v>
      </c>
      <c r="F17" s="38">
        <f t="shared" si="1"/>
        <v>2.9353476171912634E-3</v>
      </c>
      <c r="G17" s="38">
        <f t="shared" si="2"/>
        <v>7.9179807903485297E-6</v>
      </c>
      <c r="H17" s="2" t="s">
        <v>435</v>
      </c>
      <c r="I17" s="2" t="s">
        <v>435</v>
      </c>
      <c r="J17" s="2"/>
      <c r="L17" s="3" t="s">
        <v>450</v>
      </c>
      <c r="M17" s="81">
        <v>1.4</v>
      </c>
      <c r="N17" s="81">
        <v>10.8292392592498</v>
      </c>
      <c r="O17" s="81">
        <v>15.160934962949799</v>
      </c>
      <c r="P17" s="38">
        <f t="shared" si="3"/>
        <v>1.1732728601050769E-3</v>
      </c>
      <c r="Q17" s="38">
        <f t="shared" si="4"/>
        <v>7.9565652810129096E-6</v>
      </c>
      <c r="R17" s="81">
        <v>25.5669411224494</v>
      </c>
      <c r="S17" s="81">
        <v>35.793717571429198</v>
      </c>
      <c r="T17" s="38">
        <f t="shared" si="5"/>
        <v>1.3708912281230538E-3</v>
      </c>
      <c r="U17" s="38">
        <f t="shared" si="6"/>
        <v>8.2299643073123038E-6</v>
      </c>
      <c r="V17" s="81">
        <v>11.8866530337458</v>
      </c>
      <c r="W17" s="81">
        <v>16.6413142472442</v>
      </c>
      <c r="X17" s="38">
        <f t="shared" si="7"/>
        <v>1.0498206002427654E-3</v>
      </c>
      <c r="Y17" s="38">
        <f t="shared" si="8"/>
        <v>7.3480517013781537E-6</v>
      </c>
      <c r="Z17" s="81">
        <v>26.625577129521801</v>
      </c>
      <c r="AA17" s="81">
        <v>37.275807981330502</v>
      </c>
      <c r="AB17" s="38">
        <f t="shared" si="9"/>
        <v>1.2834992126022292E-3</v>
      </c>
      <c r="AC17" s="38">
        <f t="shared" si="10"/>
        <v>7.9160663834816043E-6</v>
      </c>
    </row>
    <row r="18" spans="1:29" ht="14">
      <c r="A18" s="3" t="s">
        <v>451</v>
      </c>
      <c r="B18" s="81">
        <f t="shared" ref="B18:E18" si="17">AVERAGE(N18,R18,V18,Z18)</f>
        <v>47.226761569198544</v>
      </c>
      <c r="C18" s="81">
        <f t="shared" si="17"/>
        <v>70.84014235379783</v>
      </c>
      <c r="D18" s="38">
        <f t="shared" si="17"/>
        <v>3.4438620849722977E-3</v>
      </c>
      <c r="E18" s="38">
        <f t="shared" si="17"/>
        <v>2.4469999398813278E-5</v>
      </c>
      <c r="F18" s="38">
        <f t="shared" si="1"/>
        <v>8.2902845566212042E-3</v>
      </c>
      <c r="G18" s="38">
        <f t="shared" si="2"/>
        <v>2.4642161546941831E-5</v>
      </c>
      <c r="H18" s="2" t="s">
        <v>451</v>
      </c>
      <c r="I18" s="2" t="s">
        <v>435</v>
      </c>
      <c r="J18" s="2"/>
      <c r="L18" s="3" t="s">
        <v>452</v>
      </c>
      <c r="M18" s="81">
        <v>1.5</v>
      </c>
      <c r="N18" s="81">
        <v>34.603157002329503</v>
      </c>
      <c r="O18" s="81">
        <v>51.904735503494301</v>
      </c>
      <c r="P18" s="38">
        <f t="shared" si="3"/>
        <v>3.7490117276807373E-3</v>
      </c>
      <c r="Q18" s="38">
        <f t="shared" si="4"/>
        <v>2.7239970188943311E-5</v>
      </c>
      <c r="R18" s="81">
        <v>34.603996572589097</v>
      </c>
      <c r="S18" s="81">
        <v>51.905994858883602</v>
      </c>
      <c r="T18" s="38">
        <f t="shared" si="5"/>
        <v>1.8554552588893301E-3</v>
      </c>
      <c r="U18" s="38">
        <f t="shared" si="6"/>
        <v>1.1934621883621547E-5</v>
      </c>
      <c r="V18" s="81">
        <v>59.849469840116697</v>
      </c>
      <c r="W18" s="81">
        <v>89.774204760174996</v>
      </c>
      <c r="X18" s="38">
        <f t="shared" si="7"/>
        <v>5.2858618968171242E-3</v>
      </c>
      <c r="Y18" s="38">
        <f t="shared" si="8"/>
        <v>3.9640228423492164E-5</v>
      </c>
      <c r="Z18" s="81">
        <v>59.850422861758901</v>
      </c>
      <c r="AA18" s="81">
        <v>89.775634292638401</v>
      </c>
      <c r="AB18" s="38">
        <f t="shared" si="9"/>
        <v>2.8851194565019996E-3</v>
      </c>
      <c r="AC18" s="38">
        <f t="shared" si="10"/>
        <v>1.9065177099196092E-5</v>
      </c>
    </row>
    <row r="19" spans="1:29" ht="14">
      <c r="A19" s="3" t="s">
        <v>453</v>
      </c>
      <c r="B19" s="81">
        <f t="shared" ref="B19:E19" si="18">AVERAGE(N19,R19,V19,Z19)</f>
        <v>5.0615055090475824E-7</v>
      </c>
      <c r="C19" s="81">
        <f t="shared" si="18"/>
        <v>8.6045593653808709E-7</v>
      </c>
      <c r="D19" s="38">
        <f t="shared" si="18"/>
        <v>3.1281418179549205E-11</v>
      </c>
      <c r="E19" s="38">
        <f t="shared" si="18"/>
        <v>2.4214652245589818E-13</v>
      </c>
      <c r="F19" s="38">
        <f t="shared" si="1"/>
        <v>7.5302625844034803E-11</v>
      </c>
      <c r="G19" s="38">
        <f t="shared" si="2"/>
        <v>2.4385017862639602E-13</v>
      </c>
      <c r="H19" s="2" t="s">
        <v>435</v>
      </c>
      <c r="I19" s="2" t="s">
        <v>435</v>
      </c>
      <c r="J19" s="2"/>
      <c r="L19" s="3" t="s">
        <v>454</v>
      </c>
      <c r="M19" s="81">
        <v>1.7</v>
      </c>
      <c r="N19" s="81">
        <v>2.2904469732943201E-7</v>
      </c>
      <c r="O19" s="81">
        <v>3.8937598546003498E-7</v>
      </c>
      <c r="P19" s="38">
        <f t="shared" si="3"/>
        <v>2.4815402143605508E-11</v>
      </c>
      <c r="Q19" s="38">
        <f t="shared" si="4"/>
        <v>2.0434725528093147E-13</v>
      </c>
      <c r="R19" s="81">
        <v>7.7385862109569497E-7</v>
      </c>
      <c r="S19" s="81">
        <v>1.31555965586268E-6</v>
      </c>
      <c r="T19" s="38">
        <f t="shared" si="5"/>
        <v>4.1494052432262762E-11</v>
      </c>
      <c r="U19" s="38">
        <f t="shared" si="6"/>
        <v>3.0248350119776635E-13</v>
      </c>
      <c r="V19" s="81">
        <v>2.3843962412174301E-7</v>
      </c>
      <c r="W19" s="81">
        <v>4.0534736100696401E-7</v>
      </c>
      <c r="X19" s="38">
        <f t="shared" si="7"/>
        <v>2.1058815177535766E-11</v>
      </c>
      <c r="Y19" s="38">
        <f t="shared" si="8"/>
        <v>1.7898306115994462E-13</v>
      </c>
      <c r="Z19" s="81">
        <v>7.8325926107216298E-7</v>
      </c>
      <c r="AA19" s="81">
        <v>1.3315407438226699E-6</v>
      </c>
      <c r="AB19" s="38">
        <f t="shared" si="9"/>
        <v>3.7757402964792777E-11</v>
      </c>
      <c r="AC19" s="38">
        <f t="shared" si="10"/>
        <v>2.827722721849502E-13</v>
      </c>
    </row>
    <row r="20" spans="1:29" ht="14">
      <c r="A20" s="3" t="s">
        <v>455</v>
      </c>
      <c r="B20" s="81">
        <f t="shared" ref="B20:E20" si="19">AVERAGE(N20,R20,V20,Z20)</f>
        <v>35.030038345620227</v>
      </c>
      <c r="C20" s="81">
        <f t="shared" si="19"/>
        <v>73.563080525802448</v>
      </c>
      <c r="D20" s="38">
        <f t="shared" si="19"/>
        <v>2.3931708936692562E-3</v>
      </c>
      <c r="E20" s="38">
        <f t="shared" si="19"/>
        <v>2.3427680419151934E-5</v>
      </c>
      <c r="F20" s="38" t="str">
        <f t="shared" si="1"/>
        <v/>
      </c>
      <c r="G20" s="38" t="str">
        <f t="shared" si="2"/>
        <v/>
      </c>
      <c r="H20" s="2" t="s">
        <v>438</v>
      </c>
      <c r="I20" s="2" t="s">
        <v>438</v>
      </c>
      <c r="J20" s="2"/>
      <c r="L20" s="3" t="s">
        <v>456</v>
      </c>
      <c r="M20" s="81">
        <v>2.1</v>
      </c>
      <c r="N20" s="81">
        <v>22.7692765580735</v>
      </c>
      <c r="O20" s="81">
        <v>47.815480771954299</v>
      </c>
      <c r="P20" s="38">
        <f t="shared" si="3"/>
        <v>2.4668929728370453E-3</v>
      </c>
      <c r="Q20" s="38">
        <f t="shared" si="4"/>
        <v>2.5093900549986265E-5</v>
      </c>
      <c r="R20" s="81">
        <v>39.220340930002898</v>
      </c>
      <c r="S20" s="81">
        <v>82.362715953006003</v>
      </c>
      <c r="T20" s="38">
        <f t="shared" si="5"/>
        <v>2.102982170899039E-3</v>
      </c>
      <c r="U20" s="38">
        <f t="shared" si="6"/>
        <v>1.8937463290697684E-5</v>
      </c>
      <c r="V20" s="81">
        <v>30.824496241726301</v>
      </c>
      <c r="W20" s="81">
        <v>64.731442107625298</v>
      </c>
      <c r="X20" s="38">
        <f t="shared" si="7"/>
        <v>2.7223972176861309E-3</v>
      </c>
      <c r="Y20" s="38">
        <f t="shared" si="8"/>
        <v>2.8582477095543409E-5</v>
      </c>
      <c r="Z20" s="81">
        <v>47.306039652678201</v>
      </c>
      <c r="AA20" s="81">
        <v>99.342683270624207</v>
      </c>
      <c r="AB20" s="38">
        <f t="shared" si="9"/>
        <v>2.2804112132548092E-3</v>
      </c>
      <c r="AC20" s="38">
        <f t="shared" si="10"/>
        <v>2.1096880740380376E-5</v>
      </c>
    </row>
    <row r="21" spans="1:29" ht="14">
      <c r="A21" s="3" t="s">
        <v>457</v>
      </c>
      <c r="B21" s="81">
        <f t="shared" ref="B21:E21" si="20">AVERAGE(N21,R21,V21,Z21)</f>
        <v>1.3278313310206576E-2</v>
      </c>
      <c r="C21" s="81">
        <f t="shared" si="20"/>
        <v>2.9212289282454521E-2</v>
      </c>
      <c r="D21" s="38">
        <f t="shared" si="20"/>
        <v>9.0638910577813644E-7</v>
      </c>
      <c r="E21" s="38">
        <f t="shared" si="20"/>
        <v>9.5509478563872915E-9</v>
      </c>
      <c r="F21" s="38">
        <f t="shared" si="1"/>
        <v>2.1819176902325434E-6</v>
      </c>
      <c r="G21" s="38">
        <f t="shared" si="2"/>
        <v>9.6181449033843255E-9</v>
      </c>
      <c r="H21" s="2" t="s">
        <v>435</v>
      </c>
      <c r="I21" s="2" t="s">
        <v>435</v>
      </c>
      <c r="J21" s="2"/>
      <c r="L21" s="3" t="s">
        <v>458</v>
      </c>
      <c r="M21" s="81">
        <v>2.2000000000000002</v>
      </c>
      <c r="N21" s="81">
        <v>9.6693994370479299E-7</v>
      </c>
      <c r="O21" s="81">
        <v>2.1272678761505401E-6</v>
      </c>
      <c r="P21" s="38">
        <f t="shared" si="3"/>
        <v>1.0476122709463126E-10</v>
      </c>
      <c r="Q21" s="38">
        <f t="shared" si="4"/>
        <v>1.1164051404584542E-12</v>
      </c>
      <c r="R21" s="81">
        <v>3.19287809719976E-6</v>
      </c>
      <c r="S21" s="81">
        <v>7.0243318138394799E-6</v>
      </c>
      <c r="T21" s="38">
        <f t="shared" si="5"/>
        <v>1.7120110516756407E-10</v>
      </c>
      <c r="U21" s="38">
        <f t="shared" si="6"/>
        <v>1.6150878990217427E-12</v>
      </c>
      <c r="V21" s="81">
        <v>2.6552725440553301E-2</v>
      </c>
      <c r="W21" s="81">
        <v>5.8415995969217399E-2</v>
      </c>
      <c r="X21" s="38">
        <f t="shared" si="7"/>
        <v>2.345117509608899E-6</v>
      </c>
      <c r="Y21" s="38">
        <f t="shared" si="8"/>
        <v>2.5793861722212837E-8</v>
      </c>
      <c r="Z21" s="81">
        <v>2.6556367982232099E-2</v>
      </c>
      <c r="AA21" s="81">
        <v>5.8424009560910699E-2</v>
      </c>
      <c r="AB21" s="38">
        <f t="shared" si="9"/>
        <v>1.2801629511713846E-6</v>
      </c>
      <c r="AC21" s="38">
        <f t="shared" si="10"/>
        <v>1.2407198210296854E-8</v>
      </c>
    </row>
    <row r="22" spans="1:29" ht="14">
      <c r="A22" s="3" t="s">
        <v>459</v>
      </c>
      <c r="B22" s="81">
        <f t="shared" ref="B22:E22" si="21">AVERAGE(N22,R22,V22,Z22)</f>
        <v>15.882100923748276</v>
      </c>
      <c r="C22" s="81">
        <f t="shared" si="21"/>
        <v>38.117042216995848</v>
      </c>
      <c r="D22" s="38">
        <f t="shared" si="21"/>
        <v>1.0701148196139456E-3</v>
      </c>
      <c r="E22" s="38">
        <f t="shared" si="21"/>
        <v>1.1917439622726275E-5</v>
      </c>
      <c r="F22" s="38" t="str">
        <f t="shared" si="1"/>
        <v/>
      </c>
      <c r="G22" s="38" t="str">
        <f t="shared" si="2"/>
        <v/>
      </c>
      <c r="H22" s="2" t="s">
        <v>438</v>
      </c>
      <c r="I22" s="2" t="s">
        <v>438</v>
      </c>
      <c r="J22" s="2"/>
      <c r="L22" s="3" t="s">
        <v>460</v>
      </c>
      <c r="M22" s="81">
        <v>2.4</v>
      </c>
      <c r="N22" s="81">
        <v>10.4292707406114</v>
      </c>
      <c r="O22" s="81">
        <v>25.0302497774674</v>
      </c>
      <c r="P22" s="38">
        <f t="shared" si="3"/>
        <v>1.129939049060683E-3</v>
      </c>
      <c r="Q22" s="38">
        <f t="shared" si="4"/>
        <v>1.3136051097189689E-5</v>
      </c>
      <c r="R22" s="81">
        <v>19.6812960851559</v>
      </c>
      <c r="S22" s="81">
        <v>47.2351106043741</v>
      </c>
      <c r="T22" s="38">
        <f t="shared" si="5"/>
        <v>1.0553048185158865E-3</v>
      </c>
      <c r="U22" s="38">
        <f t="shared" si="6"/>
        <v>1.0860656581708222E-5</v>
      </c>
      <c r="V22" s="81">
        <v>12.0729572286674</v>
      </c>
      <c r="W22" s="81">
        <v>28.9750973488017</v>
      </c>
      <c r="X22" s="38">
        <f t="shared" si="7"/>
        <v>1.066274852014486E-3</v>
      </c>
      <c r="Y22" s="38">
        <f t="shared" si="8"/>
        <v>1.2794092474199742E-5</v>
      </c>
      <c r="Z22" s="81">
        <v>21.3448796405584</v>
      </c>
      <c r="AA22" s="81">
        <v>51.227711137340201</v>
      </c>
      <c r="AB22" s="38">
        <f t="shared" si="9"/>
        <v>1.0289405588647272E-3</v>
      </c>
      <c r="AC22" s="38">
        <f t="shared" si="10"/>
        <v>1.087895833780745E-5</v>
      </c>
    </row>
    <row r="23" spans="1:29" ht="14">
      <c r="A23" s="3" t="s">
        <v>461</v>
      </c>
      <c r="B23" s="81">
        <f t="shared" ref="B23:E23" si="22">AVERAGE(N23,R23,V23,Z23)</f>
        <v>1.4431167134024724E-3</v>
      </c>
      <c r="C23" s="81">
        <f t="shared" si="22"/>
        <v>3.6077917835061926E-3</v>
      </c>
      <c r="D23" s="38">
        <f t="shared" si="22"/>
        <v>1.0749517291076196E-7</v>
      </c>
      <c r="E23" s="38">
        <f t="shared" si="22"/>
        <v>1.2678714311010585E-9</v>
      </c>
      <c r="F23" s="38">
        <f t="shared" si="1"/>
        <v>2.5876923927416342E-7</v>
      </c>
      <c r="G23" s="38">
        <f t="shared" si="2"/>
        <v>1.2767917202098424E-9</v>
      </c>
      <c r="H23" s="2" t="s">
        <v>435</v>
      </c>
      <c r="I23" s="2" t="s">
        <v>435</v>
      </c>
      <c r="J23" s="2"/>
      <c r="L23" s="3" t="s">
        <v>462</v>
      </c>
      <c r="M23" s="81">
        <v>2.5</v>
      </c>
      <c r="N23" s="81">
        <v>1.4348886497919499E-3</v>
      </c>
      <c r="O23" s="81">
        <v>3.5872216244798899E-3</v>
      </c>
      <c r="P23" s="38">
        <f t="shared" si="3"/>
        <v>1.554602192980211E-7</v>
      </c>
      <c r="Q23" s="38">
        <f t="shared" si="4"/>
        <v>1.8825991340498524E-9</v>
      </c>
      <c r="R23" s="81">
        <v>1.4510221354131301E-3</v>
      </c>
      <c r="S23" s="81">
        <v>3.62755533853284E-3</v>
      </c>
      <c r="T23" s="38">
        <f t="shared" si="5"/>
        <v>7.7803344081064258E-8</v>
      </c>
      <c r="U23" s="38">
        <f t="shared" si="6"/>
        <v>8.3407516694370057E-10</v>
      </c>
      <c r="V23" s="81">
        <v>1.4351491359038801E-3</v>
      </c>
      <c r="W23" s="81">
        <v>3.5878728397597199E-3</v>
      </c>
      <c r="X23" s="38">
        <f t="shared" si="7"/>
        <v>1.2675133387129013E-7</v>
      </c>
      <c r="Y23" s="38">
        <f t="shared" si="8"/>
        <v>1.5842423700934999E-9</v>
      </c>
      <c r="Z23" s="81">
        <v>1.4514069325009299E-3</v>
      </c>
      <c r="AA23" s="81">
        <v>3.6285173312523198E-3</v>
      </c>
      <c r="AB23" s="38">
        <f t="shared" si="9"/>
        <v>6.9965794392672311E-8</v>
      </c>
      <c r="AC23" s="38">
        <f t="shared" si="10"/>
        <v>7.7056905331718116E-10</v>
      </c>
    </row>
    <row r="24" spans="1:29" ht="14">
      <c r="A24" s="3" t="s">
        <v>463</v>
      </c>
      <c r="B24" s="81">
        <f t="shared" ref="B24:E24" si="23">AVERAGE(N24,R24,V24,Z24)</f>
        <v>6915.8236190622247</v>
      </c>
      <c r="C24" s="81">
        <f t="shared" si="23"/>
        <v>19364.306133374201</v>
      </c>
      <c r="D24" s="38">
        <f t="shared" si="23"/>
        <v>0.44926455278297067</v>
      </c>
      <c r="E24" s="38">
        <f t="shared" si="23"/>
        <v>5.7983745533098279E-3</v>
      </c>
      <c r="F24" s="38" t="str">
        <f t="shared" si="1"/>
        <v/>
      </c>
      <c r="G24" s="38" t="str">
        <f t="shared" si="2"/>
        <v/>
      </c>
      <c r="H24" s="2" t="s">
        <v>438</v>
      </c>
      <c r="I24" s="2" t="s">
        <v>438</v>
      </c>
      <c r="J24" s="2"/>
      <c r="L24" s="3" t="s">
        <v>464</v>
      </c>
      <c r="M24" s="81">
        <v>2.8</v>
      </c>
      <c r="N24" s="81">
        <v>3765.1033043665798</v>
      </c>
      <c r="O24" s="81">
        <v>10542.289252226399</v>
      </c>
      <c r="P24" s="38">
        <f t="shared" si="3"/>
        <v>0.40792279279747645</v>
      </c>
      <c r="Q24" s="38">
        <f t="shared" si="4"/>
        <v>5.5326675334764356E-3</v>
      </c>
      <c r="R24" s="81">
        <v>9156.2016198251295</v>
      </c>
      <c r="S24" s="81">
        <v>25637.3645355103</v>
      </c>
      <c r="T24" s="38">
        <f t="shared" si="5"/>
        <v>0.49095261038180182</v>
      </c>
      <c r="U24" s="38">
        <f t="shared" si="6"/>
        <v>5.8947382215816958E-3</v>
      </c>
      <c r="V24" s="81">
        <v>4675.1481051813898</v>
      </c>
      <c r="W24" s="81">
        <v>13090.414694507799</v>
      </c>
      <c r="X24" s="38">
        <f t="shared" si="7"/>
        <v>0.41290569986955289</v>
      </c>
      <c r="Y24" s="38">
        <f t="shared" si="8"/>
        <v>5.7801350625689019E-3</v>
      </c>
      <c r="Z24" s="81">
        <v>10066.8414468758</v>
      </c>
      <c r="AA24" s="81">
        <v>28187.156051252299</v>
      </c>
      <c r="AB24" s="38">
        <f t="shared" si="9"/>
        <v>0.48527710808305152</v>
      </c>
      <c r="AC24" s="38">
        <f t="shared" si="10"/>
        <v>5.9859573956122757E-3</v>
      </c>
    </row>
    <row r="25" spans="1:29" ht="14">
      <c r="A25" s="3" t="s">
        <v>465</v>
      </c>
      <c r="B25" s="81">
        <f t="shared" ref="B25:E25" si="24">AVERAGE(N25,R25,V25,Z25)</f>
        <v>615.57330938341329</v>
      </c>
      <c r="C25" s="81">
        <f t="shared" si="24"/>
        <v>1723.6052662735524</v>
      </c>
      <c r="D25" s="38">
        <f t="shared" si="24"/>
        <v>4.4570360520863578E-2</v>
      </c>
      <c r="E25" s="38">
        <f t="shared" si="24"/>
        <v>5.9006286103076213E-4</v>
      </c>
      <c r="F25" s="38" t="str">
        <f t="shared" si="1"/>
        <v/>
      </c>
      <c r="G25" s="38" t="str">
        <f t="shared" si="2"/>
        <v/>
      </c>
      <c r="H25" s="2" t="s">
        <v>438</v>
      </c>
      <c r="I25" s="2" t="s">
        <v>438</v>
      </c>
      <c r="J25" s="2"/>
      <c r="L25" s="3" t="s">
        <v>466</v>
      </c>
      <c r="M25" s="81">
        <v>2.8</v>
      </c>
      <c r="N25" s="81">
        <v>447.83188462946703</v>
      </c>
      <c r="O25" s="81">
        <v>1253.9292769625099</v>
      </c>
      <c r="P25" s="38">
        <f t="shared" si="3"/>
        <v>4.8519474318259821E-2</v>
      </c>
      <c r="Q25" s="38">
        <f t="shared" si="4"/>
        <v>6.5807090224364044E-4</v>
      </c>
      <c r="R25" s="81">
        <v>482.13751307110499</v>
      </c>
      <c r="S25" s="81">
        <v>1349.9850365990901</v>
      </c>
      <c r="T25" s="38">
        <f t="shared" si="5"/>
        <v>2.5852059667704198E-2</v>
      </c>
      <c r="U25" s="38">
        <f t="shared" si="6"/>
        <v>3.1039884707266481E-4</v>
      </c>
      <c r="V25" s="81">
        <v>748.95646663317098</v>
      </c>
      <c r="W25" s="81">
        <v>2097.0781065728702</v>
      </c>
      <c r="X25" s="38">
        <f t="shared" si="7"/>
        <v>6.6147293533709017E-2</v>
      </c>
      <c r="Y25" s="38">
        <f t="shared" si="8"/>
        <v>9.2597484309134162E-4</v>
      </c>
      <c r="Z25" s="81">
        <v>783.36737319991005</v>
      </c>
      <c r="AA25" s="81">
        <v>2193.4286449597398</v>
      </c>
      <c r="AB25" s="38">
        <f t="shared" si="9"/>
        <v>3.7762614563781265E-2</v>
      </c>
      <c r="AC25" s="38">
        <f t="shared" si="10"/>
        <v>4.6580685171540164E-4</v>
      </c>
    </row>
    <row r="26" spans="1:29" ht="14">
      <c r="A26" s="3" t="s">
        <v>467</v>
      </c>
      <c r="B26" s="81">
        <f t="shared" ref="B26:E26" si="25">AVERAGE(N26,R26,V26,Z26)</f>
        <v>368.33760162829401</v>
      </c>
      <c r="C26" s="81">
        <f t="shared" si="25"/>
        <v>1031.3452845592212</v>
      </c>
      <c r="D26" s="38">
        <f t="shared" si="25"/>
        <v>2.4872046576046369E-2</v>
      </c>
      <c r="E26" s="38">
        <f t="shared" si="25"/>
        <v>3.2331400012401278E-4</v>
      </c>
      <c r="F26" s="38" t="str">
        <f t="shared" si="1"/>
        <v/>
      </c>
      <c r="G26" s="38" t="str">
        <f t="shared" si="2"/>
        <v/>
      </c>
      <c r="H26" s="2" t="s">
        <v>438</v>
      </c>
      <c r="I26" s="2" t="s">
        <v>438</v>
      </c>
      <c r="J26" s="2"/>
      <c r="L26" s="3" t="s">
        <v>468</v>
      </c>
      <c r="M26" s="81">
        <v>2.8</v>
      </c>
      <c r="N26" s="81">
        <v>243.41368234872701</v>
      </c>
      <c r="O26" s="81">
        <v>681.55831057643604</v>
      </c>
      <c r="P26" s="38">
        <f t="shared" si="3"/>
        <v>2.6372181871784046E-2</v>
      </c>
      <c r="Q26" s="38">
        <f t="shared" si="4"/>
        <v>3.5768659414281802E-4</v>
      </c>
      <c r="R26" s="81">
        <v>453.19962024051699</v>
      </c>
      <c r="S26" s="81">
        <v>1268.9589366734399</v>
      </c>
      <c r="T26" s="38">
        <f t="shared" si="5"/>
        <v>2.4300419084193618E-2</v>
      </c>
      <c r="U26" s="38">
        <f t="shared" si="6"/>
        <v>2.9176870872455704E-4</v>
      </c>
      <c r="V26" s="81">
        <v>283.50822639188902</v>
      </c>
      <c r="W26" s="81">
        <v>793.82303389728895</v>
      </c>
      <c r="X26" s="38">
        <f t="shared" si="7"/>
        <v>2.5039241539188999E-2</v>
      </c>
      <c r="Y26" s="38">
        <f t="shared" si="8"/>
        <v>3.505163479373689E-4</v>
      </c>
      <c r="Z26" s="81">
        <v>493.22887753204299</v>
      </c>
      <c r="AA26" s="81">
        <v>1381.04085708972</v>
      </c>
      <c r="AB26" s="38">
        <f t="shared" si="9"/>
        <v>2.3776343809018812E-2</v>
      </c>
      <c r="AC26" s="38">
        <f t="shared" si="10"/>
        <v>2.9328434969130721E-4</v>
      </c>
    </row>
    <row r="27" spans="1:29" ht="28">
      <c r="A27" s="3" t="s">
        <v>469</v>
      </c>
      <c r="B27" s="81">
        <f t="shared" ref="B27:E27" si="26">AVERAGE(N27,R27,V27,Z27)</f>
        <v>0.10803982375461789</v>
      </c>
      <c r="C27" s="81">
        <f t="shared" si="26"/>
        <v>0.3025115065129298</v>
      </c>
      <c r="D27" s="38">
        <f t="shared" si="26"/>
        <v>7.6523538396524048E-6</v>
      </c>
      <c r="E27" s="38">
        <f t="shared" si="26"/>
        <v>1.008657119267026E-7</v>
      </c>
      <c r="F27" s="38">
        <f t="shared" si="1"/>
        <v>1.8421234443591726E-5</v>
      </c>
      <c r="G27" s="38">
        <f t="shared" si="2"/>
        <v>1.0157536693546648E-7</v>
      </c>
      <c r="H27" s="2" t="s">
        <v>435</v>
      </c>
      <c r="I27" s="2" t="s">
        <v>435</v>
      </c>
      <c r="J27" s="2"/>
      <c r="L27" s="3" t="s">
        <v>470</v>
      </c>
      <c r="M27" s="81">
        <v>2.8</v>
      </c>
      <c r="N27" s="81">
        <v>7.3169442517938096E-2</v>
      </c>
      <c r="O27" s="81">
        <v>0.20487443905022601</v>
      </c>
      <c r="P27" s="38">
        <f t="shared" si="3"/>
        <v>7.9274009041760156E-6</v>
      </c>
      <c r="Q27" s="38">
        <f t="shared" si="4"/>
        <v>1.0751954630091379E-7</v>
      </c>
      <c r="R27" s="81">
        <v>9.4434389664767499E-2</v>
      </c>
      <c r="S27" s="81">
        <v>0.26441629106134901</v>
      </c>
      <c r="T27" s="38">
        <f t="shared" si="5"/>
        <v>5.0635418529168773E-6</v>
      </c>
      <c r="U27" s="38">
        <f t="shared" si="6"/>
        <v>6.0796608604964013E-8</v>
      </c>
      <c r="V27" s="81">
        <v>0.121291109051561</v>
      </c>
      <c r="W27" s="81">
        <v>0.33961510534437001</v>
      </c>
      <c r="X27" s="38">
        <f t="shared" si="7"/>
        <v>1.0712343041150768E-5</v>
      </c>
      <c r="Y27" s="38">
        <f t="shared" si="8"/>
        <v>1.4995867006433551E-7</v>
      </c>
      <c r="Z27" s="81">
        <v>0.14326435378420499</v>
      </c>
      <c r="AA27" s="81">
        <v>0.40114019059577399</v>
      </c>
      <c r="AB27" s="38">
        <f t="shared" si="9"/>
        <v>6.9061295603659584E-6</v>
      </c>
      <c r="AC27" s="38">
        <f t="shared" si="10"/>
        <v>8.5188022736597091E-8</v>
      </c>
    </row>
    <row r="28" spans="1:29" ht="14">
      <c r="A28" s="3" t="s">
        <v>471</v>
      </c>
      <c r="B28" s="81">
        <f t="shared" ref="B28:E28" si="27">AVERAGE(N28,R28,V28,Z28)</f>
        <v>5.1879511460727573E-6</v>
      </c>
      <c r="C28" s="81">
        <f t="shared" si="27"/>
        <v>1.4526263209003715E-5</v>
      </c>
      <c r="D28" s="38">
        <f t="shared" si="27"/>
        <v>3.3020073656128115E-10</v>
      </c>
      <c r="E28" s="38">
        <f t="shared" si="27"/>
        <v>4.2429708433859718E-12</v>
      </c>
      <c r="F28" s="38">
        <f t="shared" si="1"/>
        <v>7.9488028247244849E-10</v>
      </c>
      <c r="G28" s="38">
        <f t="shared" si="2"/>
        <v>4.272822865976523E-12</v>
      </c>
      <c r="H28" s="2" t="s">
        <v>435</v>
      </c>
      <c r="I28" s="2" t="s">
        <v>435</v>
      </c>
      <c r="J28" s="2"/>
      <c r="L28" s="3" t="s">
        <v>472</v>
      </c>
      <c r="M28" s="81">
        <v>2.8</v>
      </c>
      <c r="N28" s="81">
        <v>2.5690042582179601E-6</v>
      </c>
      <c r="O28" s="81">
        <v>7.1932119230103001E-6</v>
      </c>
      <c r="P28" s="38">
        <f t="shared" si="3"/>
        <v>2.783337685596868E-10</v>
      </c>
      <c r="Q28" s="38">
        <f t="shared" si="4"/>
        <v>3.7750482002236772E-12</v>
      </c>
      <c r="R28" s="81">
        <v>7.21201684064947E-6</v>
      </c>
      <c r="S28" s="81">
        <v>2.0193647153818501E-5</v>
      </c>
      <c r="T28" s="38">
        <f t="shared" si="5"/>
        <v>3.8670604264194828E-10</v>
      </c>
      <c r="U28" s="38">
        <f t="shared" si="6"/>
        <v>4.6430772377508337E-12</v>
      </c>
      <c r="V28" s="81">
        <v>3.1637770130619499E-6</v>
      </c>
      <c r="W28" s="81">
        <v>8.8585756365734594E-6</v>
      </c>
      <c r="X28" s="38">
        <f t="shared" si="7"/>
        <v>2.7942249794434345E-10</v>
      </c>
      <c r="Y28" s="38">
        <f t="shared" si="8"/>
        <v>3.9115463364854199E-12</v>
      </c>
      <c r="Z28" s="81">
        <v>7.8070064723616498E-6</v>
      </c>
      <c r="AA28" s="81">
        <v>2.1859618122612599E-5</v>
      </c>
      <c r="AB28" s="38">
        <f t="shared" si="9"/>
        <v>3.7634063709914601E-10</v>
      </c>
      <c r="AC28" s="38">
        <f t="shared" si="10"/>
        <v>4.642211599083958E-12</v>
      </c>
    </row>
    <row r="29" spans="1:29" ht="14">
      <c r="A29" s="3" t="s">
        <v>473</v>
      </c>
      <c r="B29" s="81">
        <f t="shared" ref="B29:E29" si="28">AVERAGE(N29,R29,V29,Z29)</f>
        <v>58.717092254760402</v>
      </c>
      <c r="C29" s="81">
        <f t="shared" si="28"/>
        <v>199.63811366618523</v>
      </c>
      <c r="D29" s="38">
        <f t="shared" si="28"/>
        <v>4.2457417202494512E-3</v>
      </c>
      <c r="E29" s="38">
        <f t="shared" si="28"/>
        <v>6.8233448882475104E-5</v>
      </c>
      <c r="F29" s="38">
        <f t="shared" si="1"/>
        <v>1.0220620380931864E-2</v>
      </c>
      <c r="G29" s="38">
        <f t="shared" si="2"/>
        <v>6.871351498065395E-5</v>
      </c>
      <c r="H29" s="2" t="s">
        <v>473</v>
      </c>
      <c r="I29" s="2" t="s">
        <v>445</v>
      </c>
      <c r="J29" s="2"/>
      <c r="L29" s="3" t="s">
        <v>474</v>
      </c>
      <c r="M29" s="81">
        <v>3.4</v>
      </c>
      <c r="N29" s="81">
        <v>42.586786593476198</v>
      </c>
      <c r="O29" s="81">
        <v>144.795074417819</v>
      </c>
      <c r="P29" s="38">
        <f t="shared" si="3"/>
        <v>4.6139825442063215E-3</v>
      </c>
      <c r="Q29" s="38">
        <f t="shared" si="4"/>
        <v>7.5989473260714099E-5</v>
      </c>
      <c r="R29" s="81">
        <v>46.414802397520802</v>
      </c>
      <c r="S29" s="81">
        <v>157.81032815156999</v>
      </c>
      <c r="T29" s="38">
        <f t="shared" si="5"/>
        <v>2.4887469000331557E-3</v>
      </c>
      <c r="U29" s="38">
        <f t="shared" si="6"/>
        <v>3.628495323015437E-5</v>
      </c>
      <c r="V29" s="81">
        <v>71.0144175772176</v>
      </c>
      <c r="W29" s="81">
        <v>241.44901976253999</v>
      </c>
      <c r="X29" s="38">
        <f t="shared" si="7"/>
        <v>6.2719420071531713E-3</v>
      </c>
      <c r="Y29" s="38">
        <f t="shared" si="8"/>
        <v>1.0661296662648044E-4</v>
      </c>
      <c r="Z29" s="81">
        <v>74.852362450827002</v>
      </c>
      <c r="AA29" s="81">
        <v>254.49803233281199</v>
      </c>
      <c r="AB29" s="38">
        <f t="shared" si="9"/>
        <v>3.608295429605158E-3</v>
      </c>
      <c r="AC29" s="38">
        <f t="shared" si="10"/>
        <v>5.40464024125515E-5</v>
      </c>
    </row>
    <row r="30" spans="1:29" ht="14">
      <c r="A30" s="3" t="s">
        <v>475</v>
      </c>
      <c r="B30" s="81">
        <f t="shared" ref="B30:E30" si="29">AVERAGE(N30,R30,V30,Z30)</f>
        <v>1.3692230127653165E-3</v>
      </c>
      <c r="C30" s="81">
        <f t="shared" si="29"/>
        <v>4.792280544678615E-3</v>
      </c>
      <c r="D30" s="38">
        <f t="shared" si="29"/>
        <v>1.0227557832524971E-7</v>
      </c>
      <c r="E30" s="38">
        <f t="shared" si="29"/>
        <v>1.7038518243275303E-9</v>
      </c>
      <c r="F30" s="38">
        <f t="shared" si="1"/>
        <v>2.4620429813644536E-7</v>
      </c>
      <c r="G30" s="38">
        <f t="shared" si="2"/>
        <v>1.7158395152705554E-9</v>
      </c>
      <c r="H30" s="2" t="s">
        <v>445</v>
      </c>
      <c r="I30" s="2" t="s">
        <v>445</v>
      </c>
      <c r="J30" s="2"/>
      <c r="L30" s="3" t="s">
        <v>476</v>
      </c>
      <c r="M30" s="81">
        <v>3.5</v>
      </c>
      <c r="N30" s="81">
        <v>1.0743585382428E-3</v>
      </c>
      <c r="O30" s="81">
        <v>3.7602548838498299E-3</v>
      </c>
      <c r="P30" s="38">
        <f t="shared" si="3"/>
        <v>1.1639928574537401E-7</v>
      </c>
      <c r="Q30" s="38">
        <f t="shared" si="4"/>
        <v>1.9734082053457758E-9</v>
      </c>
      <c r="R30" s="81">
        <v>8.46463712795286E-4</v>
      </c>
      <c r="S30" s="81">
        <v>2.9626229947835002E-3</v>
      </c>
      <c r="T30" s="38">
        <f t="shared" si="5"/>
        <v>4.5387114290986342E-8</v>
      </c>
      <c r="U30" s="38">
        <f t="shared" si="6"/>
        <v>6.8118885540274263E-10</v>
      </c>
      <c r="V30" s="81">
        <v>1.8919632932857199E-3</v>
      </c>
      <c r="W30" s="81">
        <v>6.6218715265000203E-3</v>
      </c>
      <c r="X30" s="38">
        <f t="shared" si="7"/>
        <v>1.6709682991130284E-7</v>
      </c>
      <c r="Y30" s="38">
        <f t="shared" si="8"/>
        <v>2.9239189653944409E-9</v>
      </c>
      <c r="Z30" s="81">
        <v>1.66410650673746E-3</v>
      </c>
      <c r="AA30" s="81">
        <v>5.8243727735811102E-3</v>
      </c>
      <c r="AB30" s="38">
        <f t="shared" si="9"/>
        <v>8.0219083353335633E-8</v>
      </c>
      <c r="AC30" s="38">
        <f t="shared" si="10"/>
        <v>1.2368912711671623E-9</v>
      </c>
    </row>
    <row r="31" spans="1:29" ht="14">
      <c r="A31" s="3" t="s">
        <v>477</v>
      </c>
      <c r="B31" s="81">
        <f t="shared" ref="B31:E31" si="30">AVERAGE(N31,R31,V31,Z31)</f>
        <v>1526.1942834151337</v>
      </c>
      <c r="C31" s="81">
        <f t="shared" si="30"/>
        <v>8241.4491304416824</v>
      </c>
      <c r="D31" s="38">
        <f t="shared" si="30"/>
        <v>9.9575607294284996E-2</v>
      </c>
      <c r="E31" s="38">
        <f t="shared" si="30"/>
        <v>2.4776589724140878E-3</v>
      </c>
      <c r="F31" s="38">
        <f t="shared" si="1"/>
        <v>0.23970475559117199</v>
      </c>
      <c r="G31" s="38">
        <f t="shared" si="2"/>
        <v>2.4950908931946616E-3</v>
      </c>
      <c r="H31" s="2" t="s">
        <v>477</v>
      </c>
      <c r="I31" s="2" t="s">
        <v>478</v>
      </c>
      <c r="J31" s="2"/>
      <c r="L31" s="3" t="s">
        <v>479</v>
      </c>
      <c r="M31" s="81">
        <v>5.4</v>
      </c>
      <c r="N31" s="81">
        <v>889.93863478993796</v>
      </c>
      <c r="O31" s="81">
        <v>4805.6686278656598</v>
      </c>
      <c r="P31" s="38">
        <f t="shared" si="3"/>
        <v>9.6418670080277782E-2</v>
      </c>
      <c r="Q31" s="38">
        <f t="shared" si="4"/>
        <v>2.5220486896072882E-3</v>
      </c>
      <c r="R31" s="81">
        <v>2073.27365193079</v>
      </c>
      <c r="S31" s="81">
        <v>11195.6777204262</v>
      </c>
      <c r="T31" s="38">
        <f t="shared" si="5"/>
        <v>0.11116827192263953</v>
      </c>
      <c r="U31" s="38">
        <f t="shared" si="6"/>
        <v>2.5741955372868574E-3</v>
      </c>
      <c r="V31" s="81">
        <v>979.08473673899596</v>
      </c>
      <c r="W31" s="81">
        <v>5287.0575783905697</v>
      </c>
      <c r="X31" s="38">
        <f t="shared" si="7"/>
        <v>8.6472055934819839E-2</v>
      </c>
      <c r="Y31" s="38">
        <f t="shared" si="8"/>
        <v>2.3345254982256327E-3</v>
      </c>
      <c r="Z31" s="81">
        <v>2162.48011020081</v>
      </c>
      <c r="AA31" s="81">
        <v>11677.3925950843</v>
      </c>
      <c r="AB31" s="38">
        <f t="shared" si="9"/>
        <v>0.1042434312394028</v>
      </c>
      <c r="AC31" s="38">
        <f t="shared" si="10"/>
        <v>2.4798661645365726E-3</v>
      </c>
    </row>
    <row r="32" spans="1:29" ht="14">
      <c r="A32" s="3" t="s">
        <v>480</v>
      </c>
      <c r="B32" s="81">
        <f t="shared" ref="B32:E32" si="31">AVERAGE(N32,R32,V32,Z32)</f>
        <v>19.658206030017077</v>
      </c>
      <c r="C32" s="81">
        <f t="shared" si="31"/>
        <v>121.88087738610598</v>
      </c>
      <c r="D32" s="38">
        <f t="shared" si="31"/>
        <v>1.2471214144364059E-3</v>
      </c>
      <c r="E32" s="38">
        <f t="shared" si="31"/>
        <v>3.5407871952562713E-5</v>
      </c>
      <c r="F32" s="38">
        <f t="shared" si="1"/>
        <v>3.0021502450545703E-3</v>
      </c>
      <c r="G32" s="38">
        <f t="shared" si="2"/>
        <v>3.5656989052921518E-5</v>
      </c>
      <c r="H32" s="2" t="s">
        <v>435</v>
      </c>
      <c r="I32" s="2" t="s">
        <v>435</v>
      </c>
      <c r="J32" s="2"/>
      <c r="L32" s="3" t="s">
        <v>481</v>
      </c>
      <c r="M32" s="81">
        <v>6.2</v>
      </c>
      <c r="N32" s="81">
        <v>10.1870874591801</v>
      </c>
      <c r="O32" s="81">
        <v>63.159942246917097</v>
      </c>
      <c r="P32" s="38">
        <f t="shared" si="3"/>
        <v>1.1037001725826487E-3</v>
      </c>
      <c r="Q32" s="38">
        <f t="shared" si="4"/>
        <v>3.3146781835071257E-5</v>
      </c>
      <c r="R32" s="81">
        <v>28.582569799671599</v>
      </c>
      <c r="S32" s="81">
        <v>177.21193275796401</v>
      </c>
      <c r="T32" s="38">
        <f t="shared" si="5"/>
        <v>1.532588275927112E-3</v>
      </c>
      <c r="U32" s="38">
        <f t="shared" si="6"/>
        <v>4.0745918009701666E-5</v>
      </c>
      <c r="V32" s="81">
        <v>10.7338027682869</v>
      </c>
      <c r="W32" s="81">
        <v>66.5495771633788</v>
      </c>
      <c r="X32" s="38">
        <f t="shared" si="7"/>
        <v>9.4800169846796518E-4</v>
      </c>
      <c r="Y32" s="38">
        <f t="shared" si="8"/>
        <v>2.9385283303711563E-5</v>
      </c>
      <c r="Z32" s="81">
        <v>29.129364092929698</v>
      </c>
      <c r="AA32" s="81">
        <v>180.602057376164</v>
      </c>
      <c r="AB32" s="38">
        <f t="shared" si="9"/>
        <v>1.4041955107678976E-3</v>
      </c>
      <c r="AC32" s="38">
        <f t="shared" si="10"/>
        <v>3.8353504661766373E-5</v>
      </c>
    </row>
    <row r="33" spans="1:29" ht="14">
      <c r="A33" s="3" t="s">
        <v>482</v>
      </c>
      <c r="B33" s="81">
        <f t="shared" ref="B33:E33" si="32">AVERAGE(N33,R33,V33,Z33)</f>
        <v>15.617638987945433</v>
      </c>
      <c r="C33" s="81">
        <f t="shared" si="32"/>
        <v>156.17638987945435</v>
      </c>
      <c r="D33" s="38">
        <f t="shared" si="32"/>
        <v>9.9249097690486034E-4</v>
      </c>
      <c r="E33" s="38">
        <f t="shared" si="32"/>
        <v>4.5468541809331652E-5</v>
      </c>
      <c r="F33" s="38">
        <f t="shared" si="1"/>
        <v>2.3891876083900849E-3</v>
      </c>
      <c r="G33" s="38">
        <f t="shared" si="2"/>
        <v>4.5788442178047937E-5</v>
      </c>
      <c r="H33" s="2" t="s">
        <v>483</v>
      </c>
      <c r="I33" s="2" t="s">
        <v>483</v>
      </c>
      <c r="J33" s="2"/>
      <c r="L33" s="3" t="s">
        <v>484</v>
      </c>
      <c r="M33" s="81">
        <v>10</v>
      </c>
      <c r="N33" s="81">
        <v>8.1412615527292793</v>
      </c>
      <c r="O33" s="81">
        <v>81.4126155272928</v>
      </c>
      <c r="P33" s="38">
        <f t="shared" si="3"/>
        <v>8.8204914474259159E-4</v>
      </c>
      <c r="Q33" s="38">
        <f t="shared" si="4"/>
        <v>4.272591312632856E-5</v>
      </c>
      <c r="R33" s="81">
        <v>22.5944816744035</v>
      </c>
      <c r="S33" s="81">
        <v>225.94481674403499</v>
      </c>
      <c r="T33" s="38">
        <f t="shared" si="5"/>
        <v>1.211508900618119E-3</v>
      </c>
      <c r="U33" s="38">
        <f t="shared" si="6"/>
        <v>5.1950954060997226E-5</v>
      </c>
      <c r="V33" s="81">
        <v>8.6407567233014593</v>
      </c>
      <c r="W33" s="81">
        <v>86.407567233014603</v>
      </c>
      <c r="X33" s="38">
        <f t="shared" si="7"/>
        <v>7.6314538533724314E-4</v>
      </c>
      <c r="Y33" s="38">
        <f t="shared" si="8"/>
        <v>3.8153673561187876E-5</v>
      </c>
      <c r="Z33" s="81">
        <v>23.0940560013475</v>
      </c>
      <c r="AA33" s="81">
        <v>230.94056001347499</v>
      </c>
      <c r="AB33" s="38">
        <f t="shared" si="9"/>
        <v>1.113260476921488E-3</v>
      </c>
      <c r="AC33" s="38">
        <f t="shared" si="10"/>
        <v>4.9043626488812939E-5</v>
      </c>
    </row>
    <row r="34" spans="1:29" ht="14">
      <c r="A34" s="3" t="s">
        <v>485</v>
      </c>
      <c r="B34" s="81">
        <f t="shared" ref="B34:E34" si="33">AVERAGE(N34,R34,V34,Z34)</f>
        <v>2.1598404219485324E-2</v>
      </c>
      <c r="C34" s="81">
        <f t="shared" si="33"/>
        <v>0.25918085063382423</v>
      </c>
      <c r="D34" s="38">
        <f t="shared" si="33"/>
        <v>1.3700116673709965E-6</v>
      </c>
      <c r="E34" s="38">
        <f t="shared" si="33"/>
        <v>7.5281678182480221E-8</v>
      </c>
      <c r="F34" s="38">
        <f t="shared" si="1"/>
        <v>3.2979795032901265E-6</v>
      </c>
      <c r="G34" s="38">
        <f t="shared" si="2"/>
        <v>7.5811333096621611E-8</v>
      </c>
      <c r="H34" s="2" t="s">
        <v>435</v>
      </c>
      <c r="I34" s="2" t="s">
        <v>435</v>
      </c>
      <c r="J34" s="2"/>
      <c r="L34" s="3" t="s">
        <v>486</v>
      </c>
      <c r="M34" s="81">
        <v>12</v>
      </c>
      <c r="N34" s="81">
        <v>1.11871583163063E-2</v>
      </c>
      <c r="O34" s="81">
        <v>0.134245899795676</v>
      </c>
      <c r="P34" s="38">
        <f t="shared" si="3"/>
        <v>1.2120509040383204E-6</v>
      </c>
      <c r="Q34" s="38">
        <f t="shared" si="4"/>
        <v>7.0453192236687168E-8</v>
      </c>
      <c r="R34" s="81">
        <v>3.1416923883024202E-2</v>
      </c>
      <c r="S34" s="81">
        <v>0.377003086596291</v>
      </c>
      <c r="T34" s="38">
        <f t="shared" si="5"/>
        <v>1.6845654378274477E-6</v>
      </c>
      <c r="U34" s="38">
        <f t="shared" si="6"/>
        <v>8.6683422593429064E-8</v>
      </c>
      <c r="V34" s="81">
        <v>1.1779842378352501E-2</v>
      </c>
      <c r="W34" s="81">
        <v>0.14135810854023001</v>
      </c>
      <c r="X34" s="38">
        <f t="shared" si="7"/>
        <v>1.0403871603973373E-6</v>
      </c>
      <c r="Y34" s="38">
        <f t="shared" si="8"/>
        <v>6.2417347243751767E-8</v>
      </c>
      <c r="Z34" s="81">
        <v>3.2009692300258297E-2</v>
      </c>
      <c r="AA34" s="81">
        <v>0.3841163076031</v>
      </c>
      <c r="AB34" s="38">
        <f t="shared" si="9"/>
        <v>1.5430431672208807E-6</v>
      </c>
      <c r="AC34" s="38">
        <f t="shared" si="10"/>
        <v>8.1572750656052884E-8</v>
      </c>
    </row>
    <row r="35" spans="1:29" ht="14">
      <c r="A35" s="3" t="s">
        <v>487</v>
      </c>
      <c r="B35" s="81">
        <f t="shared" ref="B35:E35" si="34">AVERAGE(N35,R35,V35,Z35)</f>
        <v>557.3910243885623</v>
      </c>
      <c r="C35" s="81">
        <f t="shared" si="34"/>
        <v>10590.429463382647</v>
      </c>
      <c r="D35" s="38">
        <f t="shared" si="34"/>
        <v>3.6716925835271842E-2</v>
      </c>
      <c r="E35" s="38">
        <f t="shared" si="34"/>
        <v>3.2221480460672266E-3</v>
      </c>
      <c r="F35" s="38">
        <f t="shared" si="1"/>
        <v>8.8387326701327179E-2</v>
      </c>
      <c r="G35" s="38">
        <f t="shared" si="2"/>
        <v>3.24481792521835E-3</v>
      </c>
      <c r="H35" s="2" t="s">
        <v>487</v>
      </c>
      <c r="I35" s="2" t="s">
        <v>487</v>
      </c>
      <c r="J35" s="2"/>
      <c r="L35" s="3" t="s">
        <v>488</v>
      </c>
      <c r="M35" s="81">
        <v>19</v>
      </c>
      <c r="N35" s="81">
        <v>333.91433312365302</v>
      </c>
      <c r="O35" s="81">
        <v>6344.3723293494004</v>
      </c>
      <c r="P35" s="38">
        <f t="shared" si="3"/>
        <v>3.6177298818052719E-2</v>
      </c>
      <c r="Q35" s="38">
        <f t="shared" si="4"/>
        <v>3.3295712123877401E-3</v>
      </c>
      <c r="R35" s="81">
        <v>732.06855741557604</v>
      </c>
      <c r="S35" s="81">
        <v>13909.302590895901</v>
      </c>
      <c r="T35" s="38">
        <f t="shared" si="5"/>
        <v>3.9253282547144393E-2</v>
      </c>
      <c r="U35" s="38">
        <f t="shared" si="6"/>
        <v>3.1981328464761941E-3</v>
      </c>
      <c r="V35" s="81">
        <v>382.56456117615198</v>
      </c>
      <c r="W35" s="81">
        <v>7268.7266623468904</v>
      </c>
      <c r="X35" s="38">
        <f t="shared" si="7"/>
        <v>3.3787825395875597E-2</v>
      </c>
      <c r="Y35" s="38">
        <f t="shared" si="8"/>
        <v>3.2095409367655964E-3</v>
      </c>
      <c r="Z35" s="81">
        <v>781.01664583886804</v>
      </c>
      <c r="AA35" s="81">
        <v>14839.3162709384</v>
      </c>
      <c r="AB35" s="38">
        <f t="shared" si="9"/>
        <v>3.7649296580014646E-2</v>
      </c>
      <c r="AC35" s="38">
        <f t="shared" si="10"/>
        <v>3.151347188639375E-3</v>
      </c>
    </row>
    <row r="36" spans="1:29" ht="14">
      <c r="A36" s="3" t="s">
        <v>489</v>
      </c>
      <c r="B36" s="81">
        <f t="shared" ref="B36:E36" si="35">AVERAGE(N36,R36,V36,Z36)</f>
        <v>0.75399259489632153</v>
      </c>
      <c r="C36" s="81">
        <f t="shared" si="35"/>
        <v>14.325859303030125</v>
      </c>
      <c r="D36" s="38">
        <f t="shared" si="35"/>
        <v>4.7903155194542857E-5</v>
      </c>
      <c r="E36" s="38">
        <f t="shared" si="35"/>
        <v>4.1714470493995008E-6</v>
      </c>
      <c r="F36" s="38">
        <f t="shared" si="1"/>
        <v>1.1531553178499073E-4</v>
      </c>
      <c r="G36" s="38">
        <f t="shared" si="2"/>
        <v>4.2007958562026576E-6</v>
      </c>
      <c r="H36" s="2" t="s">
        <v>435</v>
      </c>
      <c r="I36" s="2" t="s">
        <v>435</v>
      </c>
      <c r="J36" s="2"/>
      <c r="L36" s="3" t="s">
        <v>490</v>
      </c>
      <c r="M36" s="81">
        <v>19</v>
      </c>
      <c r="N36" s="81">
        <v>0.384779548902074</v>
      </c>
      <c r="O36" s="81">
        <v>7.3108114291394104</v>
      </c>
      <c r="P36" s="38">
        <f t="shared" si="3"/>
        <v>4.1688191667265112E-5</v>
      </c>
      <c r="Q36" s="38">
        <f t="shared" si="4"/>
        <v>3.8367652480058737E-6</v>
      </c>
      <c r="R36" s="81">
        <v>1.0779128325279601</v>
      </c>
      <c r="S36" s="81">
        <v>20.480343818031201</v>
      </c>
      <c r="T36" s="38">
        <f t="shared" si="5"/>
        <v>5.7797342267759174E-5</v>
      </c>
      <c r="U36" s="38">
        <f t="shared" si="6"/>
        <v>4.7089967195366375E-6</v>
      </c>
      <c r="V36" s="81">
        <v>0.43004043950356202</v>
      </c>
      <c r="W36" s="81">
        <v>8.1707683505676894</v>
      </c>
      <c r="X36" s="38">
        <f t="shared" si="7"/>
        <v>3.798086063811214E-5</v>
      </c>
      <c r="Y36" s="38">
        <f t="shared" si="8"/>
        <v>3.6078417478293921E-6</v>
      </c>
      <c r="Z36" s="81">
        <v>1.1232375586516901</v>
      </c>
      <c r="AA36" s="81">
        <v>21.341513614382201</v>
      </c>
      <c r="AB36" s="38">
        <f t="shared" si="9"/>
        <v>5.4146226205035022E-5</v>
      </c>
      <c r="AC36" s="38">
        <f t="shared" si="10"/>
        <v>4.5321844822261009E-6</v>
      </c>
    </row>
    <row r="37" spans="1:29" ht="14">
      <c r="A37" s="3" t="s">
        <v>491</v>
      </c>
      <c r="B37" s="81">
        <f t="shared" ref="B37:E37" si="36">AVERAGE(N37,R37,V37,Z37)</f>
        <v>22.819489371434223</v>
      </c>
      <c r="C37" s="81">
        <f t="shared" si="36"/>
        <v>479.20927680011948</v>
      </c>
      <c r="D37" s="38">
        <f t="shared" si="36"/>
        <v>1.528379245334333E-3</v>
      </c>
      <c r="E37" s="38">
        <f t="shared" si="36"/>
        <v>1.4892626248453296E-4</v>
      </c>
      <c r="F37" s="38">
        <f t="shared" si="1"/>
        <v>3.6792120420691913E-3</v>
      </c>
      <c r="G37" s="38">
        <f t="shared" si="2"/>
        <v>1.4997405430684652E-4</v>
      </c>
      <c r="H37" s="2" t="s">
        <v>435</v>
      </c>
      <c r="I37" s="2" t="s">
        <v>435</v>
      </c>
      <c r="J37" s="2"/>
      <c r="L37" s="3" t="s">
        <v>492</v>
      </c>
      <c r="M37" s="81">
        <v>21</v>
      </c>
      <c r="N37" s="81">
        <v>14.0209274052567</v>
      </c>
      <c r="O37" s="81">
        <v>294.43947551039003</v>
      </c>
      <c r="P37" s="38">
        <f t="shared" si="3"/>
        <v>1.5190701031044347E-3</v>
      </c>
      <c r="Q37" s="38">
        <f t="shared" si="4"/>
        <v>1.5452390726104702E-4</v>
      </c>
      <c r="R37" s="81">
        <v>27.680647668634499</v>
      </c>
      <c r="S37" s="81">
        <v>581.29360104132604</v>
      </c>
      <c r="T37" s="38">
        <f t="shared" si="5"/>
        <v>1.4842274989390841E-3</v>
      </c>
      <c r="U37" s="38">
        <f t="shared" si="6"/>
        <v>1.3365545445488444E-4</v>
      </c>
      <c r="V37" s="81">
        <v>17.9580480221519</v>
      </c>
      <c r="W37" s="81">
        <v>377.11900846519097</v>
      </c>
      <c r="X37" s="38">
        <f t="shared" si="7"/>
        <v>1.5860418151587047E-3</v>
      </c>
      <c r="Y37" s="38">
        <f t="shared" si="8"/>
        <v>1.6651869741799878E-4</v>
      </c>
      <c r="Z37" s="81">
        <v>31.6183343896938</v>
      </c>
      <c r="AA37" s="81">
        <v>663.985022183571</v>
      </c>
      <c r="AB37" s="38">
        <f t="shared" si="9"/>
        <v>1.524177564135108E-3</v>
      </c>
      <c r="AC37" s="38">
        <f t="shared" si="10"/>
        <v>1.4100699080420157E-4</v>
      </c>
    </row>
    <row r="38" spans="1:29" ht="14">
      <c r="A38" s="3" t="s">
        <v>493</v>
      </c>
      <c r="B38" s="81">
        <f t="shared" ref="B38:E38" si="37">AVERAGE(N38,R38,V38,Z38)</f>
        <v>6.0691269758757276</v>
      </c>
      <c r="C38" s="81">
        <f t="shared" si="37"/>
        <v>139.58992044514133</v>
      </c>
      <c r="D38" s="38">
        <f t="shared" si="37"/>
        <v>4.0834139668130488E-4</v>
      </c>
      <c r="E38" s="38">
        <f t="shared" si="37"/>
        <v>4.3546970951152202E-5</v>
      </c>
      <c r="F38" s="38">
        <f t="shared" si="1"/>
        <v>9.8298546550634747E-4</v>
      </c>
      <c r="G38" s="38">
        <f t="shared" si="2"/>
        <v>4.3853351835812372E-5</v>
      </c>
      <c r="H38" s="2" t="s">
        <v>435</v>
      </c>
      <c r="I38" s="2" t="s">
        <v>435</v>
      </c>
      <c r="J38" s="2"/>
      <c r="L38" s="3" t="s">
        <v>494</v>
      </c>
      <c r="M38" s="81">
        <v>23</v>
      </c>
      <c r="N38" s="81">
        <v>4.0286345096518801</v>
      </c>
      <c r="O38" s="81">
        <v>92.658593721993299</v>
      </c>
      <c r="P38" s="38">
        <f t="shared" si="3"/>
        <v>4.3647456855475548E-4</v>
      </c>
      <c r="Q38" s="38">
        <f t="shared" si="4"/>
        <v>4.8627881565191425E-5</v>
      </c>
      <c r="R38" s="81">
        <v>7.6679213729575899</v>
      </c>
      <c r="S38" s="81">
        <v>176.36219157802401</v>
      </c>
      <c r="T38" s="38">
        <f t="shared" si="5"/>
        <v>4.1115149824844473E-4</v>
      </c>
      <c r="U38" s="38">
        <f t="shared" si="6"/>
        <v>4.0550539042222137E-5</v>
      </c>
      <c r="V38" s="81">
        <v>4.4702012807845</v>
      </c>
      <c r="W38" s="81">
        <v>102.814629458043</v>
      </c>
      <c r="X38" s="38">
        <f t="shared" si="7"/>
        <v>3.9480494454377979E-4</v>
      </c>
      <c r="Y38" s="38">
        <f t="shared" si="8"/>
        <v>4.5398290164543097E-5</v>
      </c>
      <c r="Z38" s="81">
        <v>8.1097507401089395</v>
      </c>
      <c r="AA38" s="81">
        <v>186.524267022505</v>
      </c>
      <c r="AB38" s="38">
        <f t="shared" si="9"/>
        <v>3.9093457537823947E-4</v>
      </c>
      <c r="AC38" s="38">
        <f t="shared" si="10"/>
        <v>3.9611173032652142E-5</v>
      </c>
    </row>
    <row r="39" spans="1:29" ht="14">
      <c r="A39" s="3" t="s">
        <v>495</v>
      </c>
      <c r="B39" s="81">
        <f t="shared" ref="B39:E39" si="38">AVERAGE(N39,R39,V39,Z39)</f>
        <v>1.6076967091105976</v>
      </c>
      <c r="C39" s="81">
        <f t="shared" si="38"/>
        <v>107.71567951041015</v>
      </c>
      <c r="D39" s="38">
        <f t="shared" si="38"/>
        <v>1.1033307760480429E-4</v>
      </c>
      <c r="E39" s="38">
        <f t="shared" si="38"/>
        <v>3.4489985792741512E-5</v>
      </c>
      <c r="F39" s="38">
        <f t="shared" si="1"/>
        <v>2.6560082453445737E-4</v>
      </c>
      <c r="G39" s="38">
        <f t="shared" si="2"/>
        <v>3.4732644974959954E-5</v>
      </c>
      <c r="H39" s="2" t="s">
        <v>483</v>
      </c>
      <c r="I39" s="2" t="s">
        <v>483</v>
      </c>
      <c r="J39" s="2"/>
      <c r="L39" s="3" t="s">
        <v>496</v>
      </c>
      <c r="M39" s="81">
        <v>67</v>
      </c>
      <c r="N39" s="81">
        <v>1.0659531578611099</v>
      </c>
      <c r="O39" s="81">
        <v>71.418861576694894</v>
      </c>
      <c r="P39" s="38">
        <f t="shared" si="3"/>
        <v>1.1548862115993019E-4</v>
      </c>
      <c r="Q39" s="38">
        <f t="shared" si="4"/>
        <v>3.7481120776474578E-5</v>
      </c>
      <c r="R39" s="81">
        <v>1.77484628375017</v>
      </c>
      <c r="S39" s="81">
        <v>118.914701011261</v>
      </c>
      <c r="T39" s="38">
        <f t="shared" si="5"/>
        <v>9.5166691627551539E-5</v>
      </c>
      <c r="U39" s="38">
        <f t="shared" si="6"/>
        <v>2.7341774236900413E-5</v>
      </c>
      <c r="V39" s="81">
        <v>1.43641084126508</v>
      </c>
      <c r="W39" s="81">
        <v>96.239526364760707</v>
      </c>
      <c r="X39" s="38">
        <f t="shared" si="7"/>
        <v>1.2686276677640343E-4</v>
      </c>
      <c r="Y39" s="38">
        <f t="shared" si="8"/>
        <v>4.2495022023967569E-5</v>
      </c>
      <c r="Z39" s="81">
        <v>2.1535765535660301</v>
      </c>
      <c r="AA39" s="81">
        <v>144.28962908892399</v>
      </c>
      <c r="AB39" s="38">
        <f t="shared" si="9"/>
        <v>1.0381423085533193E-4</v>
      </c>
      <c r="AC39" s="38">
        <f t="shared" si="10"/>
        <v>3.06420261336235E-5</v>
      </c>
    </row>
    <row r="40" spans="1:29" ht="14">
      <c r="A40" s="3" t="s">
        <v>497</v>
      </c>
      <c r="B40" s="81">
        <f t="shared" ref="B40:E40" si="39">AVERAGE(N40,R40,V40,Z40)</f>
        <v>4.2720605208858276</v>
      </c>
      <c r="C40" s="81">
        <f t="shared" si="39"/>
        <v>555.36786771515779</v>
      </c>
      <c r="D40" s="38">
        <f t="shared" si="39"/>
        <v>2.8213003204591292E-4</v>
      </c>
      <c r="E40" s="38">
        <f t="shared" si="39"/>
        <v>1.6957403348954347E-4</v>
      </c>
      <c r="F40" s="38">
        <f t="shared" si="1"/>
        <v>6.7916141527139329E-4</v>
      </c>
      <c r="G40" s="38">
        <f t="shared" si="2"/>
        <v>1.7076709563051758E-4</v>
      </c>
      <c r="H40" s="2" t="s">
        <v>435</v>
      </c>
      <c r="I40" s="2" t="s">
        <v>435</v>
      </c>
      <c r="J40" s="2"/>
      <c r="L40" s="3" t="s">
        <v>498</v>
      </c>
      <c r="M40" s="81">
        <v>130</v>
      </c>
      <c r="N40" s="81">
        <v>2.54148552988014</v>
      </c>
      <c r="O40" s="81">
        <v>330.39311888441802</v>
      </c>
      <c r="P40" s="38">
        <f t="shared" si="3"/>
        <v>2.7535230547346025E-4</v>
      </c>
      <c r="Q40" s="38">
        <f t="shared" si="4"/>
        <v>1.7339263213156465E-4</v>
      </c>
      <c r="R40" s="81">
        <v>5.4910198054613897</v>
      </c>
      <c r="S40" s="81">
        <v>713.83257470998103</v>
      </c>
      <c r="T40" s="38">
        <f t="shared" si="5"/>
        <v>2.9442673054647404E-4</v>
      </c>
      <c r="U40" s="38">
        <f t="shared" si="6"/>
        <v>1.6412982528390144E-4</v>
      </c>
      <c r="V40" s="81">
        <v>3.0464542166695998</v>
      </c>
      <c r="W40" s="81">
        <v>396.03904816704801</v>
      </c>
      <c r="X40" s="38">
        <f t="shared" si="7"/>
        <v>2.6906063340761412E-4</v>
      </c>
      <c r="Y40" s="38">
        <f t="shared" si="8"/>
        <v>1.7487293121563259E-4</v>
      </c>
      <c r="Z40" s="81">
        <v>6.0092825315321798</v>
      </c>
      <c r="AA40" s="81">
        <v>781.20672909918403</v>
      </c>
      <c r="AB40" s="38">
        <f t="shared" si="9"/>
        <v>2.8968045875610315E-4</v>
      </c>
      <c r="AC40" s="38">
        <f t="shared" si="10"/>
        <v>1.6590074532707525E-4</v>
      </c>
    </row>
    <row r="41" spans="1:29" ht="28">
      <c r="A41" s="3" t="s">
        <v>499</v>
      </c>
      <c r="B41" s="81">
        <f t="shared" ref="B41:E41" si="40">AVERAGE(N41,R41,V41,Z41)</f>
        <v>5.7456409536567221E-2</v>
      </c>
      <c r="C41" s="81">
        <f t="shared" si="40"/>
        <v>9.1930255258507572</v>
      </c>
      <c r="D41" s="38">
        <f t="shared" si="40"/>
        <v>4.2306094064420947E-6</v>
      </c>
      <c r="E41" s="38">
        <f t="shared" si="40"/>
        <v>3.1905076588600678E-6</v>
      </c>
      <c r="F41" s="38">
        <f t="shared" si="1"/>
        <v>1.0184192909573328E-5</v>
      </c>
      <c r="G41" s="38">
        <f t="shared" si="2"/>
        <v>3.2129549275836049E-6</v>
      </c>
      <c r="H41" s="2" t="s">
        <v>435</v>
      </c>
      <c r="I41" s="2" t="s">
        <v>435</v>
      </c>
      <c r="J41" s="2"/>
      <c r="L41" s="3" t="s">
        <v>500</v>
      </c>
      <c r="M41" s="81">
        <v>160</v>
      </c>
      <c r="N41" s="81">
        <v>5.3529666739387298E-2</v>
      </c>
      <c r="O41" s="81">
        <v>8.5647466783019706</v>
      </c>
      <c r="P41" s="38">
        <f t="shared" si="3"/>
        <v>5.7995676050972568E-6</v>
      </c>
      <c r="Q41" s="38">
        <f t="shared" si="4"/>
        <v>4.4948392845020969E-6</v>
      </c>
      <c r="R41" s="81">
        <v>5.7123916383464798E-2</v>
      </c>
      <c r="S41" s="81">
        <v>9.1398266213543593</v>
      </c>
      <c r="T41" s="38">
        <f t="shared" si="5"/>
        <v>3.0629661761674312E-6</v>
      </c>
      <c r="U41" s="38">
        <f t="shared" si="6"/>
        <v>2.1014985861320726E-6</v>
      </c>
      <c r="V41" s="81">
        <v>5.7714721293666602E-2</v>
      </c>
      <c r="W41" s="81">
        <v>9.2343554069866602</v>
      </c>
      <c r="X41" s="38">
        <f t="shared" si="7"/>
        <v>5.0973224489137321E-6</v>
      </c>
      <c r="Y41" s="38">
        <f t="shared" si="8"/>
        <v>4.0774736869520735E-6</v>
      </c>
      <c r="Z41" s="81">
        <v>6.1457333729750201E-2</v>
      </c>
      <c r="AA41" s="81">
        <v>9.8331733967600403</v>
      </c>
      <c r="AB41" s="38">
        <f t="shared" si="9"/>
        <v>2.9625813955899595E-6</v>
      </c>
      <c r="AC41" s="38">
        <f t="shared" si="10"/>
        <v>2.0882190778540271E-6</v>
      </c>
    </row>
    <row r="42" spans="1:29" ht="14">
      <c r="A42" s="3" t="s">
        <v>501</v>
      </c>
      <c r="B42" s="81">
        <f t="shared" ref="B42:E42" si="41">AVERAGE(N42,R42,V42,Z42)</f>
        <v>4.7626775989759444E-14</v>
      </c>
      <c r="C42" s="81">
        <f t="shared" si="41"/>
        <v>7.620284158361503E-12</v>
      </c>
      <c r="D42" s="38">
        <f t="shared" si="41"/>
        <v>3.0875395669355803E-18</v>
      </c>
      <c r="E42" s="38">
        <f t="shared" si="41"/>
        <v>2.2782704168926649E-18</v>
      </c>
      <c r="F42" s="38">
        <f t="shared" si="1"/>
        <v>7.4325222550045458E-18</v>
      </c>
      <c r="G42" s="38">
        <f t="shared" si="2"/>
        <v>2.2942995112378409E-18</v>
      </c>
      <c r="H42" s="2" t="s">
        <v>435</v>
      </c>
      <c r="I42" s="2" t="s">
        <v>435</v>
      </c>
      <c r="J42" s="2"/>
      <c r="L42" s="3" t="s">
        <v>502</v>
      </c>
      <c r="M42" s="81">
        <v>160</v>
      </c>
      <c r="N42" s="81">
        <v>2.4681849484156101E-14</v>
      </c>
      <c r="O42" s="81">
        <v>3.9490959174649798E-12</v>
      </c>
      <c r="P42" s="38">
        <f t="shared" si="3"/>
        <v>2.6741069657523629E-18</v>
      </c>
      <c r="Q42" s="38">
        <f t="shared" si="4"/>
        <v>2.0725133077266486E-18</v>
      </c>
      <c r="R42" s="81">
        <v>6.1630044787256794E-14</v>
      </c>
      <c r="S42" s="81">
        <v>9.8608071659610907E-12</v>
      </c>
      <c r="T42" s="38">
        <f t="shared" si="5"/>
        <v>3.3045833438985536E-18</v>
      </c>
      <c r="U42" s="38">
        <f t="shared" si="6"/>
        <v>2.2672719271251933E-18</v>
      </c>
      <c r="V42" s="81">
        <v>3.36215137090315E-14</v>
      </c>
      <c r="W42" s="81">
        <v>5.37944219344504E-12</v>
      </c>
      <c r="X42" s="38">
        <f t="shared" si="7"/>
        <v>2.9694277777672233E-18</v>
      </c>
      <c r="Y42" s="38">
        <f t="shared" si="8"/>
        <v>2.3753183657688068E-18</v>
      </c>
      <c r="Z42" s="81">
        <v>7.0573695978593394E-14</v>
      </c>
      <c r="AA42" s="81">
        <v>1.1291791356574901E-11</v>
      </c>
      <c r="AB42" s="38">
        <f t="shared" si="9"/>
        <v>3.4020401803241811E-18</v>
      </c>
      <c r="AC42" s="38">
        <f t="shared" si="10"/>
        <v>2.3979780669500109E-18</v>
      </c>
    </row>
    <row r="43" spans="1:29" ht="14">
      <c r="A43" s="3" t="s">
        <v>503</v>
      </c>
      <c r="B43" s="81">
        <f t="shared" ref="B43:E43" si="42">AVERAGE(N43,R43,V43,Z43)</f>
        <v>425.9201141924367</v>
      </c>
      <c r="C43" s="81">
        <f t="shared" si="42"/>
        <v>72406.419412714327</v>
      </c>
      <c r="D43" s="38">
        <f t="shared" si="42"/>
        <v>2.8615589677249101E-2</v>
      </c>
      <c r="E43" s="38">
        <f t="shared" si="42"/>
        <v>2.2573762713139368E-2</v>
      </c>
      <c r="F43" s="38">
        <f t="shared" si="1"/>
        <v>6.8885273372326597E-2</v>
      </c>
      <c r="G43" s="38">
        <f t="shared" si="2"/>
        <v>2.273258361937228E-2</v>
      </c>
      <c r="H43" s="2" t="s">
        <v>504</v>
      </c>
      <c r="I43" s="2" t="s">
        <v>504</v>
      </c>
      <c r="J43" s="2"/>
      <c r="L43" s="3" t="s">
        <v>505</v>
      </c>
      <c r="M43" s="81">
        <v>170</v>
      </c>
      <c r="N43" s="81">
        <v>270.53334484737798</v>
      </c>
      <c r="O43" s="81">
        <v>45990.6686240544</v>
      </c>
      <c r="P43" s="38">
        <f t="shared" si="3"/>
        <v>2.9310408946017222E-2</v>
      </c>
      <c r="Q43" s="38">
        <f t="shared" si="4"/>
        <v>2.4136226302597635E-2</v>
      </c>
      <c r="R43" s="81">
        <v>521.69315775383996</v>
      </c>
      <c r="S43" s="81">
        <v>88687.836818152893</v>
      </c>
      <c r="T43" s="38">
        <f t="shared" si="5"/>
        <v>2.7973020718875839E-2</v>
      </c>
      <c r="U43" s="38">
        <f t="shared" si="6"/>
        <v>2.0391783280112426E-2</v>
      </c>
      <c r="V43" s="81">
        <v>330.10694805260999</v>
      </c>
      <c r="W43" s="81">
        <v>56118.181168943702</v>
      </c>
      <c r="X43" s="38">
        <f t="shared" si="7"/>
        <v>2.9154806938929412E-2</v>
      </c>
      <c r="Y43" s="38">
        <f t="shared" si="8"/>
        <v>2.4779250634305576E-2</v>
      </c>
      <c r="Z43" s="81">
        <v>581.34700611591904</v>
      </c>
      <c r="AA43" s="81">
        <v>98828.991039706307</v>
      </c>
      <c r="AB43" s="38">
        <f t="shared" si="9"/>
        <v>2.8024122105173934E-2</v>
      </c>
      <c r="AC43" s="38">
        <f t="shared" si="10"/>
        <v>2.098779063554183E-2</v>
      </c>
    </row>
    <row r="44" spans="1:29" ht="14">
      <c r="A44" s="3" t="s">
        <v>506</v>
      </c>
      <c r="B44" s="81">
        <f t="shared" ref="B44:E44" si="43">AVERAGE(N44,R44,V44,Z44)</f>
        <v>3.0002215775049024E-3</v>
      </c>
      <c r="C44" s="81">
        <f t="shared" si="43"/>
        <v>0.51003766817583407</v>
      </c>
      <c r="D44" s="38">
        <f t="shared" si="43"/>
        <v>2.3004265986368447E-7</v>
      </c>
      <c r="E44" s="38">
        <f t="shared" si="43"/>
        <v>1.8585269172380266E-7</v>
      </c>
      <c r="F44" s="38">
        <f t="shared" si="1"/>
        <v>5.537733693674637E-7</v>
      </c>
      <c r="G44" s="38">
        <f t="shared" si="2"/>
        <v>1.8716028467144269E-7</v>
      </c>
      <c r="H44" s="2" t="s">
        <v>435</v>
      </c>
      <c r="I44" s="2" t="s">
        <v>435</v>
      </c>
      <c r="J44" s="2"/>
      <c r="L44" s="3" t="s">
        <v>507</v>
      </c>
      <c r="M44" s="81">
        <v>170</v>
      </c>
      <c r="N44" s="81">
        <v>3.0657175652686998E-3</v>
      </c>
      <c r="O44" s="81">
        <v>0.52117198609568005</v>
      </c>
      <c r="P44" s="38">
        <f t="shared" si="3"/>
        <v>3.3214920549519367E-7</v>
      </c>
      <c r="Q44" s="38">
        <f t="shared" si="4"/>
        <v>2.7351472321062035E-7</v>
      </c>
      <c r="R44" s="81">
        <v>2.40351926612957E-3</v>
      </c>
      <c r="S44" s="81">
        <v>0.40859827524202702</v>
      </c>
      <c r="T44" s="38">
        <f t="shared" si="5"/>
        <v>1.2887593642043473E-7</v>
      </c>
      <c r="U44" s="38">
        <f t="shared" si="6"/>
        <v>9.394802913557718E-8</v>
      </c>
      <c r="V44" s="81">
        <v>3.5968708240774398E-3</v>
      </c>
      <c r="W44" s="81">
        <v>0.61146804009316502</v>
      </c>
      <c r="X44" s="38">
        <f t="shared" si="7"/>
        <v>3.1767303014637824E-7</v>
      </c>
      <c r="Y44" s="38">
        <f t="shared" si="8"/>
        <v>2.6999663040970477E-7</v>
      </c>
      <c r="Z44" s="81">
        <v>2.9347786545438998E-3</v>
      </c>
      <c r="AA44" s="81">
        <v>0.49891237127246402</v>
      </c>
      <c r="AB44" s="38">
        <f t="shared" si="9"/>
        <v>1.4147246739273131E-7</v>
      </c>
      <c r="AC44" s="38">
        <f t="shared" si="10"/>
        <v>1.0595138413930838E-7</v>
      </c>
    </row>
    <row r="45" spans="1:29" ht="28">
      <c r="A45" s="3" t="s">
        <v>508</v>
      </c>
      <c r="B45" s="81">
        <f t="shared" ref="B45:E45" si="44">AVERAGE(N45,R45,V45,Z45)</f>
        <v>2275.1271771408947</v>
      </c>
      <c r="C45" s="81">
        <f t="shared" si="44"/>
        <v>409522.89188536152</v>
      </c>
      <c r="D45" s="38">
        <f t="shared" si="44"/>
        <v>0.15435650428237685</v>
      </c>
      <c r="E45" s="38">
        <f t="shared" si="44"/>
        <v>0.12919422642365316</v>
      </c>
      <c r="F45" s="38">
        <f t="shared" si="1"/>
        <v>0.37157682627599098</v>
      </c>
      <c r="G45" s="38">
        <f t="shared" si="2"/>
        <v>0.13010319071026372</v>
      </c>
      <c r="H45" s="2" t="s">
        <v>509</v>
      </c>
      <c r="I45" s="2" t="s">
        <v>509</v>
      </c>
      <c r="J45" s="2"/>
      <c r="L45" s="3" t="s">
        <v>510</v>
      </c>
      <c r="M45" s="81">
        <v>180</v>
      </c>
      <c r="N45" s="81">
        <v>1497.69991784742</v>
      </c>
      <c r="O45" s="81">
        <v>269585.98521253699</v>
      </c>
      <c r="P45" s="38">
        <f t="shared" si="3"/>
        <v>0.16226538394107962</v>
      </c>
      <c r="Q45" s="38">
        <f t="shared" si="4"/>
        <v>0.14148062078174051</v>
      </c>
      <c r="R45" s="81">
        <v>2704.9182467270698</v>
      </c>
      <c r="S45" s="81">
        <v>486885.28441087197</v>
      </c>
      <c r="T45" s="38">
        <f t="shared" si="5"/>
        <v>0.14503685362548671</v>
      </c>
      <c r="U45" s="38">
        <f t="shared" si="6"/>
        <v>0.11194837486384848</v>
      </c>
      <c r="V45" s="81">
        <v>1845.2144868267001</v>
      </c>
      <c r="W45" s="81">
        <v>332138.60762880603</v>
      </c>
      <c r="X45" s="38">
        <f t="shared" si="7"/>
        <v>0.16296800913070877</v>
      </c>
      <c r="Y45" s="38">
        <f t="shared" si="8"/>
        <v>0.14665738682774876</v>
      </c>
      <c r="Z45" s="81">
        <v>3052.67605716239</v>
      </c>
      <c r="AA45" s="81">
        <v>549481.69028923102</v>
      </c>
      <c r="AB45" s="38">
        <f t="shared" si="9"/>
        <v>0.14715577043223232</v>
      </c>
      <c r="AC45" s="38">
        <f t="shared" si="10"/>
        <v>0.11669052322127492</v>
      </c>
    </row>
    <row r="46" spans="1:29" ht="14">
      <c r="A46" s="3" t="s">
        <v>511</v>
      </c>
      <c r="B46" s="81">
        <f t="shared" ref="B46:E46" si="45">AVERAGE(N46,R46,V46,Z46)</f>
        <v>806.40787285699776</v>
      </c>
      <c r="C46" s="81">
        <f t="shared" si="45"/>
        <v>161281.57457139925</v>
      </c>
      <c r="D46" s="38">
        <f t="shared" si="45"/>
        <v>5.9129789882436404E-2</v>
      </c>
      <c r="E46" s="38">
        <f t="shared" si="45"/>
        <v>5.5749162293209767E-2</v>
      </c>
      <c r="F46" s="38">
        <f t="shared" si="1"/>
        <v>0.14234100315389442</v>
      </c>
      <c r="G46" s="38">
        <f t="shared" si="2"/>
        <v>5.6141393424087194E-2</v>
      </c>
      <c r="H46" s="2" t="s">
        <v>512</v>
      </c>
      <c r="I46" s="2" t="s">
        <v>512</v>
      </c>
      <c r="J46" s="2"/>
      <c r="L46" s="3" t="s">
        <v>513</v>
      </c>
      <c r="M46" s="81">
        <v>200</v>
      </c>
      <c r="N46" s="81">
        <v>722.733621466101</v>
      </c>
      <c r="O46" s="81">
        <v>144546.72429322</v>
      </c>
      <c r="P46" s="38">
        <f t="shared" si="3"/>
        <v>7.8303168195987899E-2</v>
      </c>
      <c r="Q46" s="38">
        <f t="shared" si="4"/>
        <v>7.5859137368913976E-2</v>
      </c>
      <c r="R46" s="81">
        <v>781.78454976077501</v>
      </c>
      <c r="S46" s="81">
        <v>156356.90995215499</v>
      </c>
      <c r="T46" s="38">
        <f t="shared" si="5"/>
        <v>4.1919038199220486E-2</v>
      </c>
      <c r="U46" s="38">
        <f t="shared" si="6"/>
        <v>3.5950772242082561E-2</v>
      </c>
      <c r="V46" s="81">
        <v>830.88228319242899</v>
      </c>
      <c r="W46" s="81">
        <v>166176.45663848499</v>
      </c>
      <c r="X46" s="38">
        <f t="shared" si="7"/>
        <v>7.3382922408502194E-2</v>
      </c>
      <c r="Y46" s="38">
        <f t="shared" si="8"/>
        <v>7.3376007254572592E-2</v>
      </c>
      <c r="Z46" s="81">
        <v>890.23103700868603</v>
      </c>
      <c r="AA46" s="81">
        <v>178046.20740173699</v>
      </c>
      <c r="AB46" s="38">
        <f t="shared" si="9"/>
        <v>4.2914030726035043E-2</v>
      </c>
      <c r="AC46" s="38">
        <f t="shared" si="10"/>
        <v>3.7810732307269938E-2</v>
      </c>
    </row>
    <row r="47" spans="1:29" ht="14">
      <c r="A47" s="3" t="s">
        <v>514</v>
      </c>
      <c r="B47" s="81">
        <f t="shared" ref="B47:E47" si="46">AVERAGE(N47,R47,V47,Z47)</f>
        <v>1.5461782615360351</v>
      </c>
      <c r="C47" s="81">
        <f t="shared" si="46"/>
        <v>386.54456538401053</v>
      </c>
      <c r="D47" s="38">
        <f t="shared" si="46"/>
        <v>1.1427786862597882E-4</v>
      </c>
      <c r="E47" s="38">
        <f t="shared" si="46"/>
        <v>1.3517773913505633E-4</v>
      </c>
      <c r="F47" s="38">
        <f t="shared" si="1"/>
        <v>2.7509697718953801E-4</v>
      </c>
      <c r="G47" s="38">
        <f t="shared" si="2"/>
        <v>1.3612880127320174E-4</v>
      </c>
      <c r="H47" s="2" t="s">
        <v>483</v>
      </c>
      <c r="I47" s="2" t="s">
        <v>483</v>
      </c>
      <c r="J47" s="2"/>
      <c r="L47" s="3" t="s">
        <v>515</v>
      </c>
      <c r="M47" s="81">
        <v>250</v>
      </c>
      <c r="N47" s="81">
        <v>1.3316635445620799</v>
      </c>
      <c r="O47" s="81">
        <v>332.91588614052199</v>
      </c>
      <c r="P47" s="38">
        <f t="shared" si="3"/>
        <v>1.4427649608826285E-4</v>
      </c>
      <c r="Q47" s="38">
        <f t="shared" si="4"/>
        <v>1.7471659812779417E-4</v>
      </c>
      <c r="R47" s="81">
        <v>1.30016218367767</v>
      </c>
      <c r="S47" s="81">
        <v>325.040545919419</v>
      </c>
      <c r="T47" s="38">
        <f t="shared" si="5"/>
        <v>6.9714281587482854E-5</v>
      </c>
      <c r="U47" s="38">
        <f t="shared" si="6"/>
        <v>7.4735799264432547E-5</v>
      </c>
      <c r="V47" s="81">
        <v>1.7912048146931101</v>
      </c>
      <c r="W47" s="81">
        <v>447.80120367327902</v>
      </c>
      <c r="X47" s="38">
        <f t="shared" si="7"/>
        <v>1.5819791394434894E-4</v>
      </c>
      <c r="Y47" s="38">
        <f t="shared" si="8"/>
        <v>1.9772875793602204E-4</v>
      </c>
      <c r="Z47" s="81">
        <v>1.7616825032112799</v>
      </c>
      <c r="AA47" s="81">
        <v>440.42062580282197</v>
      </c>
      <c r="AB47" s="38">
        <f t="shared" si="9"/>
        <v>8.4922782883820703E-5</v>
      </c>
      <c r="AC47" s="38">
        <f t="shared" si="10"/>
        <v>9.3529801211976517E-5</v>
      </c>
    </row>
    <row r="48" spans="1:29" ht="14">
      <c r="A48" s="3" t="s">
        <v>516</v>
      </c>
      <c r="B48" s="81">
        <f t="shared" ref="B48:E48" si="47">AVERAGE(N48,R48,V48,Z48)</f>
        <v>19.566308648249247</v>
      </c>
      <c r="C48" s="81">
        <f t="shared" si="47"/>
        <v>7239.5341998522181</v>
      </c>
      <c r="D48" s="38">
        <f t="shared" si="47"/>
        <v>1.2730939029913244E-3</v>
      </c>
      <c r="E48" s="38">
        <f t="shared" si="47"/>
        <v>2.1693283051910425E-3</v>
      </c>
      <c r="F48" s="38">
        <f t="shared" si="1"/>
        <v>3.0646728767544382E-3</v>
      </c>
      <c r="G48" s="38">
        <f t="shared" si="2"/>
        <v>2.1845909218724258E-3</v>
      </c>
      <c r="H48" s="2" t="s">
        <v>478</v>
      </c>
      <c r="I48" s="2" t="s">
        <v>478</v>
      </c>
      <c r="J48" s="2"/>
      <c r="L48" s="3" t="s">
        <v>517</v>
      </c>
      <c r="M48" s="81">
        <v>370</v>
      </c>
      <c r="N48" s="81">
        <v>11.257485359459199</v>
      </c>
      <c r="O48" s="81">
        <v>4165.2695829999102</v>
      </c>
      <c r="P48" s="38">
        <f t="shared" si="3"/>
        <v>1.2196703507129571E-3</v>
      </c>
      <c r="Q48" s="38">
        <f t="shared" si="4"/>
        <v>2.1859627675434637E-3</v>
      </c>
      <c r="R48" s="81">
        <v>26.712718349860399</v>
      </c>
      <c r="S48" s="81">
        <v>9883.7057894483605</v>
      </c>
      <c r="T48" s="38">
        <f t="shared" si="5"/>
        <v>1.4323274375983314E-3</v>
      </c>
      <c r="U48" s="38">
        <f t="shared" si="6"/>
        <v>2.2725369531345968E-3</v>
      </c>
      <c r="V48" s="81">
        <v>12.4130859575613</v>
      </c>
      <c r="W48" s="81">
        <v>4592.8418042977</v>
      </c>
      <c r="X48" s="38">
        <f t="shared" si="7"/>
        <v>1.0963147753901815E-3</v>
      </c>
      <c r="Y48" s="38">
        <f t="shared" si="8"/>
        <v>2.0279912110799281E-3</v>
      </c>
      <c r="Z48" s="81">
        <v>27.881944926116098</v>
      </c>
      <c r="AA48" s="81">
        <v>10316.319622662901</v>
      </c>
      <c r="AB48" s="38">
        <f t="shared" si="9"/>
        <v>1.344063048263828E-3</v>
      </c>
      <c r="AC48" s="38">
        <f t="shared" si="10"/>
        <v>2.1908222890061825E-3</v>
      </c>
    </row>
    <row r="49" spans="1:29" ht="14">
      <c r="A49" s="3" t="s">
        <v>518</v>
      </c>
      <c r="B49" s="81">
        <f t="shared" ref="B49:E49" si="48">AVERAGE(N49,R49,V49,Z49)</f>
        <v>2.6047653147437903E-2</v>
      </c>
      <c r="C49" s="81">
        <f t="shared" si="48"/>
        <v>13.284303105193324</v>
      </c>
      <c r="D49" s="38">
        <f t="shared" si="48"/>
        <v>1.6783310411717119E-6</v>
      </c>
      <c r="E49" s="38">
        <f t="shared" si="48"/>
        <v>3.9378400223613641E-6</v>
      </c>
      <c r="F49" s="38">
        <f t="shared" si="1"/>
        <v>4.0401855731211003E-6</v>
      </c>
      <c r="G49" s="38">
        <f t="shared" si="2"/>
        <v>3.9655452538240675E-6</v>
      </c>
      <c r="H49" s="2" t="s">
        <v>435</v>
      </c>
      <c r="I49" s="2" t="s">
        <v>435</v>
      </c>
      <c r="J49" s="2"/>
      <c r="L49" s="3" t="s">
        <v>519</v>
      </c>
      <c r="M49" s="81">
        <v>510</v>
      </c>
      <c r="N49" s="81">
        <v>1.38746225465114E-2</v>
      </c>
      <c r="O49" s="81">
        <v>7.07605749872081</v>
      </c>
      <c r="P49" s="38">
        <f t="shared" si="3"/>
        <v>1.5032189878083396E-6</v>
      </c>
      <c r="Q49" s="38">
        <f t="shared" si="4"/>
        <v>3.7135647345207513E-6</v>
      </c>
      <c r="R49" s="81">
        <v>3.5100062772437102E-2</v>
      </c>
      <c r="S49" s="81">
        <v>17.901032013942899</v>
      </c>
      <c r="T49" s="38">
        <f t="shared" si="5"/>
        <v>1.8820541702993009E-6</v>
      </c>
      <c r="U49" s="38">
        <f t="shared" si="6"/>
        <v>4.1159416940921696E-6</v>
      </c>
      <c r="V49" s="81">
        <v>1.66112428932184E-2</v>
      </c>
      <c r="W49" s="81">
        <v>8.4717338755413802</v>
      </c>
      <c r="X49" s="38">
        <f t="shared" si="7"/>
        <v>1.4670929600980769E-6</v>
      </c>
      <c r="Y49" s="38">
        <f t="shared" si="8"/>
        <v>3.7407345112843773E-6</v>
      </c>
      <c r="Z49" s="81">
        <v>3.86046843775847E-2</v>
      </c>
      <c r="AA49" s="81">
        <v>19.6883890325682</v>
      </c>
      <c r="AB49" s="38">
        <f t="shared" si="9"/>
        <v>1.8609580464811301E-6</v>
      </c>
      <c r="AC49" s="38">
        <f t="shared" si="10"/>
        <v>4.1811191495481578E-6</v>
      </c>
    </row>
    <row r="50" spans="1:29" ht="14">
      <c r="A50" s="3" t="s">
        <v>520</v>
      </c>
      <c r="B50" s="81">
        <f t="shared" ref="B50:E50" si="49">AVERAGE(N50,R50,V50,Z50)</f>
        <v>0.13766587027504235</v>
      </c>
      <c r="C50" s="81">
        <f t="shared" si="49"/>
        <v>79.846204759524554</v>
      </c>
      <c r="D50" s="38">
        <f t="shared" si="49"/>
        <v>9.3626341665229086E-6</v>
      </c>
      <c r="E50" s="38">
        <f t="shared" si="49"/>
        <v>2.5503012390148328E-5</v>
      </c>
      <c r="F50" s="38">
        <f t="shared" si="1"/>
        <v>2.2538330375864419E-5</v>
      </c>
      <c r="G50" s="38">
        <f t="shared" si="2"/>
        <v>2.5682442447553644E-5</v>
      </c>
      <c r="H50" s="2" t="s">
        <v>435</v>
      </c>
      <c r="I50" s="2" t="s">
        <v>435</v>
      </c>
      <c r="J50" s="2"/>
      <c r="L50" s="3" t="s">
        <v>521</v>
      </c>
      <c r="M50" s="81">
        <v>580</v>
      </c>
      <c r="N50" s="81">
        <v>6.1025117788086398E-2</v>
      </c>
      <c r="O50" s="81">
        <v>35.394568317090098</v>
      </c>
      <c r="P50" s="38">
        <f t="shared" si="3"/>
        <v>6.6116476671545443E-6</v>
      </c>
      <c r="Q50" s="38">
        <f t="shared" si="4"/>
        <v>1.8575318349192704E-5</v>
      </c>
      <c r="R50" s="81">
        <v>0.109657584704881</v>
      </c>
      <c r="S50" s="81">
        <v>63.601399128830998</v>
      </c>
      <c r="T50" s="38">
        <f t="shared" si="5"/>
        <v>5.8798047153589305E-6</v>
      </c>
      <c r="U50" s="38">
        <f t="shared" si="6"/>
        <v>1.4623718357302298E-5</v>
      </c>
      <c r="V50" s="81">
        <v>0.16557705975928799</v>
      </c>
      <c r="W50" s="81">
        <v>96.034694660387103</v>
      </c>
      <c r="X50" s="38">
        <f t="shared" si="7"/>
        <v>1.4623646182776709E-5</v>
      </c>
      <c r="Y50" s="38">
        <f t="shared" si="8"/>
        <v>4.2404577607651842E-5</v>
      </c>
      <c r="Z50" s="81">
        <v>0.21440371884791401</v>
      </c>
      <c r="AA50" s="81">
        <v>124.35415693179</v>
      </c>
      <c r="AB50" s="38">
        <f t="shared" si="9"/>
        <v>1.0335438100801452E-5</v>
      </c>
      <c r="AC50" s="38">
        <f t="shared" si="10"/>
        <v>2.6408435246446461E-5</v>
      </c>
    </row>
    <row r="51" spans="1:29" ht="14">
      <c r="A51" s="3" t="s">
        <v>522</v>
      </c>
      <c r="B51" s="81">
        <f t="shared" ref="B51:E51" si="50">AVERAGE(N51,R51,V51,Z51)</f>
        <v>0.16385255915956726</v>
      </c>
      <c r="C51" s="81">
        <f t="shared" si="50"/>
        <v>101.58858667893161</v>
      </c>
      <c r="D51" s="38">
        <f t="shared" si="50"/>
        <v>1.0467962711499126E-5</v>
      </c>
      <c r="E51" s="38">
        <f t="shared" si="50"/>
        <v>2.9811479209251683E-5</v>
      </c>
      <c r="F51" s="38">
        <f t="shared" si="1"/>
        <v>2.5199147778046372E-5</v>
      </c>
      <c r="G51" s="38">
        <f t="shared" si="2"/>
        <v>3.002122209546538E-5</v>
      </c>
      <c r="H51" s="2" t="s">
        <v>445</v>
      </c>
      <c r="I51" s="2" t="s">
        <v>445</v>
      </c>
      <c r="J51" s="2"/>
      <c r="L51" s="3" t="s">
        <v>523</v>
      </c>
      <c r="M51" s="81">
        <v>620</v>
      </c>
      <c r="N51" s="81">
        <v>8.2310650012208095E-2</v>
      </c>
      <c r="O51" s="81">
        <v>51.032603007569001</v>
      </c>
      <c r="P51" s="38">
        <f t="shared" si="3"/>
        <v>8.9177872466381835E-6</v>
      </c>
      <c r="Q51" s="38">
        <f t="shared" si="4"/>
        <v>2.6782268922202156E-5</v>
      </c>
      <c r="R51" s="81">
        <v>0.225110241956028</v>
      </c>
      <c r="S51" s="81">
        <v>139.568350012737</v>
      </c>
      <c r="T51" s="38">
        <f t="shared" si="5"/>
        <v>1.2070339372245244E-5</v>
      </c>
      <c r="U51" s="38">
        <f t="shared" si="6"/>
        <v>3.2090618604873583E-5</v>
      </c>
      <c r="V51" s="81">
        <v>0.10242676246713101</v>
      </c>
      <c r="W51" s="81">
        <v>63.5045927296214</v>
      </c>
      <c r="X51" s="38">
        <f t="shared" si="7"/>
        <v>9.0462575923511371E-6</v>
      </c>
      <c r="Y51" s="38">
        <f t="shared" si="8"/>
        <v>2.8040755899402356E-5</v>
      </c>
      <c r="Z51" s="81">
        <v>0.245562582202902</v>
      </c>
      <c r="AA51" s="81">
        <v>152.24880096579901</v>
      </c>
      <c r="AB51" s="38">
        <f t="shared" si="9"/>
        <v>1.183746663476194E-5</v>
      </c>
      <c r="AC51" s="38">
        <f t="shared" si="10"/>
        <v>3.2332273410528628E-5</v>
      </c>
    </row>
    <row r="52" spans="1:29" ht="14">
      <c r="A52" s="3" t="s">
        <v>524</v>
      </c>
      <c r="B52" s="81">
        <f t="shared" ref="B52:E52" si="51">AVERAGE(N52,R52,V52,Z52)</f>
        <v>0.21150894861937625</v>
      </c>
      <c r="C52" s="81">
        <f t="shared" si="51"/>
        <v>137.48081660259456</v>
      </c>
      <c r="D52" s="38">
        <f t="shared" si="51"/>
        <v>1.4183743567629233E-5</v>
      </c>
      <c r="E52" s="38">
        <f t="shared" si="51"/>
        <v>4.2741867075509688E-5</v>
      </c>
      <c r="F52" s="38">
        <f t="shared" si="1"/>
        <v>3.414401255116981E-5</v>
      </c>
      <c r="G52" s="38">
        <f t="shared" si="2"/>
        <v>4.3042583537770892E-5</v>
      </c>
      <c r="H52" s="2" t="s">
        <v>483</v>
      </c>
      <c r="I52" s="2" t="s">
        <v>483</v>
      </c>
      <c r="J52" s="2"/>
      <c r="L52" s="3" t="s">
        <v>525</v>
      </c>
      <c r="M52" s="81">
        <v>650</v>
      </c>
      <c r="N52" s="81">
        <v>0.13632075322463699</v>
      </c>
      <c r="O52" s="81">
        <v>88.608489596014195</v>
      </c>
      <c r="P52" s="38">
        <f t="shared" si="3"/>
        <v>1.4769406806755534E-5</v>
      </c>
      <c r="Q52" s="38">
        <f t="shared" si="4"/>
        <v>4.6502358439341762E-5</v>
      </c>
      <c r="R52" s="81">
        <v>0.264205418217896</v>
      </c>
      <c r="S52" s="81">
        <v>171.73352184163201</v>
      </c>
      <c r="T52" s="38">
        <f t="shared" si="5"/>
        <v>1.4166610253561566E-5</v>
      </c>
      <c r="U52" s="38">
        <f t="shared" si="6"/>
        <v>3.94862800240069E-5</v>
      </c>
      <c r="V52" s="81">
        <v>0.15762523666418801</v>
      </c>
      <c r="W52" s="81">
        <v>102.456403831722</v>
      </c>
      <c r="X52" s="38">
        <f t="shared" si="7"/>
        <v>1.3921346917287719E-5</v>
      </c>
      <c r="Y52" s="38">
        <f t="shared" si="8"/>
        <v>4.5240113930150965E-5</v>
      </c>
      <c r="Z52" s="81">
        <v>0.28788438637078401</v>
      </c>
      <c r="AA52" s="81">
        <v>187.12485114101</v>
      </c>
      <c r="AB52" s="38">
        <f t="shared" si="9"/>
        <v>1.3877610292912118E-5</v>
      </c>
      <c r="AC52" s="38">
        <f t="shared" si="10"/>
        <v>3.9738715908539134E-5</v>
      </c>
    </row>
    <row r="53" spans="1:29" ht="14">
      <c r="A53" s="3" t="s">
        <v>526</v>
      </c>
      <c r="B53" s="81">
        <f t="shared" ref="B53:E53" si="52">AVERAGE(N53,R53,V53,Z53)</f>
        <v>2.7354962801268495E-6</v>
      </c>
      <c r="C53" s="81">
        <f t="shared" si="52"/>
        <v>1.8327825076849902E-3</v>
      </c>
      <c r="D53" s="38">
        <f t="shared" si="52"/>
        <v>1.7234700988862571E-10</v>
      </c>
      <c r="E53" s="38">
        <f t="shared" si="52"/>
        <v>5.2861652897450783E-10</v>
      </c>
      <c r="F53" s="38">
        <f t="shared" si="1"/>
        <v>4.1488471930809299E-10</v>
      </c>
      <c r="G53" s="38">
        <f t="shared" si="2"/>
        <v>5.3233568546819069E-10</v>
      </c>
      <c r="H53" s="2" t="s">
        <v>435</v>
      </c>
      <c r="I53" s="2" t="s">
        <v>435</v>
      </c>
      <c r="J53" s="2"/>
      <c r="L53" s="3" t="s">
        <v>527</v>
      </c>
      <c r="M53" s="81">
        <v>670</v>
      </c>
      <c r="N53" s="81">
        <v>1.30239912124092E-6</v>
      </c>
      <c r="O53" s="81">
        <v>8.7260741123142095E-4</v>
      </c>
      <c r="P53" s="38">
        <f t="shared" si="3"/>
        <v>1.4110589907517943E-10</v>
      </c>
      <c r="Q53" s="38">
        <f t="shared" si="4"/>
        <v>4.5795050563343468E-10</v>
      </c>
      <c r="R53" s="81">
        <v>3.9152864218997296E-6</v>
      </c>
      <c r="S53" s="81">
        <v>2.6232419026728199E-3</v>
      </c>
      <c r="T53" s="38">
        <f t="shared" si="5"/>
        <v>2.0993640911773723E-10</v>
      </c>
      <c r="U53" s="38">
        <f t="shared" si="6"/>
        <v>6.0315576847697902E-10</v>
      </c>
      <c r="V53" s="81">
        <v>1.5556504553993E-6</v>
      </c>
      <c r="W53" s="81">
        <v>1.0422858051175299E-3</v>
      </c>
      <c r="X53" s="38">
        <f t="shared" si="7"/>
        <v>1.3739392326996981E-10</v>
      </c>
      <c r="Y53" s="38">
        <f t="shared" si="8"/>
        <v>4.6022626998251992E-10</v>
      </c>
      <c r="Z53" s="81">
        <v>4.1686491219674497E-6</v>
      </c>
      <c r="AA53" s="81">
        <v>2.7929949117181901E-3</v>
      </c>
      <c r="AB53" s="38">
        <f t="shared" si="9"/>
        <v>2.0095180809161643E-10</v>
      </c>
      <c r="AC53" s="38">
        <f t="shared" si="10"/>
        <v>5.9313357180509781E-10</v>
      </c>
    </row>
    <row r="54" spans="1:29" ht="14">
      <c r="A54" s="3" t="s">
        <v>528</v>
      </c>
      <c r="B54" s="81">
        <f t="shared" ref="B54:E54" si="53">AVERAGE(N54,R54,V54,Z54)</f>
        <v>5.3278618987924995</v>
      </c>
      <c r="C54" s="81">
        <f t="shared" si="53"/>
        <v>3729.5033291547475</v>
      </c>
      <c r="D54" s="38">
        <f t="shared" si="53"/>
        <v>3.5907463423589159E-4</v>
      </c>
      <c r="E54" s="38">
        <f t="shared" si="53"/>
        <v>1.1679163706454327E-3</v>
      </c>
      <c r="F54" s="38">
        <f t="shared" si="1"/>
        <v>8.6438737133811931E-4</v>
      </c>
      <c r="G54" s="38">
        <f t="shared" si="2"/>
        <v>1.1761334117629154E-3</v>
      </c>
      <c r="H54" s="2" t="s">
        <v>435</v>
      </c>
      <c r="I54" s="2" t="s">
        <v>435</v>
      </c>
      <c r="J54" s="2"/>
      <c r="L54" s="3" t="s">
        <v>529</v>
      </c>
      <c r="M54" s="81">
        <v>700</v>
      </c>
      <c r="N54" s="81">
        <v>3.3413402410096298</v>
      </c>
      <c r="O54" s="81">
        <v>2338.9381687067398</v>
      </c>
      <c r="P54" s="38">
        <f t="shared" si="3"/>
        <v>3.6201100809597742E-4</v>
      </c>
      <c r="Q54" s="38">
        <f t="shared" si="4"/>
        <v>1.2274911984680864E-3</v>
      </c>
      <c r="R54" s="81">
        <v>6.3229629121878403</v>
      </c>
      <c r="S54" s="81">
        <v>4426.0740385314803</v>
      </c>
      <c r="T54" s="38">
        <f t="shared" si="5"/>
        <v>3.3903525457155964E-4</v>
      </c>
      <c r="U54" s="38">
        <f t="shared" si="6"/>
        <v>1.0176766714981164E-3</v>
      </c>
      <c r="V54" s="81">
        <v>4.3325729720694799</v>
      </c>
      <c r="W54" s="81">
        <v>3032.8010804486298</v>
      </c>
      <c r="X54" s="38">
        <f t="shared" si="7"/>
        <v>3.8264971184241204E-4</v>
      </c>
      <c r="Y54" s="38">
        <f t="shared" si="8"/>
        <v>1.3391477865290886E-3</v>
      </c>
      <c r="Z54" s="81">
        <v>7.3145714699030497</v>
      </c>
      <c r="AA54" s="81">
        <v>5120.2000289321404</v>
      </c>
      <c r="AB54" s="38">
        <f t="shared" si="9"/>
        <v>3.5260256243361697E-4</v>
      </c>
      <c r="AC54" s="38">
        <f t="shared" si="10"/>
        <v>1.08734982608644E-3</v>
      </c>
    </row>
    <row r="55" spans="1:29" ht="14">
      <c r="A55" s="3" t="s">
        <v>530</v>
      </c>
      <c r="B55" s="81">
        <f t="shared" ref="B55:E55" si="54">AVERAGE(N55,R55,V55,Z55)</f>
        <v>99.940223258431558</v>
      </c>
      <c r="C55" s="81">
        <f t="shared" si="54"/>
        <v>72956.362978655132</v>
      </c>
      <c r="D55" s="38">
        <f t="shared" si="54"/>
        <v>6.5437279706044744E-3</v>
      </c>
      <c r="E55" s="38">
        <f t="shared" si="54"/>
        <v>2.203974441480654E-2</v>
      </c>
      <c r="F55" s="38">
        <f t="shared" si="1"/>
        <v>1.5752479512508952E-2</v>
      </c>
      <c r="G55" s="38">
        <f t="shared" si="2"/>
        <v>2.2194808159632026E-2</v>
      </c>
      <c r="H55" s="2" t="s">
        <v>530</v>
      </c>
      <c r="I55" s="2" t="s">
        <v>530</v>
      </c>
      <c r="J55" s="2"/>
      <c r="L55" s="3" t="s">
        <v>531</v>
      </c>
      <c r="M55" s="81">
        <v>730</v>
      </c>
      <c r="N55" s="81">
        <v>57.954038594925699</v>
      </c>
      <c r="O55" s="81">
        <v>42306.448174295801</v>
      </c>
      <c r="P55" s="38">
        <f t="shared" si="3"/>
        <v>6.27891756651602E-3</v>
      </c>
      <c r="Q55" s="38">
        <f t="shared" si="4"/>
        <v>2.2202721502940899E-2</v>
      </c>
      <c r="R55" s="81">
        <v>132.471141301919</v>
      </c>
      <c r="S55" s="81">
        <v>96703.933150401106</v>
      </c>
      <c r="T55" s="38">
        <f t="shared" si="5"/>
        <v>7.103060343452307E-3</v>
      </c>
      <c r="U55" s="38">
        <f t="shared" si="6"/>
        <v>2.2234905234872426E-2</v>
      </c>
      <c r="V55" s="81">
        <v>67.353455795055595</v>
      </c>
      <c r="W55" s="81">
        <v>49168.022730390599</v>
      </c>
      <c r="X55" s="38">
        <f t="shared" si="7"/>
        <v>5.9486085099354101E-3</v>
      </c>
      <c r="Y55" s="38">
        <f t="shared" si="8"/>
        <v>2.1710375016641238E-2</v>
      </c>
      <c r="Z55" s="81">
        <v>141.982257341826</v>
      </c>
      <c r="AA55" s="81">
        <v>103647.04785953301</v>
      </c>
      <c r="AB55" s="38">
        <f t="shared" si="9"/>
        <v>6.8443254625141607E-3</v>
      </c>
      <c r="AC55" s="38">
        <f t="shared" si="10"/>
        <v>2.201097590477159E-2</v>
      </c>
    </row>
    <row r="56" spans="1:29" ht="14">
      <c r="A56" s="3" t="s">
        <v>532</v>
      </c>
      <c r="B56" s="81">
        <f t="shared" ref="B56:E56" si="55">AVERAGE(N56,R56,V56,Z56)</f>
        <v>8.0165180013987219E-6</v>
      </c>
      <c r="C56" s="81">
        <f t="shared" si="55"/>
        <v>6.7338751211749228E-3</v>
      </c>
      <c r="D56" s="38">
        <f t="shared" si="55"/>
        <v>4.9561064933933644E-10</v>
      </c>
      <c r="E56" s="38">
        <f t="shared" si="55"/>
        <v>1.8962101273349746E-9</v>
      </c>
      <c r="F56" s="38">
        <f t="shared" si="1"/>
        <v>1.1930655789742401E-9</v>
      </c>
      <c r="G56" s="38">
        <f t="shared" si="2"/>
        <v>1.90955118237566E-9</v>
      </c>
      <c r="H56" s="2" t="s">
        <v>435</v>
      </c>
      <c r="I56" s="2" t="s">
        <v>435</v>
      </c>
      <c r="J56" s="2"/>
      <c r="L56" s="3" t="s">
        <v>533</v>
      </c>
      <c r="M56" s="81">
        <v>840</v>
      </c>
      <c r="N56" s="81">
        <v>3.5995627025446301E-6</v>
      </c>
      <c r="O56" s="81">
        <v>3.0236326701374898E-3</v>
      </c>
      <c r="P56" s="38">
        <f t="shared" si="3"/>
        <v>3.899876183393761E-10</v>
      </c>
      <c r="Q56" s="38">
        <f t="shared" si="4"/>
        <v>1.5868236876251002E-9</v>
      </c>
      <c r="R56" s="81">
        <v>1.2188382799935201E-5</v>
      </c>
      <c r="S56" s="81">
        <v>1.02382415519455E-2</v>
      </c>
      <c r="T56" s="38">
        <f t="shared" si="5"/>
        <v>6.5353719811110116E-10</v>
      </c>
      <c r="U56" s="38">
        <f t="shared" si="6"/>
        <v>2.3540545173606226E-9</v>
      </c>
      <c r="V56" s="81">
        <v>3.8446286332397599E-6</v>
      </c>
      <c r="W56" s="81">
        <v>3.2294880519213999E-3</v>
      </c>
      <c r="X56" s="38">
        <f t="shared" si="7"/>
        <v>3.3955482068835845E-10</v>
      </c>
      <c r="Y56" s="38">
        <f t="shared" si="8"/>
        <v>1.4259958571740342E-9</v>
      </c>
      <c r="Z56" s="81">
        <v>1.24334978698753E-5</v>
      </c>
      <c r="AA56" s="81">
        <v>1.04441382106953E-2</v>
      </c>
      <c r="AB56" s="38">
        <f t="shared" si="9"/>
        <v>5.9936296021850993E-10</v>
      </c>
      <c r="AC56" s="38">
        <f t="shared" si="10"/>
        <v>2.2179664471801413E-9</v>
      </c>
    </row>
    <row r="57" spans="1:29" ht="14">
      <c r="A57" s="3" t="s">
        <v>534</v>
      </c>
      <c r="B57" s="81">
        <f t="shared" ref="B57:E57" si="56">AVERAGE(N57,R57,V57,Z57)</f>
        <v>6.1559012535075647E-2</v>
      </c>
      <c r="C57" s="81">
        <f t="shared" si="56"/>
        <v>54.171931030866574</v>
      </c>
      <c r="D57" s="38">
        <f t="shared" si="56"/>
        <v>3.8107726789497461E-6</v>
      </c>
      <c r="E57" s="38">
        <f t="shared" si="56"/>
        <v>1.5276857589622062E-5</v>
      </c>
      <c r="F57" s="38">
        <f t="shared" si="1"/>
        <v>9.1735351502454898E-6</v>
      </c>
      <c r="G57" s="38">
        <f t="shared" si="2"/>
        <v>1.5384340085899153E-5</v>
      </c>
      <c r="H57" s="2" t="s">
        <v>483</v>
      </c>
      <c r="I57" s="2" t="s">
        <v>483</v>
      </c>
      <c r="J57" s="2"/>
      <c r="L57" s="3" t="s">
        <v>535</v>
      </c>
      <c r="M57" s="81">
        <v>880</v>
      </c>
      <c r="N57" s="81">
        <v>2.80315518614285E-2</v>
      </c>
      <c r="O57" s="81">
        <v>24.667765638057102</v>
      </c>
      <c r="P57" s="38">
        <f t="shared" si="3"/>
        <v>3.0370239532338479E-6</v>
      </c>
      <c r="Q57" s="38">
        <f t="shared" si="4"/>
        <v>1.2945816871820473E-5</v>
      </c>
      <c r="R57" s="81">
        <v>9.3549098577834902E-2</v>
      </c>
      <c r="S57" s="81">
        <v>82.323206748494698</v>
      </c>
      <c r="T57" s="38">
        <f t="shared" si="5"/>
        <v>5.0160728272090748E-6</v>
      </c>
      <c r="U57" s="38">
        <f t="shared" si="6"/>
        <v>1.8928379033319572E-5</v>
      </c>
      <c r="V57" s="81">
        <v>2.9439218167611698E-2</v>
      </c>
      <c r="W57" s="81">
        <v>25.906511987498298</v>
      </c>
      <c r="X57" s="38">
        <f t="shared" si="7"/>
        <v>2.6000504599283797E-6</v>
      </c>
      <c r="Y57" s="38">
        <f t="shared" si="8"/>
        <v>1.1439143967732862E-5</v>
      </c>
      <c r="Z57" s="81">
        <v>9.5216181533427494E-2</v>
      </c>
      <c r="AA57" s="81">
        <v>83.790239749416202</v>
      </c>
      <c r="AB57" s="38">
        <f t="shared" si="9"/>
        <v>4.5899434754276823E-6</v>
      </c>
      <c r="AC57" s="38">
        <f t="shared" si="10"/>
        <v>1.7794090485615345E-5</v>
      </c>
    </row>
    <row r="58" spans="1:29" ht="14">
      <c r="A58" s="3" t="s">
        <v>536</v>
      </c>
      <c r="B58" s="81">
        <f t="shared" ref="B58:E58" si="57">AVERAGE(N58,R58,V58,Z58)</f>
        <v>7.2246566060735651E-4</v>
      </c>
      <c r="C58" s="81">
        <f t="shared" si="57"/>
        <v>1.4449313212147183</v>
      </c>
      <c r="D58" s="38">
        <f t="shared" si="57"/>
        <v>4.5826829345754103E-8</v>
      </c>
      <c r="E58" s="38">
        <f t="shared" si="57"/>
        <v>4.1969479787360485E-7</v>
      </c>
      <c r="F58" s="38">
        <f t="shared" si="1"/>
        <v>1.1031726771575309E-7</v>
      </c>
      <c r="G58" s="38">
        <f t="shared" si="2"/>
        <v>4.226476200940992E-7</v>
      </c>
      <c r="H58" s="2" t="s">
        <v>483</v>
      </c>
      <c r="I58" s="2" t="s">
        <v>483</v>
      </c>
      <c r="J58" s="2"/>
      <c r="L58" s="3" t="s">
        <v>537</v>
      </c>
      <c r="M58" s="81">
        <v>2000</v>
      </c>
      <c r="N58" s="81">
        <v>3.7420994815985501E-4</v>
      </c>
      <c r="O58" s="81">
        <v>0.74841989631971095</v>
      </c>
      <c r="P58" s="38">
        <f t="shared" si="3"/>
        <v>4.0543048837181302E-8</v>
      </c>
      <c r="Q58" s="38">
        <f t="shared" si="4"/>
        <v>3.9277602451492105E-7</v>
      </c>
      <c r="R58" s="81">
        <v>1.0508947066989001E-3</v>
      </c>
      <c r="S58" s="81">
        <v>2.1017894133978099</v>
      </c>
      <c r="T58" s="38">
        <f t="shared" si="5"/>
        <v>5.63486389785393E-8</v>
      </c>
      <c r="U58" s="38">
        <f t="shared" si="6"/>
        <v>4.8325943845402493E-7</v>
      </c>
      <c r="V58" s="81">
        <v>3.9403520367717099E-4</v>
      </c>
      <c r="W58" s="81">
        <v>0.78807040735434297</v>
      </c>
      <c r="X58" s="38">
        <f t="shared" si="7"/>
        <v>3.4800904246701202E-8</v>
      </c>
      <c r="Y58" s="38">
        <f t="shared" si="8"/>
        <v>3.4797624824161998E-7</v>
      </c>
      <c r="Z58" s="81">
        <v>1.0707227838935001E-3</v>
      </c>
      <c r="AA58" s="81">
        <v>2.1414455677870099</v>
      </c>
      <c r="AB58" s="38">
        <f t="shared" si="9"/>
        <v>5.1614725320594636E-8</v>
      </c>
      <c r="AC58" s="38">
        <f t="shared" si="10"/>
        <v>4.5476748028385345E-7</v>
      </c>
    </row>
    <row r="59" spans="1:29" ht="14">
      <c r="A59" s="3" t="s">
        <v>538</v>
      </c>
      <c r="B59" s="81">
        <f t="shared" ref="B59:E59" si="58">AVERAGE(N59,R59,V59,Z59)</f>
        <v>10.031013390187464</v>
      </c>
      <c r="C59" s="81">
        <f t="shared" si="58"/>
        <v>21065.128119393648</v>
      </c>
      <c r="D59" s="38">
        <f t="shared" si="58"/>
        <v>7.4144581142380692E-4</v>
      </c>
      <c r="E59" s="38">
        <f t="shared" si="58"/>
        <v>7.3495662031870228E-3</v>
      </c>
      <c r="F59" s="38">
        <f t="shared" si="1"/>
        <v>1.7848556673742957E-3</v>
      </c>
      <c r="G59" s="38">
        <f t="shared" si="2"/>
        <v>7.4012751176308483E-3</v>
      </c>
      <c r="H59" s="2" t="s">
        <v>478</v>
      </c>
      <c r="I59" s="2" t="s">
        <v>538</v>
      </c>
      <c r="J59" s="2"/>
      <c r="L59" s="3" t="s">
        <v>539</v>
      </c>
      <c r="M59" s="81">
        <v>2100</v>
      </c>
      <c r="N59" s="81">
        <v>9.2610039316696504</v>
      </c>
      <c r="O59" s="81">
        <v>19448.108256506199</v>
      </c>
      <c r="P59" s="38">
        <f t="shared" si="3"/>
        <v>1.00336545441763E-3</v>
      </c>
      <c r="Q59" s="38">
        <f t="shared" si="4"/>
        <v>1.0206503973089441E-2</v>
      </c>
      <c r="R59" s="81">
        <v>9.5128433885164103</v>
      </c>
      <c r="S59" s="81">
        <v>19976.9711158844</v>
      </c>
      <c r="T59" s="38">
        <f t="shared" si="5"/>
        <v>5.1007562826413529E-4</v>
      </c>
      <c r="U59" s="38">
        <f t="shared" si="6"/>
        <v>4.5932574319458375E-3</v>
      </c>
      <c r="V59" s="81">
        <v>10.548615656209099</v>
      </c>
      <c r="W59" s="81">
        <v>22152.0928780391</v>
      </c>
      <c r="X59" s="38">
        <f t="shared" si="7"/>
        <v>9.3164610664520336E-4</v>
      </c>
      <c r="Y59" s="38">
        <f t="shared" si="8"/>
        <v>9.7813622976633333E-3</v>
      </c>
      <c r="Z59" s="81">
        <v>10.801590584354701</v>
      </c>
      <c r="AA59" s="81">
        <v>22683.340227144901</v>
      </c>
      <c r="AB59" s="38">
        <f t="shared" si="9"/>
        <v>5.2069605636825898E-4</v>
      </c>
      <c r="AC59" s="38">
        <f t="shared" si="10"/>
        <v>4.8171411100494813E-3</v>
      </c>
    </row>
    <row r="60" spans="1:29" ht="14">
      <c r="A60" s="3" t="s">
        <v>540</v>
      </c>
      <c r="B60" s="81">
        <f t="shared" ref="B60:E60" si="59">AVERAGE(N60,R60,V60,Z60)</f>
        <v>0.17734701935283026</v>
      </c>
      <c r="C60" s="81">
        <f t="shared" si="59"/>
        <v>372.428740640944</v>
      </c>
      <c r="D60" s="38">
        <f t="shared" si="59"/>
        <v>1.2683710149230391E-5</v>
      </c>
      <c r="E60" s="38">
        <f t="shared" si="59"/>
        <v>1.2544648726908311E-4</v>
      </c>
      <c r="F60" s="38">
        <f t="shared" si="1"/>
        <v>3.0533036392387985E-5</v>
      </c>
      <c r="G60" s="38">
        <f t="shared" si="2"/>
        <v>1.2632908380582329E-4</v>
      </c>
      <c r="H60" s="2" t="s">
        <v>445</v>
      </c>
      <c r="I60" s="2" t="s">
        <v>445</v>
      </c>
      <c r="J60" s="2"/>
      <c r="L60" s="3" t="s">
        <v>541</v>
      </c>
      <c r="M60" s="81">
        <v>2100</v>
      </c>
      <c r="N60" s="81">
        <v>0.130676695469577</v>
      </c>
      <c r="O60" s="81">
        <v>274.42106048611299</v>
      </c>
      <c r="P60" s="38">
        <f t="shared" si="3"/>
        <v>1.4157912349356665E-5</v>
      </c>
      <c r="Q60" s="38">
        <f t="shared" si="4"/>
        <v>1.440181022858056E-4</v>
      </c>
      <c r="R60" s="81">
        <v>0.15889580521395399</v>
      </c>
      <c r="S60" s="81">
        <v>333.68119094930302</v>
      </c>
      <c r="T60" s="38">
        <f t="shared" si="5"/>
        <v>8.5199423939726347E-6</v>
      </c>
      <c r="U60" s="38">
        <f t="shared" si="6"/>
        <v>7.6722522215078582E-5</v>
      </c>
      <c r="V60" s="81">
        <v>0.19493468497792499</v>
      </c>
      <c r="W60" s="81">
        <v>409.36283845364397</v>
      </c>
      <c r="X60" s="38">
        <f t="shared" si="7"/>
        <v>1.7216490412454653E-5</v>
      </c>
      <c r="Y60" s="38">
        <f t="shared" si="8"/>
        <v>1.8075611438432015E-4</v>
      </c>
      <c r="Z60" s="81">
        <v>0.224880891749865</v>
      </c>
      <c r="AA60" s="81">
        <v>472.24987267471602</v>
      </c>
      <c r="AB60" s="38">
        <f t="shared" si="9"/>
        <v>1.084049544113761E-5</v>
      </c>
      <c r="AC60" s="38">
        <f t="shared" si="10"/>
        <v>1.0028921019112815E-4</v>
      </c>
    </row>
    <row r="61" spans="1:29" ht="14">
      <c r="A61" s="3" t="s">
        <v>542</v>
      </c>
      <c r="B61" s="81">
        <f t="shared" ref="B61:E61" si="60">AVERAGE(N61,R61,V61,Z61)</f>
        <v>2.5360601865373003</v>
      </c>
      <c r="C61" s="81">
        <f t="shared" si="60"/>
        <v>7354.5745409581741</v>
      </c>
      <c r="D61" s="38">
        <f t="shared" si="60"/>
        <v>1.8574008074840519E-4</v>
      </c>
      <c r="E61" s="38">
        <f t="shared" si="60"/>
        <v>2.5489201618693869E-3</v>
      </c>
      <c r="F61" s="38">
        <f t="shared" si="1"/>
        <v>4.4712537406574608E-4</v>
      </c>
      <c r="G61" s="38">
        <f t="shared" si="2"/>
        <v>2.5668534508459652E-3</v>
      </c>
      <c r="H61" s="2" t="s">
        <v>483</v>
      </c>
      <c r="I61" s="2" t="s">
        <v>483</v>
      </c>
      <c r="J61" s="2"/>
      <c r="L61" s="3" t="s">
        <v>543</v>
      </c>
      <c r="M61" s="81">
        <v>2900</v>
      </c>
      <c r="N61" s="81">
        <v>2.0052362426483201</v>
      </c>
      <c r="O61" s="81">
        <v>5815.1851036801299</v>
      </c>
      <c r="P61" s="38">
        <f t="shared" si="3"/>
        <v>2.1725341967939273E-4</v>
      </c>
      <c r="Q61" s="38">
        <f t="shared" si="4"/>
        <v>3.0518500350853318E-3</v>
      </c>
      <c r="R61" s="81">
        <v>2.0201900143553599</v>
      </c>
      <c r="S61" s="81">
        <v>5858.5510416305397</v>
      </c>
      <c r="T61" s="38">
        <f t="shared" si="5"/>
        <v>1.0832194420746667E-4</v>
      </c>
      <c r="U61" s="38">
        <f t="shared" si="6"/>
        <v>1.3470427001321804E-3</v>
      </c>
      <c r="V61" s="81">
        <v>3.0519303365266799</v>
      </c>
      <c r="W61" s="81">
        <v>8850.5979759273796</v>
      </c>
      <c r="X61" s="38">
        <f t="shared" si="7"/>
        <v>2.6954428035339776E-4</v>
      </c>
      <c r="Y61" s="38">
        <f t="shared" si="8"/>
        <v>3.9080237623658216E-3</v>
      </c>
      <c r="Z61" s="81">
        <v>3.0668841526188402</v>
      </c>
      <c r="AA61" s="81">
        <v>8893.9640425946509</v>
      </c>
      <c r="AB61" s="38">
        <f t="shared" si="9"/>
        <v>1.4784067875336357E-4</v>
      </c>
      <c r="AC61" s="38">
        <f t="shared" si="10"/>
        <v>1.888764149894214E-3</v>
      </c>
    </row>
    <row r="62" spans="1:29" ht="14">
      <c r="A62" s="3" t="s">
        <v>544</v>
      </c>
      <c r="B62" s="81">
        <f t="shared" ref="B62:E62" si="61">AVERAGE(N62,R62,V62,Z62)</f>
        <v>2.0933437632210028E-4</v>
      </c>
      <c r="C62" s="81">
        <f t="shared" si="61"/>
        <v>0.73267031712734965</v>
      </c>
      <c r="D62" s="38">
        <f t="shared" si="61"/>
        <v>1.4272816110065177E-8</v>
      </c>
      <c r="E62" s="38">
        <f t="shared" si="61"/>
        <v>2.3915368547316795E-7</v>
      </c>
      <c r="F62" s="38">
        <f t="shared" si="1"/>
        <v>3.4358433658855265E-8</v>
      </c>
      <c r="G62" s="38">
        <f t="shared" si="2"/>
        <v>2.4083628511499378E-7</v>
      </c>
      <c r="H62" s="2" t="s">
        <v>435</v>
      </c>
      <c r="I62" s="2" t="s">
        <v>435</v>
      </c>
      <c r="J62" s="2"/>
      <c r="L62" s="3" t="s">
        <v>545</v>
      </c>
      <c r="M62" s="81">
        <v>3500</v>
      </c>
      <c r="N62" s="81">
        <v>9.4493910991570301E-7</v>
      </c>
      <c r="O62" s="81">
        <v>3.3072868847049599E-3</v>
      </c>
      <c r="P62" s="38">
        <f t="shared" si="3"/>
        <v>1.023775895586544E-10</v>
      </c>
      <c r="Q62" s="38">
        <f t="shared" si="4"/>
        <v>1.7356874141008057E-9</v>
      </c>
      <c r="R62" s="81">
        <v>3.1912999575354002E-6</v>
      </c>
      <c r="S62" s="81">
        <v>1.1169549851373899E-2</v>
      </c>
      <c r="T62" s="38">
        <f t="shared" si="5"/>
        <v>1.7111648582212644E-10</v>
      </c>
      <c r="U62" s="38">
        <f t="shared" si="6"/>
        <v>2.5681880185289228E-9</v>
      </c>
      <c r="V62" s="81">
        <v>4.1514134910297499E-4</v>
      </c>
      <c r="W62" s="81">
        <v>1.45299472186041</v>
      </c>
      <c r="X62" s="38">
        <f t="shared" si="7"/>
        <v>3.6664983748039706E-8</v>
      </c>
      <c r="Y62" s="38">
        <f t="shared" si="8"/>
        <v>6.4157675165757537E-7</v>
      </c>
      <c r="Z62" s="81">
        <v>4.1805991711797502E-4</v>
      </c>
      <c r="AA62" s="81">
        <v>1.46320970991291</v>
      </c>
      <c r="AB62" s="38">
        <f t="shared" si="9"/>
        <v>2.0152786616840226E-8</v>
      </c>
      <c r="AC62" s="38">
        <f t="shared" si="10"/>
        <v>3.107341148024667E-7</v>
      </c>
    </row>
    <row r="63" spans="1:29" ht="14">
      <c r="A63" s="3" t="s">
        <v>546</v>
      </c>
      <c r="B63" s="81">
        <f t="shared" ref="B63:E63" si="62">AVERAGE(N63,R63,V63,Z63)</f>
        <v>158.99435692592945</v>
      </c>
      <c r="C63" s="81">
        <f t="shared" si="62"/>
        <v>620077.99201112601</v>
      </c>
      <c r="D63" s="38">
        <f t="shared" si="62"/>
        <v>1.0085264881102354E-2</v>
      </c>
      <c r="E63" s="38">
        <f t="shared" si="62"/>
        <v>0.18010965042733795</v>
      </c>
      <c r="F63" s="38">
        <f t="shared" si="1"/>
        <v>2.4277893141562777E-2</v>
      </c>
      <c r="G63" s="38">
        <f t="shared" si="2"/>
        <v>0.1813768373941573</v>
      </c>
      <c r="H63" s="2" t="s">
        <v>546</v>
      </c>
      <c r="I63" s="2" t="s">
        <v>546</v>
      </c>
      <c r="J63" s="2"/>
      <c r="L63" s="3" t="s">
        <v>547</v>
      </c>
      <c r="M63" s="81">
        <v>3900</v>
      </c>
      <c r="N63" s="81">
        <v>82.350941204566098</v>
      </c>
      <c r="O63" s="81">
        <v>321168.67069780797</v>
      </c>
      <c r="P63" s="38">
        <f t="shared" si="3"/>
        <v>8.9221525174908462E-3</v>
      </c>
      <c r="Q63" s="38">
        <f t="shared" si="4"/>
        <v>0.16855157685644831</v>
      </c>
      <c r="R63" s="81">
        <v>231.25999892029799</v>
      </c>
      <c r="S63" s="81">
        <v>901913.99578916398</v>
      </c>
      <c r="T63" s="38">
        <f t="shared" si="5"/>
        <v>1.240008737913543E-2</v>
      </c>
      <c r="U63" s="38">
        <f t="shared" si="6"/>
        <v>0.20737493887852285</v>
      </c>
      <c r="V63" s="81">
        <v>86.727867271198704</v>
      </c>
      <c r="W63" s="81">
        <v>338238.68235767499</v>
      </c>
      <c r="X63" s="38">
        <f t="shared" si="7"/>
        <v>7.6597425211235304E-3</v>
      </c>
      <c r="Y63" s="38">
        <f t="shared" si="8"/>
        <v>0.14935090392766304</v>
      </c>
      <c r="Z63" s="81">
        <v>235.638620307655</v>
      </c>
      <c r="AA63" s="81">
        <v>918990.619199857</v>
      </c>
      <c r="AB63" s="38">
        <f t="shared" si="9"/>
        <v>1.1359077106659614E-2</v>
      </c>
      <c r="AC63" s="38">
        <f t="shared" si="10"/>
        <v>0.19516118204671762</v>
      </c>
    </row>
    <row r="64" spans="1:29" ht="14">
      <c r="A64" s="3" t="s">
        <v>548</v>
      </c>
      <c r="B64" s="81">
        <f t="shared" ref="B64:E64" si="63">AVERAGE(N64,R64,V64,Z64)</f>
        <v>1.1720214211226437E-5</v>
      </c>
      <c r="C64" s="81">
        <f t="shared" si="63"/>
        <v>4.8052878266028422E-2</v>
      </c>
      <c r="D64" s="38">
        <f t="shared" si="63"/>
        <v>7.2919865394330554E-10</v>
      </c>
      <c r="E64" s="38">
        <f t="shared" si="63"/>
        <v>1.3638269630453828E-8</v>
      </c>
      <c r="F64" s="38">
        <f t="shared" si="1"/>
        <v>1.7553735284215898E-9</v>
      </c>
      <c r="G64" s="38">
        <f t="shared" si="2"/>
        <v>1.3734223608959002E-8</v>
      </c>
      <c r="H64" s="2" t="s">
        <v>435</v>
      </c>
      <c r="I64" s="2" t="s">
        <v>435</v>
      </c>
      <c r="J64" s="2"/>
      <c r="L64" s="3" t="s">
        <v>549</v>
      </c>
      <c r="M64" s="81">
        <v>4100</v>
      </c>
      <c r="N64" s="81">
        <v>5.4134031951180802E-6</v>
      </c>
      <c r="O64" s="81">
        <v>2.2194953099984101E-2</v>
      </c>
      <c r="P64" s="38">
        <f t="shared" si="3"/>
        <v>5.8650463782237536E-10</v>
      </c>
      <c r="Q64" s="38">
        <f t="shared" si="4"/>
        <v>1.1648067462897677E-8</v>
      </c>
      <c r="R64" s="81">
        <v>1.7548768684405199E-5</v>
      </c>
      <c r="S64" s="81">
        <v>7.1949951606061296E-2</v>
      </c>
      <c r="T64" s="38">
        <f t="shared" si="5"/>
        <v>9.4095937948117139E-10</v>
      </c>
      <c r="U64" s="38">
        <f t="shared" si="6"/>
        <v>1.6543281162373223E-8</v>
      </c>
      <c r="V64" s="81">
        <v>5.8912044642380702E-6</v>
      </c>
      <c r="W64" s="81">
        <v>2.4153938303376098E-2</v>
      </c>
      <c r="X64" s="38">
        <f t="shared" si="7"/>
        <v>5.2030691812414283E-10</v>
      </c>
      <c r="Y64" s="38">
        <f t="shared" si="8"/>
        <v>1.0665286696001014E-8</v>
      </c>
      <c r="Z64" s="81">
        <v>1.8027480501144399E-5</v>
      </c>
      <c r="AA64" s="81">
        <v>7.3912670054692195E-2</v>
      </c>
      <c r="AB64" s="38">
        <f t="shared" si="9"/>
        <v>8.6902368034553259E-10</v>
      </c>
      <c r="AC64" s="38">
        <f t="shared" si="10"/>
        <v>1.5696443200543394E-8</v>
      </c>
    </row>
    <row r="65" spans="1:29" ht="14">
      <c r="A65" s="3" t="s">
        <v>550</v>
      </c>
      <c r="B65" s="81">
        <f t="shared" ref="B65:E65" si="64">AVERAGE(N65,R65,V65,Z65)</f>
        <v>14.254072269551624</v>
      </c>
      <c r="C65" s="81">
        <f t="shared" si="64"/>
        <v>68419.546893848106</v>
      </c>
      <c r="D65" s="38">
        <f t="shared" si="64"/>
        <v>9.8558439914047205E-4</v>
      </c>
      <c r="E65" s="38">
        <f t="shared" si="64"/>
        <v>2.2055307551780787E-2</v>
      </c>
      <c r="F65" s="38">
        <f t="shared" si="1"/>
        <v>2.3725616537012889E-3</v>
      </c>
      <c r="G65" s="38">
        <f t="shared" si="2"/>
        <v>2.2210480793261728E-2</v>
      </c>
      <c r="H65" s="2" t="s">
        <v>550</v>
      </c>
      <c r="I65" s="2" t="s">
        <v>550</v>
      </c>
      <c r="J65" s="2"/>
      <c r="L65" s="3" t="s">
        <v>551</v>
      </c>
      <c r="M65" s="81">
        <v>4800</v>
      </c>
      <c r="N65" s="81">
        <v>10.477612348097599</v>
      </c>
      <c r="O65" s="81">
        <v>50292.539270868801</v>
      </c>
      <c r="P65" s="38">
        <f t="shared" si="3"/>
        <v>1.1351765264789571E-3</v>
      </c>
      <c r="Q65" s="38">
        <f t="shared" si="4"/>
        <v>2.6393878269016489E-2</v>
      </c>
      <c r="R65" s="81">
        <v>16.708389217083099</v>
      </c>
      <c r="S65" s="81">
        <v>80200.268241999307</v>
      </c>
      <c r="T65" s="38">
        <f t="shared" si="5"/>
        <v>8.9589850049181889E-4</v>
      </c>
      <c r="U65" s="38">
        <f t="shared" si="6"/>
        <v>1.8440256834215504E-2</v>
      </c>
      <c r="V65" s="81">
        <v>11.7984072523805</v>
      </c>
      <c r="W65" s="81">
        <v>56632.3548114265</v>
      </c>
      <c r="X65" s="38">
        <f t="shared" si="7"/>
        <v>1.042026796646513E-3</v>
      </c>
      <c r="Y65" s="38">
        <f t="shared" si="8"/>
        <v>2.5006286459260035E-2</v>
      </c>
      <c r="Z65" s="81">
        <v>18.031880260645298</v>
      </c>
      <c r="AA65" s="81">
        <v>86553.025251097803</v>
      </c>
      <c r="AB65" s="38">
        <f t="shared" si="9"/>
        <v>8.6923577294459905E-4</v>
      </c>
      <c r="AC65" s="38">
        <f t="shared" si="10"/>
        <v>1.8380808644631128E-2</v>
      </c>
    </row>
    <row r="66" spans="1:29" ht="14">
      <c r="A66" s="3" t="s">
        <v>552</v>
      </c>
      <c r="B66" s="81">
        <f t="shared" ref="B66:E66" si="65">AVERAGE(N66,R66,V66,Z66)</f>
        <v>9.825073745184678E-3</v>
      </c>
      <c r="C66" s="81">
        <f t="shared" si="65"/>
        <v>56.985427722071279</v>
      </c>
      <c r="D66" s="38">
        <f t="shared" si="65"/>
        <v>6.3546136063689287E-7</v>
      </c>
      <c r="E66" s="38">
        <f t="shared" si="65"/>
        <v>1.6952528194973463E-5</v>
      </c>
      <c r="F66" s="38">
        <f t="shared" si="1"/>
        <v>1.5297231347926952E-6</v>
      </c>
      <c r="G66" s="38">
        <f t="shared" si="2"/>
        <v>1.7071800109234241E-5</v>
      </c>
      <c r="H66" s="2" t="s">
        <v>553</v>
      </c>
      <c r="I66" s="2" t="s">
        <v>553</v>
      </c>
      <c r="J66" s="2"/>
      <c r="L66" s="3" t="s">
        <v>554</v>
      </c>
      <c r="M66" s="81">
        <v>5800</v>
      </c>
      <c r="N66" s="81">
        <v>5.5087219350234496E-3</v>
      </c>
      <c r="O66" s="81">
        <v>31.950587223136001</v>
      </c>
      <c r="P66" s="38">
        <f t="shared" si="3"/>
        <v>5.9683176126226624E-7</v>
      </c>
      <c r="Q66" s="38">
        <f t="shared" si="4"/>
        <v>1.67678928528374E-5</v>
      </c>
      <c r="R66" s="81">
        <v>1.35849027395296E-2</v>
      </c>
      <c r="S66" s="81">
        <v>78.792435889272099</v>
      </c>
      <c r="T66" s="38">
        <f t="shared" si="5"/>
        <v>7.2841815183645189E-7</v>
      </c>
      <c r="U66" s="38">
        <f t="shared" si="6"/>
        <v>1.811655729139761E-5</v>
      </c>
      <c r="V66" s="81">
        <v>6.0458756889297596E-3</v>
      </c>
      <c r="W66" s="81">
        <v>35.066078995792601</v>
      </c>
      <c r="X66" s="38">
        <f t="shared" si="7"/>
        <v>5.3396736884017959E-7</v>
      </c>
      <c r="Y66" s="38">
        <f t="shared" si="8"/>
        <v>1.5483594480427786E-5</v>
      </c>
      <c r="Z66" s="81">
        <v>1.41607946172559E-2</v>
      </c>
      <c r="AA66" s="81">
        <v>82.132608780084396</v>
      </c>
      <c r="AB66" s="38">
        <f t="shared" si="9"/>
        <v>6.8262816060867355E-7</v>
      </c>
      <c r="AC66" s="38">
        <f t="shared" si="10"/>
        <v>1.7442068155231049E-5</v>
      </c>
    </row>
    <row r="67" spans="1:29" ht="14">
      <c r="A67" s="3" t="s">
        <v>555</v>
      </c>
      <c r="B67" s="81">
        <f t="shared" ref="B67:E67" si="66">AVERAGE(N67,R67,V67,Z67)</f>
        <v>7.9798873772863904E-2</v>
      </c>
      <c r="C67" s="81">
        <f t="shared" si="66"/>
        <v>526.67256690090301</v>
      </c>
      <c r="D67" s="38">
        <f t="shared" si="66"/>
        <v>5.1533779698623885E-6</v>
      </c>
      <c r="E67" s="38">
        <f t="shared" si="66"/>
        <v>1.5639390483288346E-4</v>
      </c>
      <c r="F67" s="38">
        <f t="shared" si="1"/>
        <v>1.2405540275381193E-5</v>
      </c>
      <c r="G67" s="38">
        <f t="shared" si="2"/>
        <v>1.5749423631109132E-4</v>
      </c>
      <c r="H67" s="2" t="s">
        <v>553</v>
      </c>
      <c r="I67" s="2" t="s">
        <v>553</v>
      </c>
      <c r="J67" s="2"/>
      <c r="L67" s="3" t="s">
        <v>556</v>
      </c>
      <c r="M67" s="81">
        <v>6600</v>
      </c>
      <c r="N67" s="81">
        <v>4.4425312979458099E-2</v>
      </c>
      <c r="O67" s="81">
        <v>293.207065664423</v>
      </c>
      <c r="P67" s="38">
        <f t="shared" si="3"/>
        <v>4.8131741087861834E-6</v>
      </c>
      <c r="Q67" s="38">
        <f t="shared" si="4"/>
        <v>1.5387712990751554E-4</v>
      </c>
      <c r="R67" s="81">
        <v>0.11064728336021</v>
      </c>
      <c r="S67" s="81">
        <v>730.27207017738601</v>
      </c>
      <c r="T67" s="38">
        <f t="shared" si="5"/>
        <v>5.9328720415821828E-6</v>
      </c>
      <c r="U67" s="38">
        <f t="shared" si="6"/>
        <v>1.6790971935768607E-4</v>
      </c>
      <c r="V67" s="81">
        <v>4.8757301964793498E-2</v>
      </c>
      <c r="W67" s="81">
        <v>321.79819296763702</v>
      </c>
      <c r="X67" s="38">
        <f t="shared" si="7"/>
        <v>4.306209651243355E-6</v>
      </c>
      <c r="Y67" s="38">
        <f t="shared" si="8"/>
        <v>1.4209152740011724E-4</v>
      </c>
      <c r="Z67" s="81">
        <v>0.115365596786994</v>
      </c>
      <c r="AA67" s="81">
        <v>761.41293879416605</v>
      </c>
      <c r="AB67" s="38">
        <f t="shared" si="9"/>
        <v>5.561256077837831E-6</v>
      </c>
      <c r="AC67" s="38">
        <f t="shared" si="10"/>
        <v>1.6169724266621504E-4</v>
      </c>
    </row>
    <row r="68" spans="1:29" ht="14">
      <c r="A68" s="3" t="s">
        <v>557</v>
      </c>
      <c r="B68" s="81">
        <f t="shared" ref="B68:E68" si="67">AVERAGE(N68,R68,V68,Z68)</f>
        <v>11.578720833200396</v>
      </c>
      <c r="C68" s="81">
        <f t="shared" si="67"/>
        <v>115787.20833200395</v>
      </c>
      <c r="D68" s="38">
        <f t="shared" si="67"/>
        <v>7.8269995344682776E-4</v>
      </c>
      <c r="E68" s="38">
        <f t="shared" si="67"/>
        <v>3.647655353845692E-2</v>
      </c>
      <c r="F68" s="38">
        <f t="shared" si="1"/>
        <v>1.8841652703930991E-3</v>
      </c>
      <c r="G68" s="38">
        <f t="shared" si="2"/>
        <v>3.6733189499543684E-2</v>
      </c>
      <c r="H68" s="2" t="s">
        <v>557</v>
      </c>
      <c r="I68" s="2" t="s">
        <v>557</v>
      </c>
      <c r="J68" s="2"/>
      <c r="L68" s="3" t="s">
        <v>558</v>
      </c>
      <c r="M68" s="81">
        <v>10000</v>
      </c>
      <c r="N68" s="81">
        <v>6.7160931864283802</v>
      </c>
      <c r="O68" s="81">
        <v>67160.931864283804</v>
      </c>
      <c r="P68" s="38">
        <f t="shared" si="3"/>
        <v>7.276420506493568E-4</v>
      </c>
      <c r="Q68" s="38">
        <f t="shared" si="4"/>
        <v>3.5246529321425434E-2</v>
      </c>
      <c r="R68" s="81">
        <v>12.525327248823199</v>
      </c>
      <c r="S68" s="81">
        <v>125253.272488232</v>
      </c>
      <c r="T68" s="38">
        <f t="shared" si="5"/>
        <v>6.7160405198826386E-4</v>
      </c>
      <c r="U68" s="38">
        <f t="shared" si="6"/>
        <v>2.8799186893485113E-2</v>
      </c>
      <c r="V68" s="81">
        <v>10.631358028084501</v>
      </c>
      <c r="W68" s="81">
        <v>106313.580280845</v>
      </c>
      <c r="X68" s="38">
        <f t="shared" si="7"/>
        <v>9.3895385309503555E-4</v>
      </c>
      <c r="Y68" s="38">
        <f t="shared" si="8"/>
        <v>4.6943268593803059E-2</v>
      </c>
      <c r="Z68" s="81">
        <v>16.442104869465499</v>
      </c>
      <c r="AA68" s="81">
        <v>164421.04869465501</v>
      </c>
      <c r="AB68" s="38">
        <f t="shared" si="9"/>
        <v>7.9259985805465506E-4</v>
      </c>
      <c r="AC68" s="38">
        <f t="shared" si="10"/>
        <v>3.4917229345114063E-2</v>
      </c>
    </row>
    <row r="69" spans="1:29" ht="14">
      <c r="A69" s="3" t="s">
        <v>559</v>
      </c>
      <c r="B69" s="81">
        <f t="shared" ref="B69:E69" si="68">AVERAGE(N69,R69,V69,Z69)</f>
        <v>2.2060186447524152E-2</v>
      </c>
      <c r="C69" s="81">
        <f t="shared" si="68"/>
        <v>242.66205092276573</v>
      </c>
      <c r="D69" s="38">
        <f t="shared" si="68"/>
        <v>1.5282486038020312E-6</v>
      </c>
      <c r="E69" s="38">
        <f t="shared" si="68"/>
        <v>7.8616646219110267E-5</v>
      </c>
      <c r="F69" s="38">
        <f t="shared" si="1"/>
        <v>3.67889755343667E-6</v>
      </c>
      <c r="G69" s="38">
        <f t="shared" si="2"/>
        <v>7.9169764773432788E-5</v>
      </c>
      <c r="H69" s="2" t="s">
        <v>483</v>
      </c>
      <c r="I69" s="2" t="s">
        <v>483</v>
      </c>
      <c r="J69" s="2"/>
      <c r="L69" s="3" t="s">
        <v>560</v>
      </c>
      <c r="M69" s="81">
        <v>11000</v>
      </c>
      <c r="N69" s="81">
        <v>1.48941747252449E-2</v>
      </c>
      <c r="O69" s="81">
        <v>163.835921977694</v>
      </c>
      <c r="P69" s="38">
        <f t="shared" si="3"/>
        <v>1.6136803851541661E-6</v>
      </c>
      <c r="Q69" s="38">
        <f t="shared" si="4"/>
        <v>8.598224395633379E-5</v>
      </c>
      <c r="R69" s="81">
        <v>2.3220550310318801E-2</v>
      </c>
      <c r="S69" s="81">
        <v>255.42605341350699</v>
      </c>
      <c r="T69" s="38">
        <f t="shared" si="5"/>
        <v>1.2450785011842826E-6</v>
      </c>
      <c r="U69" s="38">
        <f t="shared" si="6"/>
        <v>5.8729504655553233E-5</v>
      </c>
      <c r="V69" s="81">
        <v>2.0887728634553199E-2</v>
      </c>
      <c r="W69" s="81">
        <v>229.765014980085</v>
      </c>
      <c r="X69" s="38">
        <f t="shared" si="7"/>
        <v>1.8447890882808436E-6</v>
      </c>
      <c r="Y69" s="38">
        <f t="shared" si="8"/>
        <v>1.0145383857054301E-4</v>
      </c>
      <c r="Z69" s="81">
        <v>2.9238292119979699E-2</v>
      </c>
      <c r="AA69" s="81">
        <v>321.62121331977698</v>
      </c>
      <c r="AB69" s="38">
        <f t="shared" si="9"/>
        <v>1.4094464405888318E-6</v>
      </c>
      <c r="AC69" s="38">
        <f t="shared" si="10"/>
        <v>6.8300997694011032E-5</v>
      </c>
    </row>
    <row r="70" spans="1:29" ht="14">
      <c r="A70" s="3" t="s">
        <v>561</v>
      </c>
      <c r="B70" s="81">
        <f t="shared" ref="B70:E70" si="69">AVERAGE(N70,R70,V70,Z70)</f>
        <v>3.7448796947383553E-2</v>
      </c>
      <c r="C70" s="81">
        <f t="shared" si="69"/>
        <v>524.28315726336996</v>
      </c>
      <c r="D70" s="38">
        <f t="shared" si="69"/>
        <v>2.4082358535832652E-6</v>
      </c>
      <c r="E70" s="38">
        <f t="shared" si="69"/>
        <v>1.5489512845477278E-4</v>
      </c>
      <c r="F70" s="38">
        <f t="shared" si="1"/>
        <v>5.7972590112659591E-6</v>
      </c>
      <c r="G70" s="38">
        <f t="shared" si="2"/>
        <v>1.5598491507939834E-4</v>
      </c>
      <c r="H70" s="2" t="s">
        <v>553</v>
      </c>
      <c r="I70" s="2" t="s">
        <v>553</v>
      </c>
      <c r="J70" s="2"/>
      <c r="L70" s="3" t="s">
        <v>562</v>
      </c>
      <c r="M70" s="81">
        <v>14000</v>
      </c>
      <c r="N70" s="81">
        <v>2.0435822982988901E-2</v>
      </c>
      <c r="O70" s="81">
        <v>286.10152176184499</v>
      </c>
      <c r="P70" s="38">
        <f t="shared" si="3"/>
        <v>2.2140794847960041E-6</v>
      </c>
      <c r="Q70" s="38">
        <f t="shared" si="4"/>
        <v>1.5014809050090065E-4</v>
      </c>
      <c r="R70" s="81">
        <v>5.2331520120360103E-2</v>
      </c>
      <c r="S70" s="81">
        <v>732.64128168504101</v>
      </c>
      <c r="T70" s="38">
        <f t="shared" si="5"/>
        <v>2.8059994171283071E-6</v>
      </c>
      <c r="U70" s="38">
        <f t="shared" si="6"/>
        <v>1.6845446652192134E-4</v>
      </c>
      <c r="V70" s="81">
        <v>2.24286743739407E-2</v>
      </c>
      <c r="W70" s="81">
        <v>314.001441235171</v>
      </c>
      <c r="X70" s="38">
        <f t="shared" si="7"/>
        <v>1.9808843016661991E-6</v>
      </c>
      <c r="Y70" s="38">
        <f t="shared" si="8"/>
        <v>1.3864883447443937E-4</v>
      </c>
      <c r="Z70" s="81">
        <v>5.4599170312244497E-2</v>
      </c>
      <c r="AA70" s="81">
        <v>764.38838437142294</v>
      </c>
      <c r="AB70" s="38">
        <f t="shared" si="9"/>
        <v>2.6319802107425505E-6</v>
      </c>
      <c r="AC70" s="38">
        <f t="shared" si="10"/>
        <v>1.6232912232182973E-4</v>
      </c>
    </row>
    <row r="71" spans="1:29" ht="14">
      <c r="A71" s="3" t="s">
        <v>563</v>
      </c>
      <c r="B71" s="81">
        <f t="shared" ref="B71:E71" si="70">AVERAGE(N71,R71,V71,Z71)</f>
        <v>2.93468538868027E-2</v>
      </c>
      <c r="C71" s="81">
        <f t="shared" si="70"/>
        <v>410.85595441523799</v>
      </c>
      <c r="D71" s="38">
        <f t="shared" si="70"/>
        <v>1.8976648052172578E-6</v>
      </c>
      <c r="E71" s="38">
        <f t="shared" si="70"/>
        <v>1.2219278064018341E-4</v>
      </c>
      <c r="F71" s="38">
        <f t="shared" si="1"/>
        <v>4.5681798051627744E-6</v>
      </c>
      <c r="G71" s="38">
        <f t="shared" si="2"/>
        <v>1.2305248526289114E-4</v>
      </c>
      <c r="H71" s="2" t="s">
        <v>553</v>
      </c>
      <c r="I71" s="2" t="s">
        <v>553</v>
      </c>
      <c r="J71" s="2"/>
      <c r="L71" s="3" t="s">
        <v>564</v>
      </c>
      <c r="M71" s="81">
        <v>14000</v>
      </c>
      <c r="N71" s="81">
        <v>1.643732264969E-2</v>
      </c>
      <c r="O71" s="81">
        <v>230.12251709566101</v>
      </c>
      <c r="P71" s="38">
        <f t="shared" si="3"/>
        <v>1.7808697449545279E-6</v>
      </c>
      <c r="Q71" s="38">
        <f t="shared" si="4"/>
        <v>1.2076991520491222E-4</v>
      </c>
      <c r="R71" s="81">
        <v>4.0593816116217998E-2</v>
      </c>
      <c r="S71" s="81">
        <v>568.31342562705197</v>
      </c>
      <c r="T71" s="38">
        <f t="shared" si="5"/>
        <v>2.1766274722985742E-6</v>
      </c>
      <c r="U71" s="38">
        <f t="shared" si="6"/>
        <v>1.3067095360919976E-4</v>
      </c>
      <c r="V71" s="81">
        <v>1.8040125675280998E-2</v>
      </c>
      <c r="W71" s="81">
        <v>252.561759453934</v>
      </c>
      <c r="X71" s="38">
        <f t="shared" si="7"/>
        <v>1.5932908541295475E-6</v>
      </c>
      <c r="Y71" s="38">
        <f t="shared" si="8"/>
        <v>1.1151984985596112E-4</v>
      </c>
      <c r="Z71" s="81">
        <v>4.2316151106021799E-2</v>
      </c>
      <c r="AA71" s="81">
        <v>592.426115484305</v>
      </c>
      <c r="AB71" s="38">
        <f t="shared" si="9"/>
        <v>2.0398711494863811E-6</v>
      </c>
      <c r="AC71" s="38">
        <f t="shared" si="10"/>
        <v>1.2581040389066052E-4</v>
      </c>
    </row>
    <row r="72" spans="1:29" ht="14">
      <c r="A72" s="3" t="s">
        <v>565</v>
      </c>
      <c r="B72" s="81">
        <f t="shared" ref="B72:E72" si="71">AVERAGE(N72,R72,V72,Z72)</f>
        <v>3.5316309356161278E-5</v>
      </c>
      <c r="C72" s="81">
        <f t="shared" si="71"/>
        <v>0.52974464034241642</v>
      </c>
      <c r="D72" s="38">
        <f t="shared" si="71"/>
        <v>1.7951730461202283E-9</v>
      </c>
      <c r="E72" s="38">
        <f t="shared" si="71"/>
        <v>1.170206018132716E-7</v>
      </c>
      <c r="F72" s="38">
        <f t="shared" si="1"/>
        <v>4.3214551028784551E-9</v>
      </c>
      <c r="G72" s="38">
        <f t="shared" si="2"/>
        <v>1.1784391683895346E-7</v>
      </c>
      <c r="H72" s="2" t="s">
        <v>553</v>
      </c>
      <c r="I72" s="2" t="s">
        <v>553</v>
      </c>
      <c r="J72" s="2"/>
      <c r="L72" s="3" t="s">
        <v>566</v>
      </c>
      <c r="M72" s="81">
        <v>15000</v>
      </c>
      <c r="N72" s="81">
        <v>8.5282860220544306E-9</v>
      </c>
      <c r="O72" s="81">
        <v>1.2792429033081599E-4</v>
      </c>
      <c r="P72" s="38">
        <f t="shared" si="3"/>
        <v>9.239805579457778E-13</v>
      </c>
      <c r="Q72" s="38">
        <f t="shared" si="4"/>
        <v>6.7135567135653065E-11</v>
      </c>
      <c r="R72" s="81">
        <v>6.8304912231323102E-5</v>
      </c>
      <c r="S72" s="81">
        <v>1.02457368346984</v>
      </c>
      <c r="T72" s="38">
        <f t="shared" si="5"/>
        <v>3.6624876072255388E-9</v>
      </c>
      <c r="U72" s="38">
        <f t="shared" si="6"/>
        <v>2.3557778898883989E-7</v>
      </c>
      <c r="V72" s="81">
        <v>1.5029153546339001E-8</v>
      </c>
      <c r="W72" s="81">
        <v>2.25437303195085E-4</v>
      </c>
      <c r="X72" s="38">
        <f t="shared" si="7"/>
        <v>1.3273639730515678E-12</v>
      </c>
      <c r="Y72" s="38">
        <f t="shared" si="8"/>
        <v>9.9542916784416075E-11</v>
      </c>
      <c r="Z72" s="81">
        <v>7.2936767753753606E-5</v>
      </c>
      <c r="AA72" s="81">
        <v>1.0940515163063</v>
      </c>
      <c r="AB72" s="38">
        <f t="shared" si="9"/>
        <v>3.5159532327243774E-9</v>
      </c>
      <c r="AC72" s="38">
        <f t="shared" si="10"/>
        <v>2.3233793978032645E-7</v>
      </c>
    </row>
    <row r="73" spans="1:29" ht="14">
      <c r="A73" s="3" t="s">
        <v>567</v>
      </c>
      <c r="B73" s="81">
        <f t="shared" ref="B73:E73" si="72">AVERAGE(N73,R73,V73,Z73)</f>
        <v>1.7990318014451952E-2</v>
      </c>
      <c r="C73" s="81">
        <f t="shared" si="72"/>
        <v>323.82572426013576</v>
      </c>
      <c r="D73" s="38">
        <f t="shared" si="72"/>
        <v>1.3025824017448696E-6</v>
      </c>
      <c r="E73" s="38">
        <f t="shared" si="72"/>
        <v>1.1085921879590323E-4</v>
      </c>
      <c r="F73" s="38">
        <f t="shared" si="1"/>
        <v>3.135659472553737E-6</v>
      </c>
      <c r="G73" s="38">
        <f t="shared" si="2"/>
        <v>1.1163918453830867E-4</v>
      </c>
      <c r="H73" s="2" t="s">
        <v>483</v>
      </c>
      <c r="I73" s="2" t="s">
        <v>483</v>
      </c>
      <c r="J73" s="2"/>
      <c r="L73" s="3" t="s">
        <v>568</v>
      </c>
      <c r="M73" s="81">
        <v>18000</v>
      </c>
      <c r="N73" s="81">
        <v>1.30880236336171E-2</v>
      </c>
      <c r="O73" s="81">
        <v>235.58442540510899</v>
      </c>
      <c r="P73" s="38">
        <f t="shared" si="3"/>
        <v>1.417996458857495E-6</v>
      </c>
      <c r="Q73" s="38">
        <f t="shared" si="4"/>
        <v>1.2363636309412434E-4</v>
      </c>
      <c r="R73" s="81">
        <v>1.40906161050215E-2</v>
      </c>
      <c r="S73" s="81">
        <v>253.63108989038699</v>
      </c>
      <c r="T73" s="38">
        <f t="shared" si="5"/>
        <v>7.5553434119117646E-7</v>
      </c>
      <c r="U73" s="38">
        <f t="shared" si="6"/>
        <v>5.8316792963935131E-5</v>
      </c>
      <c r="V73" s="81">
        <v>2.1888481531198999E-2</v>
      </c>
      <c r="W73" s="81">
        <v>393.992667561583</v>
      </c>
      <c r="X73" s="38">
        <f t="shared" si="7"/>
        <v>1.9331748604295493E-6</v>
      </c>
      <c r="Y73" s="38">
        <f t="shared" si="8"/>
        <v>1.739693420960326E-4</v>
      </c>
      <c r="Z73" s="81">
        <v>2.2894150787970202E-2</v>
      </c>
      <c r="AA73" s="81">
        <v>412.09471418346402</v>
      </c>
      <c r="AB73" s="38">
        <f t="shared" si="9"/>
        <v>1.1036239465012571E-6</v>
      </c>
      <c r="AC73" s="38">
        <f t="shared" si="10"/>
        <v>8.7514377029520834E-5</v>
      </c>
    </row>
    <row r="74" spans="1:29" ht="14">
      <c r="A74" s="3" t="s">
        <v>569</v>
      </c>
      <c r="B74" s="81">
        <f t="shared" ref="B74:E74" si="73">AVERAGE(N74,R74,V74,Z74)</f>
        <v>6.1433738494427905E-9</v>
      </c>
      <c r="C74" s="81">
        <f t="shared" si="73"/>
        <v>1.1058072928997023E-4</v>
      </c>
      <c r="D74" s="38">
        <f t="shared" si="73"/>
        <v>4.3937364360077464E-13</v>
      </c>
      <c r="E74" s="38">
        <f t="shared" si="73"/>
        <v>3.7387944985575317E-11</v>
      </c>
      <c r="F74" s="38">
        <f t="shared" si="1"/>
        <v>1.0576882703940194E-12</v>
      </c>
      <c r="G74" s="38">
        <f t="shared" si="2"/>
        <v>3.7650993170330937E-11</v>
      </c>
      <c r="H74" s="2" t="s">
        <v>483</v>
      </c>
      <c r="I74" s="2" t="s">
        <v>483</v>
      </c>
      <c r="J74" s="2"/>
      <c r="L74" s="3" t="s">
        <v>570</v>
      </c>
      <c r="M74" s="81">
        <v>18000</v>
      </c>
      <c r="N74" s="81">
        <v>3.94522854546999E-9</v>
      </c>
      <c r="O74" s="81">
        <v>7.1014113818459806E-5</v>
      </c>
      <c r="P74" s="38">
        <f t="shared" si="3"/>
        <v>4.2743811162525117E-13</v>
      </c>
      <c r="Q74" s="38">
        <f t="shared" si="4"/>
        <v>3.7268706306746217E-11</v>
      </c>
      <c r="R74" s="81">
        <v>4.5295002257482202E-9</v>
      </c>
      <c r="S74" s="81">
        <v>8.1531004063468098E-5</v>
      </c>
      <c r="T74" s="38">
        <f t="shared" si="5"/>
        <v>2.4287035736971029E-13</v>
      </c>
      <c r="U74" s="38">
        <f t="shared" si="6"/>
        <v>1.8746229755058238E-11</v>
      </c>
      <c r="V74" s="81">
        <v>7.7563632611914502E-9</v>
      </c>
      <c r="W74" s="81">
        <v>1.3961453870144601E-4</v>
      </c>
      <c r="X74" s="38">
        <f t="shared" si="7"/>
        <v>6.8503639430273943E-13</v>
      </c>
      <c r="Y74" s="38">
        <f t="shared" si="8"/>
        <v>6.1647465662886237E-11</v>
      </c>
      <c r="Z74" s="81">
        <v>8.3424033653614999E-9</v>
      </c>
      <c r="AA74" s="81">
        <v>1.5016326057650699E-4</v>
      </c>
      <c r="AB74" s="38">
        <f t="shared" si="9"/>
        <v>4.0214971110539756E-13</v>
      </c>
      <c r="AC74" s="38">
        <f t="shared" si="10"/>
        <v>3.188937821761058E-11</v>
      </c>
    </row>
    <row r="75" spans="1:29" ht="14">
      <c r="A75" s="3" t="s">
        <v>571</v>
      </c>
      <c r="B75" s="81">
        <f t="shared" ref="B75:E75" si="74">AVERAGE(N75,R75,V75,Z75)</f>
        <v>34.254746703019372</v>
      </c>
      <c r="C75" s="81">
        <f t="shared" si="74"/>
        <v>890623.41427850374</v>
      </c>
      <c r="D75" s="38">
        <f t="shared" si="74"/>
        <v>2.1728631810821533E-3</v>
      </c>
      <c r="E75" s="38">
        <f t="shared" si="74"/>
        <v>0.25869751191385587</v>
      </c>
      <c r="F75" s="38">
        <f t="shared" si="1"/>
        <v>5.2306548953806606E-3</v>
      </c>
      <c r="G75" s="38">
        <f t="shared" si="2"/>
        <v>0.26051761491593284</v>
      </c>
      <c r="H75" s="2" t="s">
        <v>571</v>
      </c>
      <c r="I75" s="2" t="s">
        <v>571</v>
      </c>
      <c r="J75" s="2"/>
      <c r="L75" s="3" t="s">
        <v>572</v>
      </c>
      <c r="M75" s="81">
        <v>26000</v>
      </c>
      <c r="N75" s="81">
        <v>17.743106396699801</v>
      </c>
      <c r="O75" s="81">
        <v>461320.76631419599</v>
      </c>
      <c r="P75" s="38">
        <f t="shared" si="3"/>
        <v>1.9223423447241117E-3</v>
      </c>
      <c r="Q75" s="38">
        <f t="shared" si="4"/>
        <v>0.24210438219251107</v>
      </c>
      <c r="R75" s="81">
        <v>49.822261071975397</v>
      </c>
      <c r="S75" s="81">
        <v>1295378.7878713601</v>
      </c>
      <c r="T75" s="38">
        <f t="shared" si="5"/>
        <v>2.6714537473102417E-3</v>
      </c>
      <c r="U75" s="38">
        <f t="shared" si="6"/>
        <v>0.29784336224243985</v>
      </c>
      <c r="V75" s="81">
        <v>18.687102807342601</v>
      </c>
      <c r="W75" s="81">
        <v>485864.67299090902</v>
      </c>
      <c r="X75" s="38">
        <f t="shared" si="7"/>
        <v>1.6504314065790889E-3</v>
      </c>
      <c r="Y75" s="38">
        <f t="shared" si="8"/>
        <v>0.21453586441356981</v>
      </c>
      <c r="Z75" s="81">
        <v>50.766516536059697</v>
      </c>
      <c r="AA75" s="81">
        <v>1319929.4299375501</v>
      </c>
      <c r="AB75" s="38">
        <f t="shared" si="9"/>
        <v>2.4472252257151704E-3</v>
      </c>
      <c r="AC75" s="38">
        <f t="shared" si="10"/>
        <v>0.28030643880690281</v>
      </c>
    </row>
    <row r="76" spans="1:29" ht="14">
      <c r="A76" s="3" t="s">
        <v>573</v>
      </c>
      <c r="B76" s="81">
        <f t="shared" ref="B76:E76" si="75">AVERAGE(N76,R76,V76,Z76)</f>
        <v>1.3088260961269609E-3</v>
      </c>
      <c r="C76" s="81">
        <f t="shared" si="75"/>
        <v>96.853131113394952</v>
      </c>
      <c r="D76" s="38">
        <f t="shared" si="75"/>
        <v>8.408289111931956E-8</v>
      </c>
      <c r="E76" s="38">
        <f t="shared" si="75"/>
        <v>2.8579931210756782E-5</v>
      </c>
      <c r="F76" s="38">
        <f t="shared" si="1"/>
        <v>2.0240970065680324E-7</v>
      </c>
      <c r="G76" s="38">
        <f t="shared" si="2"/>
        <v>2.8781009366518765E-5</v>
      </c>
      <c r="H76" s="2" t="s">
        <v>553</v>
      </c>
      <c r="I76" s="2" t="s">
        <v>553</v>
      </c>
      <c r="J76" s="2"/>
      <c r="L76" s="3" t="s">
        <v>574</v>
      </c>
      <c r="M76" s="81">
        <v>74000</v>
      </c>
      <c r="N76" s="81">
        <v>7.1081275909947003E-4</v>
      </c>
      <c r="O76" s="81">
        <v>52.600144173360803</v>
      </c>
      <c r="P76" s="38">
        <f t="shared" si="3"/>
        <v>7.7011625553981019E-8</v>
      </c>
      <c r="Q76" s="38">
        <f t="shared" si="4"/>
        <v>2.760492554903798E-5</v>
      </c>
      <c r="R76" s="81">
        <v>1.83233271676837E-3</v>
      </c>
      <c r="S76" s="81">
        <v>135.592621040859</v>
      </c>
      <c r="T76" s="38">
        <f t="shared" si="5"/>
        <v>9.8249095830044731E-8</v>
      </c>
      <c r="U76" s="38">
        <f t="shared" si="6"/>
        <v>3.1176488702920601E-5</v>
      </c>
      <c r="V76" s="81">
        <v>7.80130482696824E-4</v>
      </c>
      <c r="W76" s="81">
        <v>57.729655719565002</v>
      </c>
      <c r="X76" s="38">
        <f t="shared" si="7"/>
        <v>6.8900560089316443E-8</v>
      </c>
      <c r="Y76" s="38">
        <f t="shared" si="8"/>
        <v>2.5490804910457854E-5</v>
      </c>
      <c r="Z76" s="81">
        <v>1.9120284259431799E-3</v>
      </c>
      <c r="AA76" s="81">
        <v>141.49010351979501</v>
      </c>
      <c r="AB76" s="38">
        <f t="shared" si="9"/>
        <v>9.2170283003936035E-8</v>
      </c>
      <c r="AC76" s="38">
        <f t="shared" si="10"/>
        <v>3.0047505680610689E-5</v>
      </c>
    </row>
    <row r="77" spans="1:29" ht="14">
      <c r="A77" s="3" t="s">
        <v>575</v>
      </c>
      <c r="B77" s="81">
        <f t="shared" ref="B77:E77" si="76">AVERAGE(N77,R77,V77,Z77)</f>
        <v>1.1136789392623796E-3</v>
      </c>
      <c r="C77" s="81">
        <f t="shared" si="76"/>
        <v>84.63959938394062</v>
      </c>
      <c r="D77" s="38">
        <f t="shared" si="76"/>
        <v>7.1969113133471045E-8</v>
      </c>
      <c r="E77" s="38">
        <f t="shared" si="76"/>
        <v>2.5153744907967355E-5</v>
      </c>
      <c r="F77" s="38">
        <f t="shared" si="1"/>
        <v>1.7324864133429393E-7</v>
      </c>
      <c r="G77" s="38">
        <f t="shared" si="2"/>
        <v>2.5330717644511165E-5</v>
      </c>
      <c r="H77" s="2" t="s">
        <v>553</v>
      </c>
      <c r="I77" s="2" t="s">
        <v>553</v>
      </c>
      <c r="J77" s="2"/>
      <c r="L77" s="3" t="s">
        <v>576</v>
      </c>
      <c r="M77" s="81">
        <v>76000</v>
      </c>
      <c r="N77" s="81">
        <v>6.2195353919024796E-4</v>
      </c>
      <c r="O77" s="81">
        <v>47.268468978458799</v>
      </c>
      <c r="P77" s="38">
        <f t="shared" si="3"/>
        <v>6.7384346241581619E-8</v>
      </c>
      <c r="Q77" s="38">
        <f t="shared" si="4"/>
        <v>2.4806824914145394E-5</v>
      </c>
      <c r="R77" s="81">
        <v>1.54228241078971E-3</v>
      </c>
      <c r="S77" s="81">
        <v>117.213463220018</v>
      </c>
      <c r="T77" s="38">
        <f t="shared" si="5"/>
        <v>8.2696690938267888E-8</v>
      </c>
      <c r="U77" s="38">
        <f t="shared" si="6"/>
        <v>2.6950612679785247E-5</v>
      </c>
      <c r="V77" s="81">
        <v>6.8260074013001002E-4</v>
      </c>
      <c r="W77" s="81">
        <v>51.877656249880701</v>
      </c>
      <c r="X77" s="38">
        <f t="shared" si="7"/>
        <v>6.0286803753337183E-8</v>
      </c>
      <c r="Y77" s="38">
        <f t="shared" si="8"/>
        <v>2.2906826624800596E-5</v>
      </c>
      <c r="Z77" s="81">
        <v>1.60787906693955E-3</v>
      </c>
      <c r="AA77" s="81">
        <v>122.198809087405</v>
      </c>
      <c r="AB77" s="38">
        <f t="shared" si="9"/>
        <v>7.7508611600697503E-8</v>
      </c>
      <c r="AC77" s="38">
        <f t="shared" si="10"/>
        <v>2.5950715413138189E-5</v>
      </c>
    </row>
    <row r="78" spans="1:29" ht="14">
      <c r="A78" s="3" t="s">
        <v>577</v>
      </c>
      <c r="B78" s="81">
        <f t="shared" ref="B78:E78" si="77">AVERAGE(N78,R78,V78,Z78)</f>
        <v>9.6317207333983403E-6</v>
      </c>
      <c r="C78" s="81">
        <f t="shared" si="77"/>
        <v>0.76090593793846883</v>
      </c>
      <c r="D78" s="38">
        <f t="shared" si="77"/>
        <v>4.8959264893484426E-10</v>
      </c>
      <c r="E78" s="38">
        <f t="shared" si="77"/>
        <v>1.6808413714735629E-7</v>
      </c>
      <c r="F78" s="38">
        <f t="shared" si="1"/>
        <v>1.1785786644044589E-9</v>
      </c>
      <c r="G78" s="38">
        <f t="shared" si="2"/>
        <v>1.6926671691149912E-7</v>
      </c>
      <c r="H78" s="2" t="s">
        <v>553</v>
      </c>
      <c r="I78" s="2" t="s">
        <v>553</v>
      </c>
      <c r="J78" s="2"/>
      <c r="L78" s="3" t="s">
        <v>578</v>
      </c>
      <c r="M78" s="81">
        <v>79000</v>
      </c>
      <c r="N78" s="81">
        <v>2.3258961259822001E-9</v>
      </c>
      <c r="O78" s="81">
        <v>1.8374579395259399E-4</v>
      </c>
      <c r="P78" s="38">
        <f t="shared" si="3"/>
        <v>2.5199469092046832E-13</v>
      </c>
      <c r="Q78" s="38">
        <f t="shared" si="4"/>
        <v>9.6431084775981973E-11</v>
      </c>
      <c r="R78" s="81">
        <v>1.8628612426639998E-5</v>
      </c>
      <c r="S78" s="81">
        <v>1.4716603817045599</v>
      </c>
      <c r="T78" s="38">
        <f t="shared" si="5"/>
        <v>9.9886025651152595E-10</v>
      </c>
      <c r="U78" s="38">
        <f t="shared" si="6"/>
        <v>3.3837536963698304E-7</v>
      </c>
      <c r="V78" s="81">
        <v>4.0988599421870202E-9</v>
      </c>
      <c r="W78" s="81">
        <v>3.2380993543277501E-4</v>
      </c>
      <c r="X78" s="38">
        <f t="shared" si="7"/>
        <v>3.6200834605010705E-13</v>
      </c>
      <c r="Y78" s="38">
        <f t="shared" si="8"/>
        <v>1.4297982188359772E-10</v>
      </c>
      <c r="Z78" s="81">
        <v>1.9891845750885199E-5</v>
      </c>
      <c r="AA78" s="81">
        <v>1.57145581431993</v>
      </c>
      <c r="AB78" s="38">
        <f t="shared" si="9"/>
        <v>9.5889633619088032E-10</v>
      </c>
      <c r="AC78" s="38">
        <f t="shared" si="10"/>
        <v>3.3372176804578251E-7</v>
      </c>
    </row>
    <row r="79" spans="1:29" ht="14">
      <c r="A79" s="3" t="s">
        <v>579</v>
      </c>
      <c r="B79" s="81">
        <f t="shared" ref="B79:E79" si="78">AVERAGE(N79,R79,V79,Z79)</f>
        <v>4.6934406695433347E-4</v>
      </c>
      <c r="C79" s="81">
        <f t="shared" si="78"/>
        <v>51.627847364976674</v>
      </c>
      <c r="D79" s="38">
        <f t="shared" si="78"/>
        <v>3.2608398540096408E-8</v>
      </c>
      <c r="E79" s="38">
        <f t="shared" si="78"/>
        <v>1.678365017783291E-5</v>
      </c>
      <c r="F79" s="38">
        <f t="shared" si="1"/>
        <v>7.8497017639800527E-8</v>
      </c>
      <c r="G79" s="38">
        <f t="shared" si="2"/>
        <v>1.6901733926874362E-5</v>
      </c>
      <c r="H79" s="2" t="s">
        <v>445</v>
      </c>
      <c r="I79" s="2" t="s">
        <v>445</v>
      </c>
      <c r="J79" s="2"/>
      <c r="L79" s="3" t="s">
        <v>580</v>
      </c>
      <c r="M79" s="81">
        <v>110000</v>
      </c>
      <c r="N79" s="81">
        <v>3.2054040091961702E-4</v>
      </c>
      <c r="O79" s="81">
        <v>35.259444101157797</v>
      </c>
      <c r="P79" s="38">
        <f t="shared" si="3"/>
        <v>3.4728326151345957E-8</v>
      </c>
      <c r="Q79" s="38">
        <f t="shared" si="4"/>
        <v>1.8504404210471153E-5</v>
      </c>
      <c r="R79" s="81">
        <v>4.8981462101947205E-4</v>
      </c>
      <c r="S79" s="81">
        <v>53.879608312141897</v>
      </c>
      <c r="T79" s="38">
        <f t="shared" si="5"/>
        <v>2.6263703747195937E-8</v>
      </c>
      <c r="U79" s="38">
        <f t="shared" si="6"/>
        <v>1.2388410128565185E-5</v>
      </c>
      <c r="V79" s="81">
        <v>4.4885508331056202E-4</v>
      </c>
      <c r="W79" s="81">
        <v>49.3740591641618</v>
      </c>
      <c r="X79" s="38">
        <f t="shared" si="7"/>
        <v>3.9642556373551149E-8</v>
      </c>
      <c r="Y79" s="38">
        <f t="shared" si="8"/>
        <v>2.1801351386970228E-5</v>
      </c>
      <c r="Z79" s="81">
        <v>6.1816616256768302E-4</v>
      </c>
      <c r="AA79" s="81">
        <v>67.998277882445194</v>
      </c>
      <c r="AB79" s="38">
        <f t="shared" si="9"/>
        <v>2.9799007888292587E-8</v>
      </c>
      <c r="AC79" s="38">
        <f t="shared" si="10"/>
        <v>1.4440434985325087E-5</v>
      </c>
    </row>
    <row r="80" spans="1:29" ht="14">
      <c r="A80" s="3" t="s">
        <v>581</v>
      </c>
      <c r="B80" s="81">
        <f t="shared" ref="B80:E80" si="79">AVERAGE(N80,R80,V80,Z80)</f>
        <v>7.8771944270916786E-3</v>
      </c>
      <c r="C80" s="81">
        <f t="shared" si="79"/>
        <v>1339.1230526055892</v>
      </c>
      <c r="D80" s="38">
        <f t="shared" si="79"/>
        <v>5.3751176259695201E-7</v>
      </c>
      <c r="E80" s="38">
        <f t="shared" si="79"/>
        <v>4.3762237143843018E-4</v>
      </c>
      <c r="F80" s="38">
        <f t="shared" si="1"/>
        <v>1.2939326124308485E-6</v>
      </c>
      <c r="G80" s="38">
        <f t="shared" si="2"/>
        <v>4.4070132564304719E-4</v>
      </c>
      <c r="H80" s="2" t="s">
        <v>445</v>
      </c>
      <c r="I80" s="2" t="s">
        <v>445</v>
      </c>
      <c r="J80" s="2"/>
      <c r="L80" s="3" t="s">
        <v>582</v>
      </c>
      <c r="M80" s="81">
        <v>170000</v>
      </c>
      <c r="N80" s="81">
        <v>5.8386622331045097E-6</v>
      </c>
      <c r="O80" s="81">
        <v>0.99257257962776702</v>
      </c>
      <c r="P80" s="38">
        <f t="shared" si="3"/>
        <v>6.3257850098480364E-10</v>
      </c>
      <c r="Q80" s="38">
        <f t="shared" si="4"/>
        <v>5.2090906960893234E-7</v>
      </c>
      <c r="R80" s="81">
        <v>1.89295447361128E-5</v>
      </c>
      <c r="S80" s="81">
        <v>3.2180226051391898</v>
      </c>
      <c r="T80" s="38">
        <f t="shared" si="5"/>
        <v>1.0149961509597215E-9</v>
      </c>
      <c r="U80" s="38">
        <f t="shared" si="6"/>
        <v>7.3991228006893522E-7</v>
      </c>
      <c r="V80" s="81">
        <v>1.5722705068558201E-2</v>
      </c>
      <c r="W80" s="81">
        <v>2672.8598616549002</v>
      </c>
      <c r="X80" s="38">
        <f t="shared" si="7"/>
        <v>1.3886179419600889E-6</v>
      </c>
      <c r="Y80" s="38">
        <f t="shared" si="8"/>
        <v>1.1802140240955489E-3</v>
      </c>
      <c r="Z80" s="81">
        <v>1.5761304432839299E-2</v>
      </c>
      <c r="AA80" s="81">
        <v>2679.4217535826901</v>
      </c>
      <c r="AB80" s="38">
        <f t="shared" si="9"/>
        <v>7.5978153377577486E-7</v>
      </c>
      <c r="AC80" s="38">
        <f t="shared" si="10"/>
        <v>5.690146403084939E-4</v>
      </c>
    </row>
    <row r="81" spans="1:29" ht="14">
      <c r="A81" s="3" t="s">
        <v>583</v>
      </c>
      <c r="B81" s="81">
        <f t="shared" ref="B81:E81" si="80">AVERAGE(N81,R81,V81,Z81)</f>
        <v>1.6056403081170375E-3</v>
      </c>
      <c r="C81" s="81">
        <f t="shared" si="80"/>
        <v>353.240867785749</v>
      </c>
      <c r="D81" s="38">
        <f t="shared" si="80"/>
        <v>1.2220953217100799E-7</v>
      </c>
      <c r="E81" s="38">
        <f t="shared" si="80"/>
        <v>1.2773674979583031E-4</v>
      </c>
      <c r="F81" s="38">
        <f t="shared" si="1"/>
        <v>2.9419058377808395E-7</v>
      </c>
      <c r="G81" s="38">
        <f t="shared" si="2"/>
        <v>1.2863545979910381E-4</v>
      </c>
      <c r="H81" s="2" t="s">
        <v>445</v>
      </c>
      <c r="I81" s="2" t="s">
        <v>445</v>
      </c>
      <c r="J81" s="2"/>
      <c r="L81" s="3" t="s">
        <v>584</v>
      </c>
      <c r="M81" s="81">
        <v>220000</v>
      </c>
      <c r="N81" s="81">
        <v>1.5632949988101099E-3</v>
      </c>
      <c r="O81" s="81">
        <v>343.92489973822398</v>
      </c>
      <c r="P81" s="38">
        <f t="shared" si="3"/>
        <v>1.693721553778805E-7</v>
      </c>
      <c r="Q81" s="38">
        <f t="shared" si="4"/>
        <v>1.8049420587980527E-4</v>
      </c>
      <c r="R81" s="81">
        <v>1.25629551436021E-3</v>
      </c>
      <c r="S81" s="81">
        <v>276.38501315924702</v>
      </c>
      <c r="T81" s="38">
        <f t="shared" si="5"/>
        <v>6.7362164770446932E-8</v>
      </c>
      <c r="U81" s="38">
        <f t="shared" si="6"/>
        <v>6.3548548396444787E-5</v>
      </c>
      <c r="V81" s="81">
        <v>1.9549594302006902E-3</v>
      </c>
      <c r="W81" s="81">
        <v>430.09107464415303</v>
      </c>
      <c r="X81" s="38">
        <f t="shared" si="7"/>
        <v>1.7266060316869458E-7</v>
      </c>
      <c r="Y81" s="38">
        <f t="shared" si="8"/>
        <v>1.8990876596840166E-4</v>
      </c>
      <c r="Z81" s="81">
        <v>1.6480112890971399E-3</v>
      </c>
      <c r="AA81" s="81">
        <v>362.56248360137198</v>
      </c>
      <c r="AB81" s="38">
        <f t="shared" si="9"/>
        <v>7.9443205367009961E-8</v>
      </c>
      <c r="AC81" s="38">
        <f t="shared" si="10"/>
        <v>7.6995478938669503E-5</v>
      </c>
    </row>
    <row r="82" spans="1:29" ht="14">
      <c r="A82" s="3" t="s">
        <v>585</v>
      </c>
      <c r="B82" s="81">
        <f t="shared" ref="B82:E82" si="81">AVERAGE(N82,R82,V82,Z82)</f>
        <v>3.222301616753695E-4</v>
      </c>
      <c r="C82" s="81">
        <f t="shared" si="81"/>
        <v>83.779842035595877</v>
      </c>
      <c r="D82" s="38">
        <f t="shared" si="81"/>
        <v>2.0767768315462628E-8</v>
      </c>
      <c r="E82" s="38">
        <f t="shared" si="81"/>
        <v>2.4818181757057022E-5</v>
      </c>
      <c r="F82" s="38">
        <f t="shared" si="1"/>
        <v>4.9993497037077748E-8</v>
      </c>
      <c r="G82" s="38">
        <f t="shared" si="2"/>
        <v>2.4992793591503863E-5</v>
      </c>
      <c r="H82" s="2" t="s">
        <v>553</v>
      </c>
      <c r="I82" s="2" t="s">
        <v>553</v>
      </c>
      <c r="J82" s="2"/>
      <c r="L82" s="3" t="s">
        <v>586</v>
      </c>
      <c r="M82" s="81">
        <v>260000</v>
      </c>
      <c r="N82" s="81">
        <v>1.77702003487007E-4</v>
      </c>
      <c r="O82" s="81">
        <v>46.202520906621999</v>
      </c>
      <c r="P82" s="38">
        <f t="shared" si="3"/>
        <v>1.925277786244484E-8</v>
      </c>
      <c r="Q82" s="38">
        <f t="shared" si="4"/>
        <v>2.4247407870245011E-5</v>
      </c>
      <c r="R82" s="81">
        <v>4.4845843255397202E-4</v>
      </c>
      <c r="S82" s="81">
        <v>116.599192464032</v>
      </c>
      <c r="T82" s="38">
        <f t="shared" si="5"/>
        <v>2.4046198112696075E-8</v>
      </c>
      <c r="U82" s="38">
        <f t="shared" si="6"/>
        <v>2.6809374866565591E-5</v>
      </c>
      <c r="V82" s="81">
        <v>1.95030519858994E-4</v>
      </c>
      <c r="W82" s="81">
        <v>50.707935163338497</v>
      </c>
      <c r="X82" s="38">
        <f t="shared" si="7"/>
        <v>1.7224954479848766E-8</v>
      </c>
      <c r="Y82" s="38">
        <f t="shared" si="8"/>
        <v>2.2390330698312834E-5</v>
      </c>
      <c r="Z82" s="81">
        <v>4.6772969080150498E-4</v>
      </c>
      <c r="AA82" s="81">
        <v>121.609719608391</v>
      </c>
      <c r="AB82" s="38">
        <f t="shared" si="9"/>
        <v>2.2547142806860834E-8</v>
      </c>
      <c r="AC82" s="38">
        <f t="shared" si="10"/>
        <v>2.5825613593104644E-5</v>
      </c>
    </row>
    <row r="83" spans="1:29" ht="14">
      <c r="A83" s="3" t="s">
        <v>587</v>
      </c>
      <c r="B83" s="81">
        <f t="shared" ref="B83:E83" si="82">AVERAGE(N83,R83,V83,Z83)</f>
        <v>0.17262964958216451</v>
      </c>
      <c r="C83" s="81">
        <f t="shared" si="82"/>
        <v>60420.377353757649</v>
      </c>
      <c r="D83" s="38">
        <f t="shared" si="82"/>
        <v>1.20356875729785E-5</v>
      </c>
      <c r="E83" s="38">
        <f t="shared" si="82"/>
        <v>1.9790355707809126E-2</v>
      </c>
      <c r="F83" s="38">
        <f t="shared" si="1"/>
        <v>2.897307509786183E-5</v>
      </c>
      <c r="G83" s="38">
        <f t="shared" si="2"/>
        <v>1.9929593559651897E-2</v>
      </c>
      <c r="H83" s="2" t="s">
        <v>478</v>
      </c>
      <c r="I83" s="2" t="s">
        <v>587</v>
      </c>
      <c r="J83" s="2"/>
      <c r="L83" s="3" t="s">
        <v>588</v>
      </c>
      <c r="M83" s="81">
        <v>350000</v>
      </c>
      <c r="N83" s="81">
        <v>0.105540838692865</v>
      </c>
      <c r="O83" s="81">
        <v>36939.293542502899</v>
      </c>
      <c r="P83" s="38">
        <f t="shared" si="3"/>
        <v>1.1434616846728027E-5</v>
      </c>
      <c r="Q83" s="38">
        <f t="shared" si="4"/>
        <v>1.9386001010074785E-2</v>
      </c>
      <c r="R83" s="81">
        <v>0.15390152475057101</v>
      </c>
      <c r="S83" s="81">
        <v>53865.533662699803</v>
      </c>
      <c r="T83" s="38">
        <f t="shared" si="5"/>
        <v>8.252150668507818E-6</v>
      </c>
      <c r="U83" s="38">
        <f t="shared" si="6"/>
        <v>1.238517397791067E-2</v>
      </c>
      <c r="V83" s="81">
        <v>0.19134916599952201</v>
      </c>
      <c r="W83" s="81">
        <v>66972.2080998327</v>
      </c>
      <c r="X83" s="38">
        <f t="shared" si="7"/>
        <v>1.6899819969109286E-5</v>
      </c>
      <c r="Y83" s="38">
        <f t="shared" si="8"/>
        <v>2.957189801006983E-2</v>
      </c>
      <c r="Z83" s="81">
        <v>0.2397270688857</v>
      </c>
      <c r="AA83" s="81">
        <v>83904.474109995193</v>
      </c>
      <c r="AB83" s="38">
        <f t="shared" si="9"/>
        <v>1.1556162807568877E-5</v>
      </c>
      <c r="AC83" s="38">
        <f t="shared" si="10"/>
        <v>1.7818349833181219E-2</v>
      </c>
    </row>
    <row r="84" spans="1:29" ht="14">
      <c r="A84" s="3" t="s">
        <v>589</v>
      </c>
      <c r="B84" s="81">
        <f t="shared" ref="B84:E84" si="83">AVERAGE(N84,R84,V84,Z84)</f>
        <v>8.3604497449682824E-7</v>
      </c>
      <c r="C84" s="81">
        <f t="shared" si="83"/>
        <v>0.3344179897987325</v>
      </c>
      <c r="D84" s="38">
        <f t="shared" si="83"/>
        <v>5.1883080367542493E-11</v>
      </c>
      <c r="E84" s="38">
        <f t="shared" si="83"/>
        <v>9.4606462303433515E-8</v>
      </c>
      <c r="F84" s="38">
        <f t="shared" si="1"/>
        <v>1.2489626161218191E-10</v>
      </c>
      <c r="G84" s="38">
        <f t="shared" si="2"/>
        <v>9.5272079474547631E-8</v>
      </c>
      <c r="H84" s="2" t="s">
        <v>483</v>
      </c>
      <c r="I84" s="2" t="s">
        <v>483</v>
      </c>
      <c r="J84" s="2"/>
      <c r="L84" s="3" t="s">
        <v>590</v>
      </c>
      <c r="M84" s="81">
        <v>400000</v>
      </c>
      <c r="N84" s="81">
        <v>3.8287883160306299E-7</v>
      </c>
      <c r="O84" s="81">
        <v>0.153151532641225</v>
      </c>
      <c r="P84" s="38">
        <f t="shared" si="3"/>
        <v>4.148226214920067E-11</v>
      </c>
      <c r="Q84" s="38">
        <f t="shared" si="4"/>
        <v>8.0375001299391902E-8</v>
      </c>
      <c r="R84" s="81">
        <v>1.26152936457374E-6</v>
      </c>
      <c r="S84" s="81">
        <v>0.50461174582949797</v>
      </c>
      <c r="T84" s="38">
        <f t="shared" si="5"/>
        <v>6.7642802149501173E-11</v>
      </c>
      <c r="U84" s="38">
        <f t="shared" si="6"/>
        <v>1.1602417795636351E-7</v>
      </c>
      <c r="V84" s="81">
        <v>4.1055507364148999E-7</v>
      </c>
      <c r="W84" s="81">
        <v>0.164222029456596</v>
      </c>
      <c r="X84" s="38">
        <f t="shared" si="7"/>
        <v>3.6259927215794176E-11</v>
      </c>
      <c r="Y84" s="38">
        <f t="shared" si="8"/>
        <v>7.2513020607861245E-8</v>
      </c>
      <c r="Z84" s="81">
        <v>1.28921662816902E-6</v>
      </c>
      <c r="AA84" s="81">
        <v>0.51568665126761104</v>
      </c>
      <c r="AB84" s="38">
        <f t="shared" si="9"/>
        <v>6.2147329955673973E-11</v>
      </c>
      <c r="AC84" s="38">
        <f t="shared" si="10"/>
        <v>1.0951364935011742E-7</v>
      </c>
    </row>
    <row r="85" spans="1:29" ht="14">
      <c r="A85" s="3" t="s">
        <v>591</v>
      </c>
      <c r="B85" s="81">
        <f t="shared" ref="B85:E85" si="84">AVERAGE(N85,R85,V85,Z85)</f>
        <v>5.7790324400283976E-6</v>
      </c>
      <c r="C85" s="81">
        <f t="shared" si="84"/>
        <v>2.7161452468133604</v>
      </c>
      <c r="D85" s="38">
        <f t="shared" si="84"/>
        <v>2.9375558936017334E-10</v>
      </c>
      <c r="E85" s="38">
        <f t="shared" si="84"/>
        <v>5.9999654019527786E-7</v>
      </c>
      <c r="F85" s="38">
        <f t="shared" si="1"/>
        <v>7.0714719864091032E-10</v>
      </c>
      <c r="G85" s="38">
        <f t="shared" si="2"/>
        <v>6.0421790087233329E-7</v>
      </c>
      <c r="H85" s="2" t="s">
        <v>553</v>
      </c>
      <c r="I85" s="2" t="s">
        <v>553</v>
      </c>
      <c r="J85" s="2"/>
      <c r="L85" s="3" t="s">
        <v>592</v>
      </c>
      <c r="M85" s="81">
        <v>470000</v>
      </c>
      <c r="N85" s="81">
        <v>1.3955376695202899E-9</v>
      </c>
      <c r="O85" s="81">
        <v>6.5590270467453897E-4</v>
      </c>
      <c r="P85" s="38">
        <f t="shared" si="3"/>
        <v>1.5119681389474372E-13</v>
      </c>
      <c r="Q85" s="38">
        <f t="shared" si="4"/>
        <v>3.4422235175399198E-10</v>
      </c>
      <c r="R85" s="81">
        <v>1.11771674559745E-5</v>
      </c>
      <c r="S85" s="81">
        <v>5.2532687043080601</v>
      </c>
      <c r="T85" s="38">
        <f t="shared" si="5"/>
        <v>5.9931615390640621E-10</v>
      </c>
      <c r="U85" s="38">
        <f t="shared" si="6"/>
        <v>1.2078715726272018E-6</v>
      </c>
      <c r="V85" s="81">
        <v>2.4593159535690202E-9</v>
      </c>
      <c r="W85" s="81">
        <v>1.15587849817744E-3</v>
      </c>
      <c r="X85" s="38">
        <f t="shared" si="7"/>
        <v>2.1720500659291401E-13</v>
      </c>
      <c r="Y85" s="38">
        <f t="shared" si="8"/>
        <v>5.1038366555247749E-10</v>
      </c>
      <c r="Z85" s="81">
        <v>1.1935107450516001E-5</v>
      </c>
      <c r="AA85" s="81">
        <v>5.6095005017425299</v>
      </c>
      <c r="AB85" s="38">
        <f t="shared" si="9"/>
        <v>5.7533780171379945E-10</v>
      </c>
      <c r="AC85" s="38">
        <f t="shared" si="10"/>
        <v>1.1912599821366034E-6</v>
      </c>
    </row>
    <row r="86" spans="1:29" ht="14">
      <c r="A86" s="3" t="s">
        <v>593</v>
      </c>
      <c r="B86" s="81">
        <f t="shared" ref="B86:E86" si="85">AVERAGE(N86,R86,V86,Z86)</f>
        <v>4.2732902586303049E-9</v>
      </c>
      <c r="C86" s="81">
        <f t="shared" si="85"/>
        <v>5.982606362082428E-3</v>
      </c>
      <c r="D86" s="38">
        <f t="shared" si="85"/>
        <v>2.6656840080377073E-13</v>
      </c>
      <c r="E86" s="38">
        <f t="shared" si="85"/>
        <v>1.7034815114827042E-9</v>
      </c>
      <c r="F86" s="38">
        <f t="shared" si="1"/>
        <v>6.4170046358998963E-13</v>
      </c>
      <c r="G86" s="38">
        <f t="shared" si="2"/>
        <v>1.7154665970372368E-9</v>
      </c>
      <c r="H86" s="2" t="s">
        <v>483</v>
      </c>
      <c r="I86" s="2" t="s">
        <v>483</v>
      </c>
      <c r="J86" s="2"/>
      <c r="L86" s="3" t="s">
        <v>594</v>
      </c>
      <c r="M86" s="81">
        <v>1400000</v>
      </c>
      <c r="N86" s="81">
        <v>1.9966223964405302E-9</v>
      </c>
      <c r="O86" s="81">
        <v>2.7952713550167502E-3</v>
      </c>
      <c r="P86" s="38">
        <f t="shared" si="3"/>
        <v>2.1632016926957409E-13</v>
      </c>
      <c r="Q86" s="38">
        <f t="shared" si="4"/>
        <v>1.4669780636014876E-9</v>
      </c>
      <c r="R86" s="81">
        <v>6.3579172272692098E-9</v>
      </c>
      <c r="S86" s="81">
        <v>8.9010841181768902E-3</v>
      </c>
      <c r="T86" s="38">
        <f t="shared" si="5"/>
        <v>3.4090949379715179E-13</v>
      </c>
      <c r="U86" s="38">
        <f t="shared" si="6"/>
        <v>2.046605090482509E-9</v>
      </c>
      <c r="V86" s="81">
        <v>2.1886330294670001E-9</v>
      </c>
      <c r="W86" s="81">
        <v>3.0640862412538001E-3</v>
      </c>
      <c r="X86" s="38">
        <f t="shared" si="7"/>
        <v>1.9329848647749506E-13</v>
      </c>
      <c r="Y86" s="38">
        <f t="shared" si="8"/>
        <v>1.3529618985437324E-9</v>
      </c>
      <c r="Z86" s="81">
        <v>6.5499883813444802E-9</v>
      </c>
      <c r="AA86" s="81">
        <v>9.1699837338822705E-3</v>
      </c>
      <c r="AB86" s="38">
        <f t="shared" si="9"/>
        <v>3.1574545367086205E-13</v>
      </c>
      <c r="AC86" s="38">
        <f t="shared" si="10"/>
        <v>1.9473809933030877E-9</v>
      </c>
    </row>
    <row r="87" spans="1:29" ht="14">
      <c r="A87" s="3" t="s">
        <v>595</v>
      </c>
      <c r="B87" s="81">
        <f t="shared" ref="B87:E87" si="86">AVERAGE(N87,R87,V87,Z87)</f>
        <v>1.2365566612284669E-2</v>
      </c>
      <c r="C87" s="81">
        <f t="shared" si="86"/>
        <v>27204.246547026225</v>
      </c>
      <c r="D87" s="38">
        <f t="shared" si="86"/>
        <v>8.6892875579590993E-7</v>
      </c>
      <c r="E87" s="38">
        <f t="shared" si="86"/>
        <v>9.0001587437933198E-3</v>
      </c>
      <c r="F87" s="38">
        <f t="shared" si="1"/>
        <v>2.0917407454883184E-6</v>
      </c>
      <c r="G87" s="38">
        <f t="shared" si="2"/>
        <v>9.0634806359427989E-3</v>
      </c>
      <c r="H87" s="2" t="s">
        <v>445</v>
      </c>
      <c r="I87" s="2" t="s">
        <v>595</v>
      </c>
      <c r="J87" s="2"/>
      <c r="L87" s="3" t="s">
        <v>596</v>
      </c>
      <c r="M87" s="81">
        <v>2200000</v>
      </c>
      <c r="N87" s="81">
        <v>7.6184464183940703E-3</v>
      </c>
      <c r="O87" s="81">
        <v>16760.582120466901</v>
      </c>
      <c r="P87" s="38">
        <f t="shared" si="3"/>
        <v>8.2540575610901323E-7</v>
      </c>
      <c r="Q87" s="38">
        <f t="shared" si="4"/>
        <v>8.7960713580771174E-3</v>
      </c>
      <c r="R87" s="81">
        <v>1.0340906775603001E-2</v>
      </c>
      <c r="S87" s="81">
        <v>22749.994906326599</v>
      </c>
      <c r="T87" s="38">
        <f t="shared" si="5"/>
        <v>5.5447612295961171E-7</v>
      </c>
      <c r="U87" s="38">
        <f t="shared" si="6"/>
        <v>5.2308521934601813E-3</v>
      </c>
      <c r="V87" s="81">
        <v>1.4389557247914801E-2</v>
      </c>
      <c r="W87" s="81">
        <v>31657.025945412501</v>
      </c>
      <c r="X87" s="38">
        <f t="shared" si="7"/>
        <v>1.2708752904915158E-6</v>
      </c>
      <c r="Y87" s="38">
        <f t="shared" si="8"/>
        <v>1.3978310841481894E-2</v>
      </c>
      <c r="Z87" s="81">
        <v>1.7113356007226799E-2</v>
      </c>
      <c r="AA87" s="81">
        <v>37649.383215898903</v>
      </c>
      <c r="AB87" s="38">
        <f t="shared" si="9"/>
        <v>8.2495785362349888E-7</v>
      </c>
      <c r="AC87" s="38">
        <f t="shared" si="10"/>
        <v>7.9954005821540868E-3</v>
      </c>
    </row>
    <row r="88" spans="1:29" ht="14">
      <c r="A88" s="3" t="s">
        <v>597</v>
      </c>
      <c r="B88" s="81">
        <f t="shared" ref="B88:E88" si="87">AVERAGE(N88,R88,V88,Z88)</f>
        <v>1.8574636143192817E-2</v>
      </c>
      <c r="C88" s="81">
        <f t="shared" si="87"/>
        <v>65011.226501174926</v>
      </c>
      <c r="D88" s="38">
        <f t="shared" si="87"/>
        <v>1.1782105740195049E-6</v>
      </c>
      <c r="E88" s="38">
        <f t="shared" si="87"/>
        <v>1.8883162933299884E-2</v>
      </c>
      <c r="F88" s="38">
        <f t="shared" si="1"/>
        <v>2.8362636729456244E-6</v>
      </c>
      <c r="G88" s="38">
        <f t="shared" si="2"/>
        <v>1.9016018101829887E-2</v>
      </c>
      <c r="H88" s="2" t="s">
        <v>445</v>
      </c>
      <c r="I88" s="2" t="s">
        <v>597</v>
      </c>
      <c r="J88" s="2"/>
      <c r="L88" s="3" t="s">
        <v>598</v>
      </c>
      <c r="M88" s="81">
        <v>3500000</v>
      </c>
      <c r="N88" s="81">
        <v>9.6209605621795698E-3</v>
      </c>
      <c r="O88" s="81">
        <v>33673.361967628502</v>
      </c>
      <c r="P88" s="38">
        <f t="shared" si="3"/>
        <v>1.0423642552827443E-6</v>
      </c>
      <c r="Q88" s="38">
        <f t="shared" si="4"/>
        <v>1.7672017153385677E-2</v>
      </c>
      <c r="R88" s="81">
        <v>2.7018566924453501E-2</v>
      </c>
      <c r="S88" s="81">
        <v>94564.984235587297</v>
      </c>
      <c r="T88" s="38">
        <f t="shared" si="5"/>
        <v>1.4487269406141797E-6</v>
      </c>
      <c r="U88" s="38">
        <f t="shared" si="6"/>
        <v>2.1743101800681695E-2</v>
      </c>
      <c r="V88" s="81">
        <v>1.01306690891847E-2</v>
      </c>
      <c r="W88" s="81">
        <v>35457.3418121465</v>
      </c>
      <c r="X88" s="38">
        <f t="shared" si="7"/>
        <v>8.9473336807890473E-7</v>
      </c>
      <c r="Y88" s="38">
        <f t="shared" si="8"/>
        <v>1.5656358443698979E-2</v>
      </c>
      <c r="Z88" s="81">
        <v>2.7528347996953501E-2</v>
      </c>
      <c r="AA88" s="81">
        <v>96349.217989337398</v>
      </c>
      <c r="AB88" s="38">
        <f t="shared" si="9"/>
        <v>1.3270177321021906E-6</v>
      </c>
      <c r="AC88" s="38">
        <f t="shared" si="10"/>
        <v>2.0461174335433176E-2</v>
      </c>
    </row>
    <row r="89" spans="1:29" ht="14">
      <c r="A89" s="3" t="s">
        <v>599</v>
      </c>
      <c r="B89" s="81">
        <f t="shared" ref="B89:E89" si="88">AVERAGE(N89,R89,V89,Z89)</f>
        <v>8.1756632699768503E-2</v>
      </c>
      <c r="C89" s="81">
        <f t="shared" si="88"/>
        <v>416958.82676881953</v>
      </c>
      <c r="D89" s="38">
        <f t="shared" si="88"/>
        <v>5.1958860331009411E-6</v>
      </c>
      <c r="E89" s="38">
        <f t="shared" si="88"/>
        <v>0.1214097301562663</v>
      </c>
      <c r="F89" s="38">
        <f t="shared" si="1"/>
        <v>1.250786839756013E-5</v>
      </c>
      <c r="G89" s="38">
        <f t="shared" si="2"/>
        <v>0.12226392551633748</v>
      </c>
      <c r="H89" s="2" t="s">
        <v>445</v>
      </c>
      <c r="I89" s="2" t="s">
        <v>599</v>
      </c>
      <c r="J89" s="2"/>
      <c r="L89" s="3" t="s">
        <v>600</v>
      </c>
      <c r="M89" s="81">
        <v>5100000</v>
      </c>
      <c r="N89" s="81">
        <v>4.2494527863133902E-2</v>
      </c>
      <c r="O89" s="81">
        <v>216722.092101983</v>
      </c>
      <c r="P89" s="38">
        <f t="shared" si="3"/>
        <v>4.6039869515495322E-6</v>
      </c>
      <c r="Q89" s="38">
        <f t="shared" si="4"/>
        <v>0.11373727793576775</v>
      </c>
      <c r="R89" s="81">
        <v>0.118028354110061</v>
      </c>
      <c r="S89" s="81">
        <v>601944.60596131103</v>
      </c>
      <c r="T89" s="38">
        <f t="shared" si="5"/>
        <v>6.3286427009138759E-6</v>
      </c>
      <c r="U89" s="38">
        <f t="shared" si="6"/>
        <v>0.13840369087549217</v>
      </c>
      <c r="V89" s="81">
        <v>4.5483701286829097E-2</v>
      </c>
      <c r="W89" s="81">
        <v>231966.87656282799</v>
      </c>
      <c r="X89" s="38">
        <f t="shared" si="7"/>
        <v>4.0170876066325593E-6</v>
      </c>
      <c r="Y89" s="38">
        <f t="shared" si="8"/>
        <v>0.10242608105745796</v>
      </c>
      <c r="Z89" s="81">
        <v>0.12101994753905</v>
      </c>
      <c r="AA89" s="81">
        <v>617201.732449156</v>
      </c>
      <c r="AB89" s="38">
        <f t="shared" si="9"/>
        <v>5.8338268733077977E-6</v>
      </c>
      <c r="AC89" s="38">
        <f t="shared" si="10"/>
        <v>0.1310718707563473</v>
      </c>
    </row>
    <row r="90" spans="1:29" ht="14">
      <c r="A90" s="3" t="s">
        <v>601</v>
      </c>
      <c r="B90" s="81">
        <f t="shared" ref="B90:E90" si="89">AVERAGE(N90,R90,V90,Z90)</f>
        <v>1.1532561938495343E-5</v>
      </c>
      <c r="C90" s="81">
        <f t="shared" si="89"/>
        <v>108.40608222185631</v>
      </c>
      <c r="D90" s="38">
        <f t="shared" si="89"/>
        <v>7.9550048999276807E-10</v>
      </c>
      <c r="E90" s="38">
        <f t="shared" si="89"/>
        <v>3.482640713144723E-5</v>
      </c>
      <c r="F90" s="38">
        <f t="shared" si="1"/>
        <v>1.9149795387420965E-9</v>
      </c>
      <c r="G90" s="38">
        <f t="shared" si="2"/>
        <v>3.5071433253664475E-5</v>
      </c>
      <c r="H90" s="2" t="s">
        <v>445</v>
      </c>
      <c r="I90" s="2" t="s">
        <v>445</v>
      </c>
      <c r="J90" s="2"/>
      <c r="L90" s="3" t="s">
        <v>602</v>
      </c>
      <c r="M90" s="81">
        <v>9400000</v>
      </c>
      <c r="N90" s="81">
        <v>8.5501484435931392E-6</v>
      </c>
      <c r="O90" s="81">
        <v>80.371395369775499</v>
      </c>
      <c r="P90" s="38">
        <f t="shared" si="3"/>
        <v>9.263491994757574E-10</v>
      </c>
      <c r="Q90" s="38">
        <f t="shared" si="4"/>
        <v>4.2179473465750984E-5</v>
      </c>
      <c r="R90" s="81">
        <v>1.38657164439375E-5</v>
      </c>
      <c r="S90" s="81">
        <v>130.33773457301299</v>
      </c>
      <c r="T90" s="38">
        <f t="shared" si="5"/>
        <v>7.4347529309812228E-10</v>
      </c>
      <c r="U90" s="38">
        <f t="shared" si="6"/>
        <v>2.9968245161772707E-5</v>
      </c>
      <c r="V90" s="81">
        <v>9.1991788837409307E-6</v>
      </c>
      <c r="W90" s="81">
        <v>86.472281507164794</v>
      </c>
      <c r="X90" s="38">
        <f t="shared" si="7"/>
        <v>8.1246482673063658E-10</v>
      </c>
      <c r="Y90" s="38">
        <f t="shared" si="8"/>
        <v>3.8182248457689909E-5</v>
      </c>
      <c r="Z90" s="81">
        <v>1.45152039827098E-5</v>
      </c>
      <c r="AA90" s="81">
        <v>136.442917437472</v>
      </c>
      <c r="AB90" s="38">
        <f t="shared" si="9"/>
        <v>6.9971264066655644E-10</v>
      </c>
      <c r="AC90" s="38">
        <f t="shared" si="10"/>
        <v>2.8975661440575322E-5</v>
      </c>
    </row>
    <row r="91" spans="1:29" ht="14">
      <c r="A91" s="3" t="s">
        <v>603</v>
      </c>
      <c r="B91" s="81">
        <f t="shared" ref="B91:E91" si="90">AVERAGE(N91,R91,V91,Z91)</f>
        <v>2.2910046951025278E-3</v>
      </c>
      <c r="C91" s="81">
        <f t="shared" si="90"/>
        <v>130587.2676208441</v>
      </c>
      <c r="D91" s="38">
        <f t="shared" si="90"/>
        <v>1.608619154628299E-7</v>
      </c>
      <c r="E91" s="38">
        <f t="shared" si="90"/>
        <v>4.3159715558499734E-2</v>
      </c>
      <c r="F91" s="38">
        <f t="shared" si="1"/>
        <v>3.8723706716633273E-7</v>
      </c>
      <c r="G91" s="38">
        <f t="shared" si="2"/>
        <v>4.3463371852971451E-2</v>
      </c>
      <c r="H91" s="2" t="s">
        <v>445</v>
      </c>
      <c r="I91" s="2" t="s">
        <v>603</v>
      </c>
      <c r="J91" s="2"/>
      <c r="L91" s="3" t="s">
        <v>604</v>
      </c>
      <c r="M91" s="81">
        <v>57000000</v>
      </c>
      <c r="N91" s="81">
        <v>1.4103997595503401E-3</v>
      </c>
      <c r="O91" s="81">
        <v>80392.786294369405</v>
      </c>
      <c r="P91" s="38">
        <f t="shared" si="3"/>
        <v>1.5280701812601527E-7</v>
      </c>
      <c r="Q91" s="38">
        <f t="shared" si="4"/>
        <v>4.2190699573399923E-2</v>
      </c>
      <c r="R91" s="81">
        <v>1.92864496211323E-3</v>
      </c>
      <c r="S91" s="81">
        <v>109932.762840454</v>
      </c>
      <c r="T91" s="38">
        <f t="shared" si="5"/>
        <v>1.0341332770556503E-7</v>
      </c>
      <c r="U91" s="38">
        <f t="shared" si="6"/>
        <v>2.527657856649506E-2</v>
      </c>
      <c r="V91" s="81">
        <v>2.6532414248676499E-3</v>
      </c>
      <c r="W91" s="81">
        <v>151234.76121745599</v>
      </c>
      <c r="X91" s="38">
        <f t="shared" si="7"/>
        <v>2.3433236398301467E-7</v>
      </c>
      <c r="Y91" s="38">
        <f t="shared" si="8"/>
        <v>6.6778430354770463E-2</v>
      </c>
      <c r="Z91" s="81">
        <v>3.1717326338788899E-3</v>
      </c>
      <c r="AA91" s="81">
        <v>180788.76013109699</v>
      </c>
      <c r="AB91" s="38">
        <f t="shared" si="9"/>
        <v>1.5289495203672471E-7</v>
      </c>
      <c r="AC91" s="38">
        <f t="shared" si="10"/>
        <v>3.8393153739333483E-2</v>
      </c>
    </row>
    <row r="92" spans="1:29" ht="14">
      <c r="A92" s="3" t="s">
        <v>605</v>
      </c>
      <c r="B92" s="81">
        <f t="shared" ref="B92:E92" si="91">AVERAGE(N92,R92,V92,Z92)</f>
        <v>9.7705134707129525E-6</v>
      </c>
      <c r="C92" s="81">
        <f t="shared" si="91"/>
        <v>1856.397559435457</v>
      </c>
      <c r="D92" s="38">
        <f t="shared" si="91"/>
        <v>6.5427387452481767E-10</v>
      </c>
      <c r="E92" s="38">
        <f t="shared" si="91"/>
        <v>5.7974930170030185E-4</v>
      </c>
      <c r="F92" s="38">
        <f t="shared" si="1"/>
        <v>1.5750098186110859E-9</v>
      </c>
      <c r="G92" s="38">
        <f t="shared" si="2"/>
        <v>5.8382821006192586E-4</v>
      </c>
      <c r="H92" s="2" t="s">
        <v>606</v>
      </c>
      <c r="I92" s="2" t="s">
        <v>606</v>
      </c>
      <c r="J92" s="2"/>
      <c r="L92" s="3" t="s">
        <v>607</v>
      </c>
      <c r="M92" s="81">
        <v>190000000</v>
      </c>
      <c r="N92" s="81">
        <v>4.8738977801895702E-6</v>
      </c>
      <c r="O92" s="81">
        <v>926.04057823601795</v>
      </c>
      <c r="P92" s="38">
        <f t="shared" si="3"/>
        <v>5.280529732075519E-10</v>
      </c>
      <c r="Q92" s="38">
        <f t="shared" si="4"/>
        <v>4.8599260742216381E-4</v>
      </c>
      <c r="R92" s="81">
        <v>9.81781817040483E-6</v>
      </c>
      <c r="S92" s="81">
        <v>1865.3854523769101</v>
      </c>
      <c r="T92" s="38">
        <f t="shared" si="5"/>
        <v>5.2642827879386448E-10</v>
      </c>
      <c r="U92" s="38">
        <f t="shared" si="6"/>
        <v>4.2890363823778132E-4</v>
      </c>
      <c r="V92" s="81">
        <v>9.6442136964458092E-6</v>
      </c>
      <c r="W92" s="81">
        <v>1832.4006023247</v>
      </c>
      <c r="X92" s="38">
        <f t="shared" si="7"/>
        <v>8.5176997956687888E-10</v>
      </c>
      <c r="Y92" s="38">
        <f t="shared" si="8"/>
        <v>8.0910522831741474E-4</v>
      </c>
      <c r="Z92" s="81">
        <v>1.4746124235811601E-5</v>
      </c>
      <c r="AA92" s="81">
        <v>2801.7636048042</v>
      </c>
      <c r="AB92" s="38">
        <f t="shared" si="9"/>
        <v>7.1084426653097542E-10</v>
      </c>
      <c r="AC92" s="38">
        <f t="shared" si="10"/>
        <v>5.9499573282384747E-4</v>
      </c>
    </row>
    <row r="93" spans="1:29" ht="14">
      <c r="A93" s="3" t="s">
        <v>608</v>
      </c>
      <c r="B93" s="81">
        <f t="shared" ref="B93:E93" si="92">AVERAGE(N93,R93,V93,Z93)</f>
        <v>4.1838899848623701E-6</v>
      </c>
      <c r="C93" s="81">
        <f t="shared" si="92"/>
        <v>794.93909712384925</v>
      </c>
      <c r="D93" s="38">
        <f t="shared" si="92"/>
        <v>2.8423189310720854E-10</v>
      </c>
      <c r="E93" s="38">
        <f t="shared" si="92"/>
        <v>2.5262645095755314E-4</v>
      </c>
      <c r="F93" s="38">
        <f t="shared" si="1"/>
        <v>6.8422114933352631E-10</v>
      </c>
      <c r="G93" s="38">
        <f t="shared" si="2"/>
        <v>2.5440384015001282E-4</v>
      </c>
      <c r="H93" s="2" t="s">
        <v>606</v>
      </c>
      <c r="I93" s="2" t="s">
        <v>606</v>
      </c>
      <c r="J93" s="2"/>
      <c r="L93" s="3" t="s">
        <v>609</v>
      </c>
      <c r="M93" s="81">
        <v>190000000</v>
      </c>
      <c r="N93" s="81">
        <v>2.2154751526635799E-6</v>
      </c>
      <c r="O93" s="81">
        <v>420.94027900608103</v>
      </c>
      <c r="P93" s="38">
        <f t="shared" si="3"/>
        <v>2.4003134538163321E-10</v>
      </c>
      <c r="Q93" s="38">
        <f t="shared" si="4"/>
        <v>2.2091241849559552E-4</v>
      </c>
      <c r="R93" s="81">
        <v>3.9685114231030498E-6</v>
      </c>
      <c r="S93" s="81">
        <v>754.01717038957997</v>
      </c>
      <c r="T93" s="38">
        <f t="shared" si="5"/>
        <v>2.1279031670554807E-10</v>
      </c>
      <c r="U93" s="38">
        <f t="shared" si="6"/>
        <v>1.7336937374619519E-4</v>
      </c>
      <c r="V93" s="81">
        <v>4.3741094679599296E-6</v>
      </c>
      <c r="W93" s="81">
        <v>831.08079891238594</v>
      </c>
      <c r="X93" s="38">
        <f t="shared" si="7"/>
        <v>3.86318185122813E-10</v>
      </c>
      <c r="Y93" s="38">
        <f t="shared" si="8"/>
        <v>3.6696769183612783E-4</v>
      </c>
      <c r="Z93" s="81">
        <v>6.1774638957229203E-6</v>
      </c>
      <c r="AA93" s="81">
        <v>1173.7181401873499</v>
      </c>
      <c r="AB93" s="38">
        <f t="shared" si="9"/>
        <v>2.9778772521884E-10</v>
      </c>
      <c r="AC93" s="38">
        <f t="shared" si="10"/>
        <v>2.4925631975229403E-4</v>
      </c>
    </row>
    <row r="94" spans="1:29" ht="14">
      <c r="A94" s="3" t="s">
        <v>610</v>
      </c>
      <c r="B94" s="81">
        <f t="shared" ref="B94:E94" si="93">AVERAGE(N94,R94,V94,Z94)</f>
        <v>3.5291964493734695E-4</v>
      </c>
      <c r="C94" s="81">
        <f t="shared" si="93"/>
        <v>77642.321886216203</v>
      </c>
      <c r="D94" s="38">
        <f t="shared" si="93"/>
        <v>2.2659576898422724E-8</v>
      </c>
      <c r="E94" s="38">
        <f t="shared" si="93"/>
        <v>2.2907852631008051E-2</v>
      </c>
      <c r="F94" s="38">
        <f t="shared" si="1"/>
        <v>5.4547579370349726E-8</v>
      </c>
      <c r="G94" s="38">
        <f t="shared" si="2"/>
        <v>2.3069024074198113E-2</v>
      </c>
      <c r="H94" s="2" t="s">
        <v>445</v>
      </c>
      <c r="I94" s="2" t="s">
        <v>610</v>
      </c>
      <c r="J94" s="2"/>
      <c r="L94" s="3" t="s">
        <v>611</v>
      </c>
      <c r="M94" s="81">
        <v>220000000</v>
      </c>
      <c r="N94" s="81">
        <v>1.8651863869159E-4</v>
      </c>
      <c r="O94" s="81">
        <v>41034.100512149802</v>
      </c>
      <c r="P94" s="38">
        <f t="shared" si="3"/>
        <v>2.0207999051610883E-8</v>
      </c>
      <c r="Q94" s="38">
        <f t="shared" si="4"/>
        <v>2.1534984502633952E-2</v>
      </c>
      <c r="R94" s="81">
        <v>4.8822324253452098E-4</v>
      </c>
      <c r="S94" s="81">
        <v>107409.113357594</v>
      </c>
      <c r="T94" s="38">
        <f t="shared" si="5"/>
        <v>2.6178374540420882E-8</v>
      </c>
      <c r="U94" s="38">
        <f t="shared" si="6"/>
        <v>2.4696321846117867E-2</v>
      </c>
      <c r="V94" s="81">
        <v>2.1756946255351299E-4</v>
      </c>
      <c r="W94" s="81">
        <v>47865.281761773003</v>
      </c>
      <c r="X94" s="38">
        <f t="shared" si="7"/>
        <v>1.9215577599849161E-8</v>
      </c>
      <c r="Y94" s="38">
        <f t="shared" si="8"/>
        <v>2.1135143526586853E-2</v>
      </c>
      <c r="Z94" s="81">
        <v>5.1936723596976398E-4</v>
      </c>
      <c r="AA94" s="81">
        <v>114260.791913348</v>
      </c>
      <c r="AB94" s="38">
        <f t="shared" si="9"/>
        <v>2.5036356401809972E-8</v>
      </c>
      <c r="AC94" s="38">
        <f t="shared" si="10"/>
        <v>2.4264960648693528E-2</v>
      </c>
    </row>
    <row r="95" spans="1:29" ht="14">
      <c r="A95" s="3" t="s">
        <v>612</v>
      </c>
      <c r="B95" s="81">
        <f t="shared" ref="B95:E95" si="94">AVERAGE(N95,R95,V95,Z95)</f>
        <v>1.6609437110015101E-5</v>
      </c>
      <c r="C95" s="81">
        <f t="shared" si="94"/>
        <v>24914.155665022674</v>
      </c>
      <c r="D95" s="38">
        <f t="shared" si="94"/>
        <v>1.1652120780221091E-9</v>
      </c>
      <c r="E95" s="38">
        <f t="shared" si="94"/>
        <v>8.2251624327975351E-3</v>
      </c>
      <c r="F95" s="38">
        <f t="shared" si="1"/>
        <v>2.8049728639737025E-9</v>
      </c>
      <c r="G95" s="38">
        <f t="shared" si="2"/>
        <v>8.2830317285853151E-3</v>
      </c>
      <c r="H95" s="2" t="s">
        <v>445</v>
      </c>
      <c r="I95" s="2" t="s">
        <v>612</v>
      </c>
      <c r="J95" s="2"/>
      <c r="L95" s="3" t="s">
        <v>613</v>
      </c>
      <c r="M95" s="81">
        <v>1500000000</v>
      </c>
      <c r="N95" s="81">
        <v>1.02164866375287E-5</v>
      </c>
      <c r="O95" s="81">
        <v>15324.7299562931</v>
      </c>
      <c r="P95" s="38">
        <f t="shared" si="3"/>
        <v>1.1068853693670248E-9</v>
      </c>
      <c r="Q95" s="38">
        <f t="shared" si="4"/>
        <v>8.0425260453341023E-3</v>
      </c>
      <c r="R95" s="81">
        <v>1.40840286901641E-5</v>
      </c>
      <c r="S95" s="81">
        <v>21126.043035246199</v>
      </c>
      <c r="T95" s="38">
        <f t="shared" si="5"/>
        <v>7.5518112610765256E-10</v>
      </c>
      <c r="U95" s="38">
        <f t="shared" si="6"/>
        <v>4.8574608040602481E-3</v>
      </c>
      <c r="V95" s="81">
        <v>1.9133961580410001E-5</v>
      </c>
      <c r="W95" s="81">
        <v>28700.942370615001</v>
      </c>
      <c r="X95" s="38">
        <f t="shared" si="7"/>
        <v>1.6898976502755732E-9</v>
      </c>
      <c r="Y95" s="38">
        <f t="shared" si="8"/>
        <v>1.2673038035591345E-2</v>
      </c>
      <c r="Z95" s="81">
        <v>2.30032715319576E-5</v>
      </c>
      <c r="AA95" s="81">
        <v>34504.907297936399</v>
      </c>
      <c r="AB95" s="38">
        <f t="shared" si="9"/>
        <v>1.1088841663381862E-9</v>
      </c>
      <c r="AC95" s="38">
        <f t="shared" si="10"/>
        <v>7.3276248462044464E-3</v>
      </c>
    </row>
    <row r="96" spans="1:29" ht="14">
      <c r="A96" s="3" t="s">
        <v>614</v>
      </c>
      <c r="B96" s="81">
        <f t="shared" ref="B96:E96" si="95">AVERAGE(N96,R96,V96,Z96)</f>
        <v>4.6430654259589701E-7</v>
      </c>
      <c r="C96" s="81">
        <f t="shared" si="95"/>
        <v>2182.2407502007122</v>
      </c>
      <c r="D96" s="38">
        <f t="shared" si="95"/>
        <v>3.0737702681479973E-11</v>
      </c>
      <c r="E96" s="38">
        <f t="shared" si="95"/>
        <v>6.7212261726555978E-4</v>
      </c>
      <c r="F96" s="38">
        <f t="shared" si="1"/>
        <v>7.3993759203727631E-11</v>
      </c>
      <c r="G96" s="38">
        <f t="shared" si="2"/>
        <v>6.7685143117798829E-4</v>
      </c>
      <c r="H96" s="2" t="s">
        <v>606</v>
      </c>
      <c r="I96" s="2" t="s">
        <v>606</v>
      </c>
      <c r="J96" s="2"/>
      <c r="L96" s="3" t="s">
        <v>615</v>
      </c>
      <c r="M96" s="81">
        <v>4700000000</v>
      </c>
      <c r="N96" s="81">
        <v>2.19911807489956E-7</v>
      </c>
      <c r="O96" s="81">
        <v>1033.5854952027901</v>
      </c>
      <c r="P96" s="38">
        <f t="shared" si="3"/>
        <v>2.3825916961270646E-11</v>
      </c>
      <c r="Q96" s="38">
        <f t="shared" si="4"/>
        <v>5.4243293610758861E-4</v>
      </c>
      <c r="R96" s="81">
        <v>4.8592390477133899E-7</v>
      </c>
      <c r="S96" s="81">
        <v>2283.8423524252898</v>
      </c>
      <c r="T96" s="38">
        <f t="shared" si="5"/>
        <v>2.6055084782958636E-11</v>
      </c>
      <c r="U96" s="38">
        <f t="shared" si="6"/>
        <v>5.2511843751573207E-4</v>
      </c>
      <c r="V96" s="81">
        <v>4.3791581975382001E-7</v>
      </c>
      <c r="W96" s="81">
        <v>2058.2043528429499</v>
      </c>
      <c r="X96" s="38">
        <f t="shared" si="7"/>
        <v>3.8676408526823458E-11</v>
      </c>
      <c r="Y96" s="38">
        <f t="shared" si="8"/>
        <v>9.0880995166569005E-4</v>
      </c>
      <c r="Z96" s="81">
        <v>7.1347463836847303E-7</v>
      </c>
      <c r="AA96" s="81">
        <v>3353.3308003318198</v>
      </c>
      <c r="AB96" s="38">
        <f t="shared" si="9"/>
        <v>3.439340045486715E-11</v>
      </c>
      <c r="AC96" s="38">
        <f t="shared" si="10"/>
        <v>7.1212914377322882E-4</v>
      </c>
    </row>
    <row r="97" spans="1:14" ht="13">
      <c r="B97" s="81"/>
      <c r="D97" s="81"/>
      <c r="F97" s="81"/>
    </row>
    <row r="98" spans="1:14" ht="13">
      <c r="B98" s="81"/>
      <c r="D98" s="81"/>
      <c r="F98" s="81"/>
    </row>
    <row r="99" spans="1:14" ht="13">
      <c r="A99" s="2" t="s">
        <v>616</v>
      </c>
      <c r="B99" s="81"/>
      <c r="E99" s="2" t="s">
        <v>617</v>
      </c>
      <c r="F99" s="81"/>
      <c r="I99" s="2" t="s">
        <v>618</v>
      </c>
      <c r="L99" s="2" t="s">
        <v>619</v>
      </c>
    </row>
    <row r="100" spans="1:14" ht="13">
      <c r="A100" s="84" t="s">
        <v>620</v>
      </c>
      <c r="B100" s="84" t="s">
        <v>621</v>
      </c>
      <c r="C100" s="84" t="s">
        <v>429</v>
      </c>
      <c r="D100" s="4"/>
      <c r="E100" s="84" t="s">
        <v>620</v>
      </c>
      <c r="F100" s="84" t="s">
        <v>427</v>
      </c>
      <c r="G100" s="84" t="s">
        <v>428</v>
      </c>
      <c r="H100" s="106"/>
      <c r="I100" s="84" t="s">
        <v>622</v>
      </c>
      <c r="J100" s="84" t="s">
        <v>433</v>
      </c>
      <c r="L100" s="84" t="s">
        <v>622</v>
      </c>
      <c r="M100" s="84" t="s">
        <v>623</v>
      </c>
      <c r="N100" s="84" t="s">
        <v>624</v>
      </c>
    </row>
    <row r="101" spans="1:14" ht="13">
      <c r="A101" s="2" t="s">
        <v>571</v>
      </c>
      <c r="B101" s="38">
        <v>0.25869751191385587</v>
      </c>
      <c r="C101" s="38">
        <v>0.26051761491593284</v>
      </c>
      <c r="E101" s="2" t="s">
        <v>509</v>
      </c>
      <c r="F101" s="38">
        <v>0.15435650428237685</v>
      </c>
      <c r="G101" s="38">
        <v>0.37157682627599098</v>
      </c>
      <c r="H101" s="38"/>
      <c r="I101" s="2" t="s">
        <v>444</v>
      </c>
      <c r="J101" s="6">
        <v>1</v>
      </c>
      <c r="L101" s="2" t="s">
        <v>571</v>
      </c>
      <c r="M101" s="38">
        <f t="shared" ref="M101:M123" si="96">C101</f>
        <v>0.26051761491593284</v>
      </c>
      <c r="N101" s="220">
        <f>_xlfn.IFNA(INDEX($E$100:$G$119, MATCH(L101,$E$100:$E$119,0), 3), INDEX($A$10:$G$96, MATCH(L101,$A$10:$A$96,0), 6))</f>
        <v>5.2306548953806606E-3</v>
      </c>
    </row>
    <row r="102" spans="1:14" ht="13">
      <c r="A102" s="2" t="s">
        <v>546</v>
      </c>
      <c r="B102" s="38">
        <v>0.18010965042733795</v>
      </c>
      <c r="C102" s="38">
        <v>0.1813768373941573</v>
      </c>
      <c r="E102" s="2" t="s">
        <v>477</v>
      </c>
      <c r="F102" s="38">
        <v>9.9575607294284996E-2</v>
      </c>
      <c r="G102" s="38">
        <v>0.23970475559117199</v>
      </c>
      <c r="H102" s="38"/>
      <c r="I102" s="2" t="s">
        <v>477</v>
      </c>
      <c r="J102" s="6">
        <v>5.4</v>
      </c>
      <c r="L102" s="2" t="s">
        <v>546</v>
      </c>
      <c r="M102" s="38">
        <f t="shared" si="96"/>
        <v>0.1813768373941573</v>
      </c>
      <c r="N102" s="220">
        <f t="shared" ref="N102:N122" si="97">_xlfn.IFNA(INDEX($E$100:$G$119, MATCH(L102,$E$100:$E$119,0), 3), INDEX($A$10:$G$96, MATCH(L102,$A$10:$A$96,0), 6))</f>
        <v>2.4277893141562777E-2</v>
      </c>
    </row>
    <row r="103" spans="1:14" ht="13">
      <c r="A103" s="2" t="s">
        <v>509</v>
      </c>
      <c r="B103" s="38">
        <v>0.12919422642365316</v>
      </c>
      <c r="C103" s="38">
        <v>0.13010319071026372</v>
      </c>
      <c r="E103" s="2" t="s">
        <v>512</v>
      </c>
      <c r="F103" s="38">
        <v>5.9129789882436404E-2</v>
      </c>
      <c r="G103" s="38">
        <v>0.14234100315389442</v>
      </c>
      <c r="H103" s="38"/>
      <c r="I103" s="2" t="s">
        <v>482</v>
      </c>
      <c r="J103" s="6">
        <v>10</v>
      </c>
      <c r="L103" s="2" t="s">
        <v>509</v>
      </c>
      <c r="M103" s="38">
        <f t="shared" si="96"/>
        <v>0.13010319071026372</v>
      </c>
      <c r="N103" s="220">
        <f t="shared" si="97"/>
        <v>0.37157682627599098</v>
      </c>
    </row>
    <row r="104" spans="1:14" ht="13">
      <c r="A104" s="2" t="s">
        <v>599</v>
      </c>
      <c r="B104" s="38">
        <v>0.1214097301562663</v>
      </c>
      <c r="C104" s="38">
        <v>0.12226392551633748</v>
      </c>
      <c r="E104" s="2" t="s">
        <v>487</v>
      </c>
      <c r="F104" s="38">
        <v>3.6716925835271842E-2</v>
      </c>
      <c r="G104" s="38">
        <v>8.8387326701327179E-2</v>
      </c>
      <c r="H104" s="38"/>
      <c r="I104" s="2" t="s">
        <v>487</v>
      </c>
      <c r="J104" s="6">
        <v>19</v>
      </c>
      <c r="L104" s="2" t="s">
        <v>599</v>
      </c>
      <c r="M104" s="38">
        <f t="shared" si="96"/>
        <v>0.12226392551633748</v>
      </c>
      <c r="N104" s="220">
        <f t="shared" si="97"/>
        <v>1.250786839756013E-5</v>
      </c>
    </row>
    <row r="105" spans="1:14" ht="13">
      <c r="A105" s="2" t="s">
        <v>512</v>
      </c>
      <c r="B105" s="38">
        <v>5.5749162293209767E-2</v>
      </c>
      <c r="C105" s="38">
        <v>5.6141393424087194E-2</v>
      </c>
      <c r="E105" s="2" t="s">
        <v>504</v>
      </c>
      <c r="F105" s="38">
        <v>2.8615589677249101E-2</v>
      </c>
      <c r="G105" s="38">
        <v>6.8885273372326597E-2</v>
      </c>
      <c r="H105" s="38"/>
      <c r="I105" s="2" t="s">
        <v>495</v>
      </c>
      <c r="J105" s="6">
        <v>67</v>
      </c>
      <c r="L105" s="2" t="s">
        <v>512</v>
      </c>
      <c r="M105" s="38">
        <f t="shared" si="96"/>
        <v>5.6141393424087194E-2</v>
      </c>
      <c r="N105" s="220">
        <f t="shared" si="97"/>
        <v>0.14234100315389442</v>
      </c>
    </row>
    <row r="106" spans="1:14" ht="13">
      <c r="A106" s="2" t="s">
        <v>603</v>
      </c>
      <c r="B106" s="38">
        <v>4.3159715558499734E-2</v>
      </c>
      <c r="C106" s="38">
        <v>4.3463371852971451E-2</v>
      </c>
      <c r="E106" s="2" t="s">
        <v>546</v>
      </c>
      <c r="F106" s="38">
        <v>1.0085264881102354E-2</v>
      </c>
      <c r="G106" s="38">
        <v>2.4277893141562777E-2</v>
      </c>
      <c r="I106" s="2" t="s">
        <v>625</v>
      </c>
      <c r="J106" s="6">
        <v>180</v>
      </c>
      <c r="L106" s="2" t="s">
        <v>603</v>
      </c>
      <c r="M106" s="38">
        <f t="shared" si="96"/>
        <v>4.3463371852971451E-2</v>
      </c>
      <c r="N106" s="220">
        <f t="shared" si="97"/>
        <v>3.8723706716633273E-7</v>
      </c>
    </row>
    <row r="107" spans="1:14" ht="13">
      <c r="A107" s="2" t="s">
        <v>557</v>
      </c>
      <c r="B107" s="38">
        <v>3.647655353845692E-2</v>
      </c>
      <c r="C107" s="38">
        <v>3.6733189499543684E-2</v>
      </c>
      <c r="E107" s="2" t="s">
        <v>530</v>
      </c>
      <c r="F107" s="38">
        <v>6.5437279706044744E-3</v>
      </c>
      <c r="G107" s="38">
        <v>1.5752479512508952E-2</v>
      </c>
      <c r="I107" s="2" t="s">
        <v>512</v>
      </c>
      <c r="J107" s="6">
        <v>200</v>
      </c>
      <c r="L107" s="2" t="s">
        <v>557</v>
      </c>
      <c r="M107" s="38">
        <f t="shared" si="96"/>
        <v>3.6733189499543684E-2</v>
      </c>
      <c r="N107" s="220">
        <f t="shared" si="97"/>
        <v>1.8841652703930991E-3</v>
      </c>
    </row>
    <row r="108" spans="1:14" ht="13">
      <c r="A108" s="2" t="s">
        <v>610</v>
      </c>
      <c r="B108" s="38">
        <v>2.2907852631008051E-2</v>
      </c>
      <c r="C108" s="38">
        <v>2.3069024074198113E-2</v>
      </c>
      <c r="E108" s="2" t="s">
        <v>435</v>
      </c>
      <c r="F108" s="38">
        <v>5.1780473230368645E-3</v>
      </c>
      <c r="G108" s="38">
        <v>1.2464925916442901E-2</v>
      </c>
      <c r="I108" s="2" t="s">
        <v>514</v>
      </c>
      <c r="J108" s="6">
        <v>250</v>
      </c>
      <c r="L108" s="2" t="s">
        <v>610</v>
      </c>
      <c r="M108" s="38">
        <f t="shared" si="96"/>
        <v>2.3069024074198113E-2</v>
      </c>
      <c r="N108" s="220">
        <f t="shared" si="97"/>
        <v>5.4547579370349726E-8</v>
      </c>
    </row>
    <row r="109" spans="1:14" ht="13">
      <c r="A109" s="2" t="s">
        <v>504</v>
      </c>
      <c r="B109" s="38">
        <v>2.2573762713139368E-2</v>
      </c>
      <c r="C109" s="38">
        <v>2.273258361937228E-2</v>
      </c>
      <c r="E109" s="2" t="s">
        <v>473</v>
      </c>
      <c r="F109" s="38">
        <v>4.2457417202494512E-3</v>
      </c>
      <c r="G109" s="38">
        <v>1.0220620380931864E-2</v>
      </c>
      <c r="I109" s="4" t="s">
        <v>626</v>
      </c>
      <c r="J109" s="123">
        <f>(SUM(C$11:C$96)-SUMIF(I$11:I$96, "Mining tailings", C$11:C$96)-SUMIF(I$11:I$96, "Fossil fuels", C$11:C$96))/(SUM(B$11:B$96)-SUMIF(H$11:H$96, "Mining tailings", B$11:B$96)-SUMIF(H$11:H$96, "Fossil fuels", B$11:B$96))</f>
        <v>534.16197961732394</v>
      </c>
      <c r="L109" s="2" t="s">
        <v>504</v>
      </c>
      <c r="M109" s="38">
        <f t="shared" si="96"/>
        <v>2.273258361937228E-2</v>
      </c>
      <c r="N109" s="220">
        <f t="shared" si="97"/>
        <v>6.8885273372326597E-2</v>
      </c>
    </row>
    <row r="110" spans="1:14" ht="13">
      <c r="A110" s="2" t="s">
        <v>550</v>
      </c>
      <c r="B110" s="38">
        <v>2.2055307551780787E-2</v>
      </c>
      <c r="C110" s="38">
        <v>2.2210480793261728E-2</v>
      </c>
      <c r="E110" s="2" t="s">
        <v>451</v>
      </c>
      <c r="F110" s="38">
        <v>3.4438620849722977E-3</v>
      </c>
      <c r="G110" s="38">
        <v>8.2902845566212042E-3</v>
      </c>
      <c r="I110" s="81" t="s">
        <v>524</v>
      </c>
      <c r="J110" s="2">
        <v>650</v>
      </c>
      <c r="L110" s="2" t="s">
        <v>550</v>
      </c>
      <c r="M110" s="38">
        <f t="shared" si="96"/>
        <v>2.2210480793261728E-2</v>
      </c>
      <c r="N110" s="220">
        <f t="shared" si="97"/>
        <v>2.3725616537012889E-3</v>
      </c>
    </row>
    <row r="111" spans="1:14" ht="13">
      <c r="A111" s="2" t="s">
        <v>530</v>
      </c>
      <c r="B111" s="38">
        <v>2.203974441480654E-2</v>
      </c>
      <c r="C111" s="38">
        <v>2.2194808159632026E-2</v>
      </c>
      <c r="E111" s="2" t="s">
        <v>571</v>
      </c>
      <c r="F111" s="38">
        <v>2.1728631810821533E-3</v>
      </c>
      <c r="G111" s="38">
        <v>5.2306548953806606E-3</v>
      </c>
      <c r="I111" s="81" t="s">
        <v>546</v>
      </c>
      <c r="J111" s="2">
        <v>3900</v>
      </c>
      <c r="L111" s="2" t="s">
        <v>530</v>
      </c>
      <c r="M111" s="38">
        <f t="shared" si="96"/>
        <v>2.2194808159632026E-2</v>
      </c>
      <c r="N111" s="220">
        <f t="shared" si="97"/>
        <v>1.5752479512508952E-2</v>
      </c>
    </row>
    <row r="112" spans="1:14" ht="13">
      <c r="A112" s="2" t="s">
        <v>587</v>
      </c>
      <c r="B112" s="38">
        <v>1.9790355707809126E-2</v>
      </c>
      <c r="C112" s="38">
        <v>1.9929593559651897E-2</v>
      </c>
      <c r="E112" s="2" t="s">
        <v>478</v>
      </c>
      <c r="F112" s="38">
        <v>2.02657540198811E-3</v>
      </c>
      <c r="G112" s="38">
        <v>4.8785016192265957E-3</v>
      </c>
      <c r="I112" s="2" t="s">
        <v>557</v>
      </c>
      <c r="J112" s="6">
        <v>10000</v>
      </c>
      <c r="L112" s="2" t="s">
        <v>587</v>
      </c>
      <c r="M112" s="38">
        <f t="shared" si="96"/>
        <v>1.9929593559651897E-2</v>
      </c>
      <c r="N112" s="220">
        <f t="shared" si="97"/>
        <v>2.897307509786183E-5</v>
      </c>
    </row>
    <row r="113" spans="1:14" ht="13">
      <c r="A113" s="2" t="s">
        <v>597</v>
      </c>
      <c r="B113" s="38">
        <v>1.8883162933299884E-2</v>
      </c>
      <c r="C113" s="38">
        <v>1.9016018101829887E-2</v>
      </c>
      <c r="E113" s="2" t="s">
        <v>483</v>
      </c>
      <c r="F113" s="38">
        <v>1.4237132305545425E-3</v>
      </c>
      <c r="G113" s="38">
        <v>3.4272533327705992E-3</v>
      </c>
      <c r="I113" s="2" t="s">
        <v>571</v>
      </c>
      <c r="J113" s="6">
        <v>26000</v>
      </c>
      <c r="L113" s="2" t="s">
        <v>597</v>
      </c>
      <c r="M113" s="38">
        <f t="shared" si="96"/>
        <v>1.9016018101829887E-2</v>
      </c>
      <c r="N113" s="220">
        <f t="shared" si="97"/>
        <v>2.8362636729456244E-6</v>
      </c>
    </row>
    <row r="114" spans="1:14" ht="14">
      <c r="A114" s="2" t="s">
        <v>595</v>
      </c>
      <c r="B114" s="38">
        <v>9.0001587437933198E-3</v>
      </c>
      <c r="C114" s="38">
        <v>9.0634806359427989E-3</v>
      </c>
      <c r="E114" s="2" t="s">
        <v>550</v>
      </c>
      <c r="F114" s="38">
        <v>9.8558439914047205E-4</v>
      </c>
      <c r="G114" s="38">
        <v>2.3725616537012889E-3</v>
      </c>
      <c r="I114" s="3" t="s">
        <v>587</v>
      </c>
      <c r="J114" s="124">
        <v>350000</v>
      </c>
      <c r="L114" s="2" t="s">
        <v>595</v>
      </c>
      <c r="M114" s="38">
        <f t="shared" si="96"/>
        <v>9.0634806359427989E-3</v>
      </c>
      <c r="N114" s="220">
        <f t="shared" si="97"/>
        <v>2.0917407454883184E-6</v>
      </c>
    </row>
    <row r="115" spans="1:14" ht="14">
      <c r="A115" s="2" t="s">
        <v>612</v>
      </c>
      <c r="B115" s="38">
        <v>8.2251624327975351E-3</v>
      </c>
      <c r="C115" s="38">
        <v>8.2830317285853151E-3</v>
      </c>
      <c r="E115" s="2" t="s">
        <v>557</v>
      </c>
      <c r="F115" s="38">
        <v>7.8269995344682776E-4</v>
      </c>
      <c r="G115" s="38">
        <v>1.8841652703930991E-3</v>
      </c>
      <c r="I115" s="3" t="s">
        <v>599</v>
      </c>
      <c r="J115" s="124">
        <v>5100000</v>
      </c>
      <c r="L115" s="2" t="s">
        <v>612</v>
      </c>
      <c r="M115" s="38">
        <f t="shared" si="96"/>
        <v>8.2830317285853151E-3</v>
      </c>
      <c r="N115" s="220">
        <f t="shared" si="97"/>
        <v>2.8049728639737025E-9</v>
      </c>
    </row>
    <row r="116" spans="1:14" ht="13">
      <c r="A116" s="2" t="s">
        <v>538</v>
      </c>
      <c r="B116" s="38">
        <v>7.3495662031870228E-3</v>
      </c>
      <c r="C116" s="38">
        <v>7.4012751176308483E-3</v>
      </c>
      <c r="E116" s="2" t="s">
        <v>445</v>
      </c>
      <c r="F116" s="38">
        <v>1.1662192168304607E-4</v>
      </c>
      <c r="G116" s="38">
        <v>2.807397312776598E-4</v>
      </c>
      <c r="L116" s="2" t="s">
        <v>538</v>
      </c>
      <c r="M116" s="38">
        <f t="shared" si="96"/>
        <v>7.4012751176308483E-3</v>
      </c>
      <c r="N116" s="220">
        <f t="shared" si="97"/>
        <v>1.7848556673742957E-3</v>
      </c>
    </row>
    <row r="117" spans="1:14" ht="13">
      <c r="A117" s="2" t="s">
        <v>478</v>
      </c>
      <c r="B117" s="38">
        <v>4.6469872776051298E-3</v>
      </c>
      <c r="C117" s="38">
        <v>4.6796818150670874E-3</v>
      </c>
      <c r="E117" s="2" t="s">
        <v>553</v>
      </c>
      <c r="F117" s="38">
        <v>1.0274138283152477E-5</v>
      </c>
      <c r="G117" s="38">
        <v>2.473256124659672E-5</v>
      </c>
      <c r="L117" s="2" t="s">
        <v>478</v>
      </c>
      <c r="M117" s="38">
        <f t="shared" si="96"/>
        <v>4.6796818150670874E-3</v>
      </c>
      <c r="N117" s="220">
        <f t="shared" si="97"/>
        <v>4.8785016192265957E-3</v>
      </c>
    </row>
    <row r="118" spans="1:14" ht="13">
      <c r="A118" s="2" t="s">
        <v>487</v>
      </c>
      <c r="B118" s="38">
        <v>3.2221480460672266E-3</v>
      </c>
      <c r="C118" s="38">
        <v>3.24481792521835E-3</v>
      </c>
      <c r="E118" s="2" t="s">
        <v>606</v>
      </c>
      <c r="F118" s="38">
        <v>9.6924347031350621E-10</v>
      </c>
      <c r="G118" s="38">
        <v>2.33322472714834E-9</v>
      </c>
      <c r="L118" s="2" t="s">
        <v>487</v>
      </c>
      <c r="M118" s="38">
        <f t="shared" si="96"/>
        <v>3.24481792521835E-3</v>
      </c>
      <c r="N118" s="220">
        <f t="shared" si="97"/>
        <v>8.8387326701327179E-2</v>
      </c>
    </row>
    <row r="119" spans="1:14" ht="13">
      <c r="A119" s="2" t="s">
        <v>483</v>
      </c>
      <c r="B119" s="38">
        <v>3.0120670604162959E-3</v>
      </c>
      <c r="C119" s="38">
        <v>3.0332588850247454E-3</v>
      </c>
      <c r="E119" s="6" t="s">
        <v>438</v>
      </c>
      <c r="F119" s="38">
        <v>0.58459060585299383</v>
      </c>
      <c r="G119" s="38"/>
      <c r="L119" s="2" t="s">
        <v>483</v>
      </c>
      <c r="M119" s="38">
        <f t="shared" si="96"/>
        <v>3.0332588850247454E-3</v>
      </c>
      <c r="N119" s="220">
        <f t="shared" si="97"/>
        <v>3.4272533327705992E-3</v>
      </c>
    </row>
    <row r="120" spans="1:14" ht="13">
      <c r="A120" s="2" t="s">
        <v>435</v>
      </c>
      <c r="B120" s="38">
        <v>1.6354556893130087E-3</v>
      </c>
      <c r="C120" s="38">
        <v>1.6469621695565208E-3</v>
      </c>
      <c r="F120" s="38"/>
      <c r="L120" s="2" t="s">
        <v>435</v>
      </c>
      <c r="M120" s="38">
        <f t="shared" si="96"/>
        <v>1.6469621695565208E-3</v>
      </c>
      <c r="N120" s="220">
        <f t="shared" si="97"/>
        <v>1.2464925916442901E-2</v>
      </c>
    </row>
    <row r="121" spans="1:14" ht="13">
      <c r="A121" s="2" t="s">
        <v>606</v>
      </c>
      <c r="B121" s="38">
        <v>1.5044983699234148E-3</v>
      </c>
      <c r="C121" s="38">
        <v>1.515083481389927E-3</v>
      </c>
      <c r="D121" s="38"/>
      <c r="L121" s="2" t="s">
        <v>606</v>
      </c>
      <c r="M121" s="38">
        <f t="shared" si="96"/>
        <v>1.515083481389927E-3</v>
      </c>
      <c r="N121" s="220">
        <f t="shared" si="97"/>
        <v>2.33322472714834E-9</v>
      </c>
    </row>
    <row r="122" spans="1:14" ht="13">
      <c r="A122" s="2" t="s">
        <v>445</v>
      </c>
      <c r="B122" s="38">
        <v>8.4086133537126899E-4</v>
      </c>
      <c r="C122" s="38">
        <v>8.4677733444492602E-4</v>
      </c>
      <c r="D122" s="81"/>
      <c r="H122" s="125"/>
      <c r="L122" s="2" t="s">
        <v>445</v>
      </c>
      <c r="M122" s="38">
        <f t="shared" si="96"/>
        <v>8.4677733444492602E-4</v>
      </c>
      <c r="N122" s="220">
        <f t="shared" si="97"/>
        <v>2.807397312776598E-4</v>
      </c>
    </row>
    <row r="123" spans="1:14" ht="13">
      <c r="A123" s="2" t="s">
        <v>553</v>
      </c>
      <c r="B123" s="38">
        <v>5.2987130127775026E-4</v>
      </c>
      <c r="C123" s="38">
        <v>5.3359928589977168E-4</v>
      </c>
      <c r="D123" s="81"/>
      <c r="L123" s="2" t="s">
        <v>553</v>
      </c>
      <c r="M123" s="38">
        <f t="shared" si="96"/>
        <v>5.3359928589977168E-4</v>
      </c>
      <c r="N123" s="220">
        <f>_xlfn.IFNA(INDEX($E$100:$G$119, MATCH(L123,$E$100:$E$119,0), 3), INDEX($A$10:$G$96, MATCH(L123,$A$10:$A$96,0), 6))</f>
        <v>2.473256124659672E-5</v>
      </c>
    </row>
    <row r="124" spans="1:14" ht="13">
      <c r="A124" s="2" t="s">
        <v>438</v>
      </c>
      <c r="B124" s="38">
        <v>6.98648727712448E-3</v>
      </c>
      <c r="C124" s="38"/>
      <c r="D124" s="81"/>
    </row>
    <row r="125" spans="1:14" ht="13">
      <c r="B125" s="81"/>
      <c r="C125" s="81"/>
      <c r="D125" s="81"/>
    </row>
    <row r="126" spans="1:14" ht="13">
      <c r="A126" s="2"/>
      <c r="D126" s="2"/>
      <c r="G126" s="81"/>
    </row>
    <row r="127" spans="1:14" ht="13">
      <c r="A127" s="2" t="s">
        <v>627</v>
      </c>
      <c r="D127" s="2" t="s">
        <v>628</v>
      </c>
      <c r="G127" s="81"/>
    </row>
    <row r="128" spans="1:14" ht="13">
      <c r="A128" s="84" t="s">
        <v>622</v>
      </c>
      <c r="B128" s="84" t="s">
        <v>621</v>
      </c>
      <c r="D128" s="84" t="s">
        <v>622</v>
      </c>
      <c r="E128" s="84" t="s">
        <v>629</v>
      </c>
      <c r="G128" s="81"/>
    </row>
    <row r="129" spans="1:7" ht="13">
      <c r="A129" s="2" t="s">
        <v>571</v>
      </c>
      <c r="B129" s="38">
        <v>0.25869751191385587</v>
      </c>
      <c r="D129" s="6" t="s">
        <v>438</v>
      </c>
      <c r="E129" s="38">
        <v>0.58459060585299383</v>
      </c>
      <c r="G129" s="81"/>
    </row>
    <row r="130" spans="1:7" ht="13">
      <c r="A130" s="2" t="s">
        <v>546</v>
      </c>
      <c r="B130" s="38">
        <v>0.18010965042733795</v>
      </c>
      <c r="D130" s="38" t="s">
        <v>509</v>
      </c>
      <c r="E130" s="38">
        <v>0.15435650428237685</v>
      </c>
      <c r="G130" s="81"/>
    </row>
    <row r="131" spans="1:7" ht="13">
      <c r="A131" s="2" t="s">
        <v>509</v>
      </c>
      <c r="B131" s="38">
        <v>0.12919422642365316</v>
      </c>
      <c r="D131" s="81" t="s">
        <v>477</v>
      </c>
      <c r="E131" s="38">
        <v>9.9575607294284996E-2</v>
      </c>
      <c r="G131" s="81"/>
    </row>
    <row r="132" spans="1:7" ht="13">
      <c r="A132" s="2" t="s">
        <v>599</v>
      </c>
      <c r="B132" s="38">
        <v>0.1214097301562663</v>
      </c>
      <c r="D132" s="81" t="s">
        <v>512</v>
      </c>
      <c r="E132" s="38">
        <v>5.9129789882436404E-2</v>
      </c>
      <c r="G132" s="81"/>
    </row>
    <row r="133" spans="1:7" ht="13">
      <c r="A133" s="2" t="s">
        <v>512</v>
      </c>
      <c r="B133" s="38">
        <v>5.5749162293209767E-2</v>
      </c>
      <c r="D133" s="81" t="s">
        <v>487</v>
      </c>
      <c r="E133" s="38">
        <v>3.6716925835271842E-2</v>
      </c>
      <c r="G133" s="81"/>
    </row>
    <row r="134" spans="1:7" ht="13">
      <c r="A134" s="2" t="s">
        <v>603</v>
      </c>
      <c r="B134" s="38">
        <v>4.3159715558499734E-2</v>
      </c>
      <c r="D134" s="81" t="s">
        <v>504</v>
      </c>
      <c r="E134" s="38">
        <v>2.8615589677249101E-2</v>
      </c>
      <c r="G134" s="81"/>
    </row>
    <row r="135" spans="1:7" ht="13">
      <c r="A135" s="2" t="s">
        <v>557</v>
      </c>
      <c r="B135" s="38">
        <v>3.647655353845692E-2</v>
      </c>
      <c r="D135" s="81" t="s">
        <v>546</v>
      </c>
      <c r="E135" s="38">
        <v>1.0085264881102354E-2</v>
      </c>
      <c r="G135" s="81"/>
    </row>
    <row r="136" spans="1:7" ht="13">
      <c r="A136" s="2" t="s">
        <v>610</v>
      </c>
      <c r="B136" s="38">
        <v>2.2907852631008051E-2</v>
      </c>
      <c r="D136" s="81" t="s">
        <v>530</v>
      </c>
      <c r="E136" s="38">
        <v>6.5437279706044744E-3</v>
      </c>
      <c r="G136" s="81"/>
    </row>
    <row r="137" spans="1:7" ht="13">
      <c r="A137" s="2" t="s">
        <v>504</v>
      </c>
      <c r="B137" s="38">
        <v>2.2573762713139368E-2</v>
      </c>
      <c r="D137" s="81" t="s">
        <v>435</v>
      </c>
      <c r="E137" s="38">
        <v>5.1780473230368645E-3</v>
      </c>
      <c r="G137" s="81"/>
    </row>
    <row r="138" spans="1:7" ht="13">
      <c r="A138" s="2" t="s">
        <v>550</v>
      </c>
      <c r="B138" s="38">
        <v>2.2055307551780787E-2</v>
      </c>
      <c r="D138" s="81" t="s">
        <v>473</v>
      </c>
      <c r="E138" s="38">
        <v>4.2457417202494512E-3</v>
      </c>
      <c r="G138" s="81"/>
    </row>
    <row r="139" spans="1:7" ht="13">
      <c r="A139" s="2" t="s">
        <v>530</v>
      </c>
      <c r="B139" s="38">
        <v>2.203974441480654E-2</v>
      </c>
      <c r="D139" s="81" t="s">
        <v>451</v>
      </c>
      <c r="E139" s="38">
        <v>3.4438620849722977E-3</v>
      </c>
      <c r="G139" s="81"/>
    </row>
    <row r="140" spans="1:7" ht="13">
      <c r="A140" s="2" t="s">
        <v>587</v>
      </c>
      <c r="B140" s="38">
        <v>1.9790355707809126E-2</v>
      </c>
      <c r="D140" s="81" t="s">
        <v>571</v>
      </c>
      <c r="E140" s="38">
        <v>2.1728631810821533E-3</v>
      </c>
      <c r="G140" s="81"/>
    </row>
    <row r="141" spans="1:7" ht="13">
      <c r="A141" s="2" t="s">
        <v>597</v>
      </c>
      <c r="B141" s="38">
        <v>1.8883162933299884E-2</v>
      </c>
      <c r="D141" s="81" t="s">
        <v>478</v>
      </c>
      <c r="E141" s="38">
        <v>2.02657540198811E-3</v>
      </c>
      <c r="G141" s="81"/>
    </row>
    <row r="142" spans="1:7" ht="13">
      <c r="A142" s="2" t="s">
        <v>595</v>
      </c>
      <c r="B142" s="38">
        <v>9.0001587437933198E-3</v>
      </c>
      <c r="D142" s="81" t="s">
        <v>483</v>
      </c>
      <c r="E142" s="38">
        <v>1.4237132305545425E-3</v>
      </c>
      <c r="G142" s="81"/>
    </row>
    <row r="143" spans="1:7" ht="13">
      <c r="A143" s="2" t="s">
        <v>612</v>
      </c>
      <c r="B143" s="38">
        <v>8.2251624327975351E-3</v>
      </c>
      <c r="D143" s="81" t="s">
        <v>550</v>
      </c>
      <c r="E143" s="38">
        <v>9.8558439914047205E-4</v>
      </c>
      <c r="G143" s="81"/>
    </row>
    <row r="144" spans="1:7" ht="13">
      <c r="A144" s="2" t="s">
        <v>538</v>
      </c>
      <c r="B144" s="38">
        <v>7.3495662031870228E-3</v>
      </c>
      <c r="D144" s="81" t="s">
        <v>557</v>
      </c>
      <c r="E144" s="38">
        <v>7.8269995344682776E-4</v>
      </c>
      <c r="G144" s="81"/>
    </row>
    <row r="145" spans="1:7" ht="13">
      <c r="A145" s="2" t="s">
        <v>438</v>
      </c>
      <c r="B145" s="38">
        <v>6.98648727712448E-3</v>
      </c>
      <c r="D145" s="81" t="s">
        <v>445</v>
      </c>
      <c r="E145" s="38">
        <v>1.1662192168304607E-4</v>
      </c>
      <c r="G145" s="81"/>
    </row>
    <row r="146" spans="1:7" ht="13">
      <c r="A146" s="2" t="s">
        <v>478</v>
      </c>
      <c r="B146" s="38">
        <v>4.6469872776051298E-3</v>
      </c>
      <c r="D146" s="81" t="s">
        <v>553</v>
      </c>
      <c r="E146" s="38">
        <v>1.0274138283152477E-5</v>
      </c>
      <c r="G146" s="81"/>
    </row>
    <row r="147" spans="1:7" ht="13">
      <c r="A147" s="2" t="s">
        <v>487</v>
      </c>
      <c r="B147" s="38">
        <v>3.2221480460672266E-3</v>
      </c>
      <c r="D147" s="81" t="s">
        <v>606</v>
      </c>
      <c r="E147" s="38">
        <v>9.6924347031350621E-10</v>
      </c>
      <c r="G147" s="81"/>
    </row>
    <row r="148" spans="1:7" ht="13">
      <c r="A148" s="2" t="s">
        <v>483</v>
      </c>
      <c r="B148" s="38">
        <v>3.0120670604162959E-3</v>
      </c>
      <c r="D148" s="81"/>
      <c r="G148" s="81"/>
    </row>
    <row r="149" spans="1:7" ht="13">
      <c r="A149" s="2" t="s">
        <v>435</v>
      </c>
      <c r="B149" s="38">
        <v>1.6354556893130087E-3</v>
      </c>
      <c r="D149" s="81"/>
      <c r="G149" s="81"/>
    </row>
    <row r="150" spans="1:7" ht="13">
      <c r="A150" s="2" t="s">
        <v>606</v>
      </c>
      <c r="B150" s="38">
        <v>1.5044983699234148E-3</v>
      </c>
      <c r="D150" s="81"/>
      <c r="G150" s="81"/>
    </row>
    <row r="151" spans="1:7" ht="13">
      <c r="A151" s="2" t="s">
        <v>445</v>
      </c>
      <c r="B151" s="38">
        <v>8.4086133537126899E-4</v>
      </c>
      <c r="D151" s="81"/>
      <c r="G151" s="81"/>
    </row>
    <row r="152" spans="1:7" ht="13">
      <c r="A152" s="2" t="s">
        <v>553</v>
      </c>
      <c r="B152" s="38">
        <v>5.2987130127775026E-4</v>
      </c>
      <c r="D152" s="81"/>
      <c r="G152" s="81"/>
    </row>
    <row r="153" spans="1:7" ht="13">
      <c r="D153" s="81"/>
      <c r="G153" s="81"/>
    </row>
    <row r="154" spans="1:7" ht="13">
      <c r="A154" s="2" t="s">
        <v>630</v>
      </c>
      <c r="D154" s="2" t="s">
        <v>631</v>
      </c>
      <c r="G154" s="81"/>
    </row>
    <row r="155" spans="1:7" ht="13">
      <c r="A155" s="84" t="s">
        <v>622</v>
      </c>
      <c r="B155" s="84" t="s">
        <v>621</v>
      </c>
      <c r="D155" s="84" t="s">
        <v>622</v>
      </c>
      <c r="E155" s="84" t="s">
        <v>629</v>
      </c>
      <c r="G155" s="81"/>
    </row>
    <row r="156" spans="1:7" ht="13">
      <c r="A156" s="2" t="s">
        <v>571</v>
      </c>
      <c r="B156" s="6">
        <v>258697.51191385588</v>
      </c>
      <c r="D156" s="81" t="s">
        <v>438</v>
      </c>
      <c r="E156" s="6">
        <v>584590.60585299379</v>
      </c>
      <c r="G156" s="81"/>
    </row>
    <row r="157" spans="1:7" ht="13">
      <c r="A157" s="2" t="s">
        <v>546</v>
      </c>
      <c r="B157" s="6">
        <v>180109.65042733794</v>
      </c>
      <c r="D157" s="81" t="s">
        <v>509</v>
      </c>
      <c r="E157" s="6">
        <v>154356.50428237685</v>
      </c>
      <c r="G157" s="81"/>
    </row>
    <row r="158" spans="1:7" ht="13">
      <c r="A158" s="2" t="s">
        <v>509</v>
      </c>
      <c r="B158" s="6">
        <v>129194.22642365316</v>
      </c>
      <c r="D158" s="81" t="s">
        <v>477</v>
      </c>
      <c r="E158" s="6">
        <v>99575.607294285001</v>
      </c>
      <c r="G158" s="81"/>
    </row>
    <row r="159" spans="1:7" ht="13">
      <c r="A159" s="2" t="s">
        <v>599</v>
      </c>
      <c r="B159" s="6">
        <v>121409.73015626631</v>
      </c>
      <c r="D159" s="81" t="s">
        <v>512</v>
      </c>
      <c r="E159" s="6">
        <v>59129.789882436402</v>
      </c>
      <c r="G159" s="81"/>
    </row>
    <row r="160" spans="1:7" ht="13">
      <c r="A160" s="2" t="s">
        <v>512</v>
      </c>
      <c r="B160" s="6">
        <v>55749.162293209767</v>
      </c>
      <c r="D160" s="81" t="s">
        <v>487</v>
      </c>
      <c r="E160" s="6">
        <v>36716.925835271839</v>
      </c>
      <c r="G160" s="81"/>
    </row>
    <row r="161" spans="1:7" ht="13">
      <c r="A161" s="2" t="s">
        <v>603</v>
      </c>
      <c r="B161" s="6">
        <v>43159.715558499731</v>
      </c>
      <c r="D161" s="81" t="s">
        <v>504</v>
      </c>
      <c r="E161" s="6">
        <v>28615.5896772491</v>
      </c>
      <c r="G161" s="81"/>
    </row>
    <row r="162" spans="1:7" ht="13">
      <c r="A162" s="2" t="s">
        <v>557</v>
      </c>
      <c r="B162" s="6">
        <v>36476.553538456923</v>
      </c>
      <c r="D162" s="81" t="s">
        <v>546</v>
      </c>
      <c r="E162" s="6">
        <v>10085.264881102354</v>
      </c>
      <c r="G162" s="81"/>
    </row>
    <row r="163" spans="1:7" ht="13">
      <c r="A163" s="2" t="s">
        <v>610</v>
      </c>
      <c r="B163" s="6">
        <v>22907.852631008052</v>
      </c>
      <c r="D163" s="81" t="s">
        <v>530</v>
      </c>
      <c r="E163" s="6">
        <v>6543.7279706044746</v>
      </c>
      <c r="G163" s="81"/>
    </row>
    <row r="164" spans="1:7" ht="13">
      <c r="A164" s="2" t="s">
        <v>504</v>
      </c>
      <c r="B164" s="6">
        <v>22573.762713139367</v>
      </c>
      <c r="D164" s="81" t="s">
        <v>435</v>
      </c>
      <c r="E164" s="6">
        <v>5178.0473230368643</v>
      </c>
      <c r="G164" s="81"/>
    </row>
    <row r="165" spans="1:7" ht="13">
      <c r="A165" s="2" t="s">
        <v>550</v>
      </c>
      <c r="B165" s="6">
        <v>22055.307551780788</v>
      </c>
      <c r="D165" s="81" t="s">
        <v>473</v>
      </c>
      <c r="E165" s="6">
        <v>4245.7417202494507</v>
      </c>
      <c r="G165" s="81"/>
    </row>
    <row r="166" spans="1:7" ht="13">
      <c r="A166" s="2" t="s">
        <v>530</v>
      </c>
      <c r="B166" s="6">
        <v>22039.744414806541</v>
      </c>
      <c r="D166" s="81" t="s">
        <v>451</v>
      </c>
      <c r="E166" s="6">
        <v>3443.8620849722975</v>
      </c>
      <c r="G166" s="81"/>
    </row>
    <row r="167" spans="1:7" ht="13">
      <c r="A167" s="2" t="s">
        <v>587</v>
      </c>
      <c r="B167" s="6">
        <v>19790.355707809125</v>
      </c>
      <c r="D167" s="81" t="s">
        <v>571</v>
      </c>
      <c r="E167" s="6">
        <v>2172.8631810821535</v>
      </c>
      <c r="G167" s="81"/>
    </row>
    <row r="168" spans="1:7" ht="13">
      <c r="A168" s="2" t="s">
        <v>597</v>
      </c>
      <c r="B168" s="6">
        <v>18883.162933299885</v>
      </c>
      <c r="D168" s="81" t="s">
        <v>478</v>
      </c>
      <c r="E168" s="6">
        <v>2026.5754019881099</v>
      </c>
      <c r="G168" s="81"/>
    </row>
    <row r="169" spans="1:7" ht="13">
      <c r="A169" s="2" t="s">
        <v>595</v>
      </c>
      <c r="B169" s="6">
        <v>9000.1587437933194</v>
      </c>
      <c r="D169" s="81" t="s">
        <v>483</v>
      </c>
      <c r="E169" s="6">
        <v>1423.7132305545426</v>
      </c>
      <c r="G169" s="81"/>
    </row>
    <row r="170" spans="1:7" ht="13">
      <c r="A170" s="2" t="s">
        <v>612</v>
      </c>
      <c r="B170" s="6">
        <v>8225.1624327975351</v>
      </c>
      <c r="D170" s="81" t="s">
        <v>550</v>
      </c>
      <c r="E170" s="6">
        <v>985.5843991404721</v>
      </c>
      <c r="G170" s="81"/>
    </row>
    <row r="171" spans="1:7" ht="13">
      <c r="A171" s="2" t="s">
        <v>538</v>
      </c>
      <c r="B171" s="6">
        <v>7349.5662031870224</v>
      </c>
      <c r="D171" s="81" t="s">
        <v>557</v>
      </c>
      <c r="E171" s="6">
        <v>782.69995344682775</v>
      </c>
      <c r="G171" s="81"/>
    </row>
    <row r="172" spans="1:7" ht="13">
      <c r="A172" s="2" t="s">
        <v>438</v>
      </c>
      <c r="B172" s="6">
        <v>6986.48727712448</v>
      </c>
      <c r="D172" s="81" t="s">
        <v>445</v>
      </c>
      <c r="E172" s="6">
        <v>116.62192168304607</v>
      </c>
      <c r="G172" s="81"/>
    </row>
    <row r="173" spans="1:7" ht="13">
      <c r="A173" s="2" t="s">
        <v>478</v>
      </c>
      <c r="B173" s="6">
        <v>4646.9872776051297</v>
      </c>
      <c r="D173" s="81" t="s">
        <v>553</v>
      </c>
      <c r="E173" s="6">
        <v>10.274138283152476</v>
      </c>
      <c r="G173" s="81"/>
    </row>
    <row r="174" spans="1:7" ht="13">
      <c r="A174" s="2" t="s">
        <v>487</v>
      </c>
      <c r="B174" s="6">
        <v>3222.1480460672265</v>
      </c>
      <c r="D174" s="81" t="s">
        <v>606</v>
      </c>
      <c r="E174" s="6">
        <v>9.6924347031350619E-4</v>
      </c>
      <c r="G174" s="81"/>
    </row>
    <row r="175" spans="1:7" ht="13">
      <c r="A175" s="2" t="s">
        <v>483</v>
      </c>
      <c r="B175" s="6">
        <v>3012.067060416296</v>
      </c>
      <c r="D175" s="81"/>
      <c r="E175" s="6"/>
      <c r="G175" s="81"/>
    </row>
    <row r="176" spans="1:7" ht="13">
      <c r="A176" s="2" t="s">
        <v>435</v>
      </c>
      <c r="B176" s="6">
        <v>1635.4556893130086</v>
      </c>
      <c r="E176" s="81"/>
      <c r="G176" s="81"/>
    </row>
    <row r="177" spans="1:7" ht="13">
      <c r="A177" s="2" t="s">
        <v>606</v>
      </c>
      <c r="B177" s="6">
        <v>1504.4983699234147</v>
      </c>
      <c r="E177" s="81"/>
      <c r="G177" s="81"/>
    </row>
    <row r="178" spans="1:7" ht="13">
      <c r="A178" s="2" t="s">
        <v>445</v>
      </c>
      <c r="B178" s="6">
        <v>840.86133537126898</v>
      </c>
      <c r="E178" s="81"/>
      <c r="G178" s="81"/>
    </row>
    <row r="179" spans="1:7" ht="13">
      <c r="A179" s="2" t="s">
        <v>553</v>
      </c>
      <c r="B179" s="6">
        <v>529.87130127775026</v>
      </c>
      <c r="E179" s="81"/>
      <c r="G179" s="81"/>
    </row>
    <row r="180" spans="1:7" ht="13">
      <c r="A180" s="2">
        <f>A153</f>
        <v>0</v>
      </c>
      <c r="E180" s="81"/>
      <c r="G180" s="81"/>
    </row>
    <row r="181" spans="1:7" ht="13">
      <c r="A181" s="2" t="s">
        <v>632</v>
      </c>
      <c r="D181" s="2" t="s">
        <v>633</v>
      </c>
      <c r="E181" s="81"/>
      <c r="G181" s="81"/>
    </row>
    <row r="182" spans="1:7" ht="13">
      <c r="A182" s="1" t="s">
        <v>622</v>
      </c>
      <c r="B182" s="84" t="s">
        <v>621</v>
      </c>
      <c r="D182" s="1" t="s">
        <v>622</v>
      </c>
      <c r="E182" s="84" t="s">
        <v>629</v>
      </c>
      <c r="G182" s="81"/>
    </row>
    <row r="183" spans="1:7" ht="13">
      <c r="A183" s="2" t="s">
        <v>571</v>
      </c>
      <c r="B183" s="6">
        <v>260517.61491593285</v>
      </c>
      <c r="D183" s="2" t="s">
        <v>509</v>
      </c>
      <c r="E183" s="6">
        <v>371576.82627599098</v>
      </c>
      <c r="G183" s="81"/>
    </row>
    <row r="184" spans="1:7" ht="13">
      <c r="A184" s="2" t="s">
        <v>546</v>
      </c>
      <c r="B184" s="6">
        <v>181376.83739415731</v>
      </c>
      <c r="D184" s="2" t="s">
        <v>477</v>
      </c>
      <c r="E184" s="6">
        <v>239704.755591172</v>
      </c>
      <c r="G184" s="81"/>
    </row>
    <row r="185" spans="1:7" ht="13">
      <c r="A185" s="2" t="s">
        <v>509</v>
      </c>
      <c r="B185" s="6">
        <v>130103.19071026372</v>
      </c>
      <c r="D185" s="2" t="s">
        <v>512</v>
      </c>
      <c r="E185" s="6">
        <v>142341.00315389442</v>
      </c>
      <c r="G185" s="81"/>
    </row>
    <row r="186" spans="1:7" ht="13">
      <c r="A186" s="2" t="s">
        <v>599</v>
      </c>
      <c r="B186" s="6">
        <v>122263.92551633748</v>
      </c>
      <c r="D186" s="2" t="s">
        <v>487</v>
      </c>
      <c r="E186" s="6">
        <v>88387.326701327183</v>
      </c>
      <c r="G186" s="81"/>
    </row>
    <row r="187" spans="1:7" ht="13">
      <c r="A187" s="2" t="s">
        <v>512</v>
      </c>
      <c r="B187" s="6">
        <v>56141.393424087197</v>
      </c>
      <c r="D187" s="2" t="s">
        <v>504</v>
      </c>
      <c r="E187" s="6">
        <v>68885.273372326599</v>
      </c>
      <c r="G187" s="81"/>
    </row>
    <row r="188" spans="1:7" ht="13">
      <c r="A188" s="2" t="s">
        <v>603</v>
      </c>
      <c r="B188" s="6">
        <v>43463.371852971453</v>
      </c>
      <c r="D188" s="2" t="s">
        <v>546</v>
      </c>
      <c r="E188" s="6">
        <v>24277.893141562778</v>
      </c>
      <c r="G188" s="81"/>
    </row>
    <row r="189" spans="1:7" ht="13">
      <c r="A189" s="2" t="s">
        <v>557</v>
      </c>
      <c r="B189" s="6">
        <v>36733.189499543681</v>
      </c>
      <c r="D189" s="2" t="s">
        <v>530</v>
      </c>
      <c r="E189" s="6">
        <v>15752.479512508951</v>
      </c>
      <c r="G189" s="81"/>
    </row>
    <row r="190" spans="1:7" ht="13">
      <c r="A190" s="2" t="s">
        <v>610</v>
      </c>
      <c r="B190" s="6">
        <v>23069.024074198114</v>
      </c>
      <c r="D190" s="2" t="s">
        <v>435</v>
      </c>
      <c r="E190" s="6">
        <v>12464.9259164429</v>
      </c>
      <c r="G190" s="81"/>
    </row>
    <row r="191" spans="1:7" ht="13">
      <c r="A191" s="2" t="s">
        <v>504</v>
      </c>
      <c r="B191" s="6">
        <v>22732.583619372279</v>
      </c>
      <c r="D191" s="2" t="s">
        <v>473</v>
      </c>
      <c r="E191" s="6">
        <v>10220.620380931863</v>
      </c>
      <c r="G191" s="81"/>
    </row>
    <row r="192" spans="1:7" ht="13">
      <c r="A192" s="2" t="s">
        <v>550</v>
      </c>
      <c r="B192" s="6">
        <v>22210.48079326173</v>
      </c>
      <c r="D192" s="2" t="s">
        <v>451</v>
      </c>
      <c r="E192" s="6">
        <v>8290.2845566212036</v>
      </c>
      <c r="G192" s="81"/>
    </row>
    <row r="193" spans="1:7" ht="13">
      <c r="A193" s="2" t="s">
        <v>530</v>
      </c>
      <c r="B193" s="6">
        <v>22194.808159632026</v>
      </c>
      <c r="D193" s="2" t="s">
        <v>571</v>
      </c>
      <c r="E193" s="6">
        <v>5230.6548953806605</v>
      </c>
      <c r="G193" s="81"/>
    </row>
    <row r="194" spans="1:7" ht="13">
      <c r="A194" s="2" t="s">
        <v>587</v>
      </c>
      <c r="B194" s="6">
        <v>19929.593559651898</v>
      </c>
      <c r="D194" s="2" t="s">
        <v>478</v>
      </c>
      <c r="E194" s="6">
        <v>4878.5016192265957</v>
      </c>
      <c r="G194" s="81"/>
    </row>
    <row r="195" spans="1:7" ht="13">
      <c r="A195" s="2" t="s">
        <v>597</v>
      </c>
      <c r="B195" s="6">
        <v>19016.018101829886</v>
      </c>
      <c r="D195" s="2" t="s">
        <v>483</v>
      </c>
      <c r="E195" s="6">
        <v>3427.2533327705992</v>
      </c>
      <c r="G195" s="81"/>
    </row>
    <row r="196" spans="1:7" ht="13">
      <c r="A196" s="2" t="s">
        <v>595</v>
      </c>
      <c r="B196" s="6">
        <v>9063.4806359427985</v>
      </c>
      <c r="D196" s="2" t="s">
        <v>550</v>
      </c>
      <c r="E196" s="6">
        <v>2372.5616537012888</v>
      </c>
      <c r="G196" s="81"/>
    </row>
    <row r="197" spans="1:7" ht="13">
      <c r="A197" s="2" t="s">
        <v>612</v>
      </c>
      <c r="B197" s="6">
        <v>8283.0317285853143</v>
      </c>
      <c r="D197" s="2" t="s">
        <v>557</v>
      </c>
      <c r="E197" s="6">
        <v>1884.165270393099</v>
      </c>
      <c r="G197" s="81"/>
    </row>
    <row r="198" spans="1:7" ht="13">
      <c r="A198" s="2" t="s">
        <v>538</v>
      </c>
      <c r="B198" s="6">
        <v>7401.2751176308484</v>
      </c>
      <c r="D198" s="2" t="s">
        <v>445</v>
      </c>
      <c r="E198" s="6">
        <v>280.73973127765981</v>
      </c>
      <c r="G198" s="81"/>
    </row>
    <row r="199" spans="1:7" ht="13">
      <c r="A199" s="2" t="s">
        <v>478</v>
      </c>
      <c r="B199" s="6">
        <v>4679.681815067087</v>
      </c>
      <c r="D199" s="2" t="s">
        <v>553</v>
      </c>
      <c r="E199" s="6">
        <v>24.73256124659672</v>
      </c>
      <c r="G199" s="81"/>
    </row>
    <row r="200" spans="1:7" ht="13">
      <c r="A200" s="2" t="s">
        <v>487</v>
      </c>
      <c r="B200" s="6">
        <v>3244.81792521835</v>
      </c>
      <c r="E200" s="6"/>
      <c r="G200" s="81"/>
    </row>
    <row r="201" spans="1:7" ht="13">
      <c r="A201" s="2" t="s">
        <v>483</v>
      </c>
      <c r="B201" s="6">
        <v>3033.2588850247453</v>
      </c>
      <c r="E201" s="6"/>
      <c r="G201" s="81"/>
    </row>
    <row r="202" spans="1:7" ht="13">
      <c r="A202" s="2" t="s">
        <v>435</v>
      </c>
      <c r="B202" s="6">
        <v>1646.9621695565208</v>
      </c>
      <c r="E202" s="81"/>
      <c r="G202" s="81"/>
    </row>
    <row r="203" spans="1:7" ht="13">
      <c r="A203" s="2" t="s">
        <v>606</v>
      </c>
      <c r="B203" s="6">
        <v>1515.0834813899271</v>
      </c>
      <c r="E203" s="81"/>
      <c r="G203" s="81"/>
    </row>
    <row r="204" spans="1:7" ht="13">
      <c r="A204" s="2" t="s">
        <v>445</v>
      </c>
      <c r="B204" s="6">
        <v>846.77733444492605</v>
      </c>
      <c r="E204" s="81"/>
      <c r="G204" s="81"/>
    </row>
    <row r="205" spans="1:7" ht="13">
      <c r="A205" s="2" t="s">
        <v>553</v>
      </c>
      <c r="B205" s="6">
        <v>533.59928589977164</v>
      </c>
      <c r="E205" s="81"/>
      <c r="G205" s="81"/>
    </row>
    <row r="206" spans="1:7" ht="13">
      <c r="B206" s="6"/>
      <c r="E206" s="81"/>
      <c r="G206" s="81"/>
    </row>
    <row r="207" spans="1:7" ht="13">
      <c r="B207" s="6"/>
      <c r="E207" s="81"/>
      <c r="G207" s="81"/>
    </row>
    <row r="208" spans="1:7" ht="13">
      <c r="A208" s="2" t="s">
        <v>634</v>
      </c>
      <c r="D208" s="4"/>
      <c r="E208" s="106"/>
      <c r="F208" s="106"/>
      <c r="G208" s="4"/>
    </row>
    <row r="209" spans="1:8" ht="13">
      <c r="A209" s="1" t="s">
        <v>424</v>
      </c>
      <c r="B209" s="1" t="s">
        <v>428</v>
      </c>
      <c r="C209" s="1" t="s">
        <v>418</v>
      </c>
      <c r="D209" s="1" t="s">
        <v>635</v>
      </c>
      <c r="E209" s="1" t="s">
        <v>636</v>
      </c>
      <c r="F209" s="38"/>
      <c r="G209" s="84" t="s">
        <v>622</v>
      </c>
      <c r="H209" s="84" t="s">
        <v>637</v>
      </c>
    </row>
    <row r="210" spans="1:8" ht="13">
      <c r="A210" s="2" t="s">
        <v>508</v>
      </c>
      <c r="B210" s="81">
        <v>0.37157682627599098</v>
      </c>
      <c r="C210" s="81">
        <v>0.12919422642365316</v>
      </c>
      <c r="D210" s="6">
        <v>371576.82627599098</v>
      </c>
      <c r="E210" s="6">
        <v>129194.22642365316</v>
      </c>
      <c r="F210" s="38"/>
      <c r="G210" s="38" t="str">
        <f t="shared" ref="G210:G222" si="98">A210</f>
        <v>Coking coal</v>
      </c>
      <c r="H210" s="6">
        <f t="shared" ref="H210:H222" si="99">D210</f>
        <v>371576.82627599098</v>
      </c>
    </row>
    <row r="211" spans="1:8" ht="13">
      <c r="A211" s="2" t="s">
        <v>482</v>
      </c>
      <c r="B211" s="81">
        <v>2.3891876083900849E-3</v>
      </c>
      <c r="C211" s="81">
        <v>4.5468541809331652E-5</v>
      </c>
      <c r="D211" s="6">
        <v>2389.1876083900847</v>
      </c>
      <c r="E211" s="6">
        <v>45.468541809331654</v>
      </c>
      <c r="F211" s="38"/>
      <c r="G211" s="38" t="str">
        <f t="shared" si="98"/>
        <v>Magnesium</v>
      </c>
      <c r="H211" s="6">
        <f t="shared" si="99"/>
        <v>2389.1876083900847</v>
      </c>
    </row>
    <row r="212" spans="1:8" ht="13">
      <c r="A212" s="2" t="s">
        <v>542</v>
      </c>
      <c r="B212" s="81">
        <v>4.4712537406574608E-4</v>
      </c>
      <c r="C212" s="81">
        <v>2.5489201618693869E-3</v>
      </c>
      <c r="D212" s="6">
        <v>447.12537406574609</v>
      </c>
      <c r="E212" s="6">
        <v>2548.9201618693869</v>
      </c>
      <c r="F212" s="38"/>
      <c r="G212" s="38" t="str">
        <f t="shared" si="98"/>
        <v>Borax</v>
      </c>
      <c r="H212" s="6">
        <f t="shared" si="99"/>
        <v>447.12537406574609</v>
      </c>
    </row>
    <row r="213" spans="1:8" ht="13">
      <c r="A213" s="2" t="s">
        <v>514</v>
      </c>
      <c r="B213" s="81">
        <v>2.7509697718953801E-4</v>
      </c>
      <c r="C213" s="81">
        <v>1.3517773913505633E-4</v>
      </c>
      <c r="D213" s="6">
        <v>275.09697718953799</v>
      </c>
      <c r="E213" s="6">
        <v>135.17773913505633</v>
      </c>
      <c r="F213" s="38"/>
      <c r="G213" s="38" t="str">
        <f t="shared" si="98"/>
        <v>Fluorspar</v>
      </c>
      <c r="H213" s="6">
        <f t="shared" si="99"/>
        <v>275.09697718953799</v>
      </c>
    </row>
    <row r="214" spans="1:8" ht="13">
      <c r="A214" s="2" t="s">
        <v>495</v>
      </c>
      <c r="B214" s="81">
        <v>2.6560082453445737E-4</v>
      </c>
      <c r="C214" s="81">
        <v>3.4489985792741512E-5</v>
      </c>
      <c r="D214" s="6">
        <v>265.60082453445739</v>
      </c>
      <c r="E214" s="6">
        <v>34.489985792741514</v>
      </c>
      <c r="F214" s="38"/>
      <c r="G214" s="38" t="str">
        <f t="shared" si="98"/>
        <v>Titanium</v>
      </c>
      <c r="H214" s="6">
        <f t="shared" si="99"/>
        <v>265.60082453445739</v>
      </c>
    </row>
    <row r="215" spans="1:8" ht="13">
      <c r="A215" s="2" t="s">
        <v>524</v>
      </c>
      <c r="B215" s="81">
        <v>3.414401255116981E-5</v>
      </c>
      <c r="C215" s="81">
        <v>4.2741867075509688E-5</v>
      </c>
      <c r="D215" s="6">
        <v>34.144012551169808</v>
      </c>
      <c r="E215" s="6">
        <v>42.741867075509688</v>
      </c>
      <c r="F215" s="38"/>
      <c r="G215" s="38" t="str">
        <f t="shared" si="98"/>
        <v>Phosphorus</v>
      </c>
      <c r="H215" s="6">
        <f t="shared" si="99"/>
        <v>34.144012551169808</v>
      </c>
    </row>
    <row r="216" spans="1:8" ht="13">
      <c r="A216" s="2" t="s">
        <v>555</v>
      </c>
      <c r="B216" s="81">
        <v>1.2405540275381193E-5</v>
      </c>
      <c r="C216" s="81">
        <v>1.5639390483288346E-4</v>
      </c>
      <c r="D216" s="6">
        <v>12.405540275381194</v>
      </c>
      <c r="E216" s="6">
        <v>156.39390483288346</v>
      </c>
      <c r="F216" s="38"/>
      <c r="G216" s="38" t="str">
        <f t="shared" si="98"/>
        <v>Cerium</v>
      </c>
      <c r="H216" s="6">
        <f t="shared" si="99"/>
        <v>12.405540275381194</v>
      </c>
    </row>
    <row r="217" spans="1:8" ht="13">
      <c r="A217" s="2" t="s">
        <v>534</v>
      </c>
      <c r="B217" s="81">
        <v>9.1735351502454898E-6</v>
      </c>
      <c r="C217" s="81">
        <v>1.5276857589622062E-5</v>
      </c>
      <c r="D217" s="6">
        <v>9.17353515024549</v>
      </c>
      <c r="E217" s="6">
        <v>15.276857589622063</v>
      </c>
      <c r="F217" s="38"/>
      <c r="G217" s="38" t="str">
        <f t="shared" si="98"/>
        <v>Strontium</v>
      </c>
      <c r="H217" s="6">
        <f t="shared" si="99"/>
        <v>9.17353515024549</v>
      </c>
    </row>
    <row r="218" spans="1:8" ht="13">
      <c r="A218" s="2" t="s">
        <v>561</v>
      </c>
      <c r="B218" s="81">
        <v>5.7972590112659591E-6</v>
      </c>
      <c r="C218" s="81">
        <v>1.5489512845477278E-4</v>
      </c>
      <c r="D218" s="6">
        <v>5.7972590112659592</v>
      </c>
      <c r="E218" s="6">
        <v>154.89512845477279</v>
      </c>
      <c r="F218" s="38"/>
      <c r="G218" s="38" t="str">
        <f t="shared" si="98"/>
        <v>Lanthanum</v>
      </c>
      <c r="H218" s="6">
        <f t="shared" si="99"/>
        <v>5.7972590112659592</v>
      </c>
    </row>
    <row r="219" spans="1:8" ht="13">
      <c r="A219" s="2" t="s">
        <v>563</v>
      </c>
      <c r="B219" s="81">
        <v>4.5681798051627744E-6</v>
      </c>
      <c r="C219" s="81">
        <v>1.2219278064018341E-4</v>
      </c>
      <c r="D219" s="6">
        <v>4.5681798051627744</v>
      </c>
      <c r="E219" s="6">
        <v>122.1927806401834</v>
      </c>
      <c r="F219" s="38"/>
      <c r="G219" s="38" t="str">
        <f t="shared" si="98"/>
        <v>Neodymium</v>
      </c>
      <c r="H219" s="6">
        <f t="shared" si="99"/>
        <v>4.5681798051627744</v>
      </c>
    </row>
    <row r="220" spans="1:8" ht="13">
      <c r="A220" s="2" t="s">
        <v>559</v>
      </c>
      <c r="B220" s="81">
        <v>3.67889755343667E-6</v>
      </c>
      <c r="C220" s="81">
        <v>7.8616646219110267E-5</v>
      </c>
      <c r="D220" s="6">
        <v>3.6788975534366699</v>
      </c>
      <c r="E220" s="6">
        <v>78.616646219110265</v>
      </c>
      <c r="F220" s="38"/>
      <c r="G220" s="38" t="str">
        <f t="shared" si="98"/>
        <v>Cobalt</v>
      </c>
      <c r="H220" s="6">
        <f t="shared" si="99"/>
        <v>3.6788975534366699</v>
      </c>
    </row>
    <row r="221" spans="1:8" ht="13">
      <c r="A221" s="2" t="s">
        <v>567</v>
      </c>
      <c r="B221" s="81">
        <v>3.135659472553737E-6</v>
      </c>
      <c r="C221" s="81">
        <v>1.1085921879590323E-4</v>
      </c>
      <c r="D221" s="6">
        <v>3.135659472553737</v>
      </c>
      <c r="E221" s="6">
        <v>110.85921879590323</v>
      </c>
      <c r="F221" s="81"/>
      <c r="G221" s="38" t="str">
        <f t="shared" si="98"/>
        <v>Gallium</v>
      </c>
      <c r="H221" s="6">
        <f t="shared" si="99"/>
        <v>3.135659472553737</v>
      </c>
    </row>
    <row r="222" spans="1:8" ht="13">
      <c r="A222" s="2" t="s">
        <v>552</v>
      </c>
      <c r="B222" s="81">
        <v>1.5297231347926952E-6</v>
      </c>
      <c r="C222" s="81">
        <v>1.6952528194973463E-5</v>
      </c>
      <c r="D222" s="6">
        <v>1.5297231347926952</v>
      </c>
      <c r="E222" s="6">
        <v>16.952528194973464</v>
      </c>
      <c r="F222" s="81"/>
      <c r="G222" s="38" t="str">
        <f t="shared" si="98"/>
        <v>Praseodymium</v>
      </c>
      <c r="H222" s="6">
        <f t="shared" si="99"/>
        <v>1.5297231347926952</v>
      </c>
    </row>
    <row r="223" spans="1:8" ht="13">
      <c r="B223" s="81"/>
      <c r="D223" s="81"/>
      <c r="E223" s="125"/>
      <c r="F223" s="81"/>
    </row>
    <row r="224" spans="1:8" ht="13">
      <c r="A224" s="4"/>
      <c r="B224" s="106"/>
      <c r="C224" s="106"/>
    </row>
    <row r="225" spans="1:5" ht="13">
      <c r="A225" s="106" t="s">
        <v>638</v>
      </c>
      <c r="B225" s="106" t="s">
        <v>639</v>
      </c>
      <c r="C225" s="106" t="s">
        <v>640</v>
      </c>
      <c r="D225" s="106" t="s">
        <v>641</v>
      </c>
      <c r="E225" s="106" t="s">
        <v>642</v>
      </c>
    </row>
    <row r="226" spans="1:5" ht="13">
      <c r="A226" s="2" t="s">
        <v>473</v>
      </c>
      <c r="B226" s="2" t="s">
        <v>473</v>
      </c>
      <c r="C226" s="2" t="s">
        <v>473</v>
      </c>
      <c r="D226" s="2" t="s">
        <v>473</v>
      </c>
      <c r="E226" s="2" t="s">
        <v>473</v>
      </c>
    </row>
    <row r="227" spans="1:5" ht="13">
      <c r="A227" s="2" t="s">
        <v>487</v>
      </c>
      <c r="B227" s="2" t="s">
        <v>451</v>
      </c>
      <c r="C227" s="2" t="s">
        <v>451</v>
      </c>
      <c r="D227" s="2" t="s">
        <v>522</v>
      </c>
      <c r="E227" s="2" t="s">
        <v>522</v>
      </c>
    </row>
    <row r="228" spans="1:5" ht="13">
      <c r="A228" s="2" t="s">
        <v>503</v>
      </c>
      <c r="B228" s="2" t="s">
        <v>449</v>
      </c>
      <c r="C228" s="2" t="s">
        <v>449</v>
      </c>
      <c r="D228" s="2" t="s">
        <v>451</v>
      </c>
      <c r="E228" s="2" t="s">
        <v>451</v>
      </c>
    </row>
    <row r="229" spans="1:5" ht="13">
      <c r="A229" s="2" t="s">
        <v>508</v>
      </c>
      <c r="B229" s="2" t="s">
        <v>487</v>
      </c>
      <c r="C229" s="2" t="s">
        <v>542</v>
      </c>
      <c r="D229" s="2" t="s">
        <v>449</v>
      </c>
      <c r="E229" s="2" t="s">
        <v>449</v>
      </c>
    </row>
    <row r="230" spans="1:5" ht="13">
      <c r="A230" s="2" t="s">
        <v>477</v>
      </c>
      <c r="B230" s="2" t="s">
        <v>480</v>
      </c>
      <c r="C230" s="2" t="s">
        <v>487</v>
      </c>
      <c r="D230" s="2" t="s">
        <v>542</v>
      </c>
      <c r="E230" s="2" t="s">
        <v>542</v>
      </c>
    </row>
    <row r="231" spans="1:5" ht="13">
      <c r="A231" s="2" t="s">
        <v>511</v>
      </c>
      <c r="B231" s="2" t="s">
        <v>538</v>
      </c>
      <c r="C231" s="2" t="s">
        <v>480</v>
      </c>
      <c r="D231" s="2" t="s">
        <v>487</v>
      </c>
      <c r="E231" s="2" t="s">
        <v>597</v>
      </c>
    </row>
    <row r="232" spans="1:5" ht="13">
      <c r="A232" s="2" t="s">
        <v>530</v>
      </c>
      <c r="B232" s="2" t="s">
        <v>503</v>
      </c>
      <c r="C232" s="2" t="s">
        <v>538</v>
      </c>
      <c r="D232" s="2" t="s">
        <v>480</v>
      </c>
      <c r="E232" s="2" t="s">
        <v>487</v>
      </c>
    </row>
    <row r="233" spans="1:5" ht="13">
      <c r="A233" s="2" t="s">
        <v>546</v>
      </c>
      <c r="B233" s="2" t="s">
        <v>508</v>
      </c>
      <c r="C233" s="2" t="s">
        <v>503</v>
      </c>
      <c r="D233" s="2" t="s">
        <v>555</v>
      </c>
      <c r="E233" s="2" t="s">
        <v>480</v>
      </c>
    </row>
    <row r="234" spans="1:5" ht="13">
      <c r="B234" s="2" t="s">
        <v>557</v>
      </c>
      <c r="C234" s="2" t="s">
        <v>508</v>
      </c>
      <c r="D234" s="2" t="s">
        <v>538</v>
      </c>
      <c r="E234" s="2" t="s">
        <v>555</v>
      </c>
    </row>
    <row r="235" spans="1:5" ht="13">
      <c r="B235" s="2" t="s">
        <v>491</v>
      </c>
      <c r="C235" s="2" t="s">
        <v>557</v>
      </c>
      <c r="D235" s="2" t="s">
        <v>503</v>
      </c>
      <c r="E235" s="2" t="s">
        <v>538</v>
      </c>
    </row>
    <row r="236" spans="1:5" ht="13">
      <c r="B236" s="2" t="s">
        <v>477</v>
      </c>
      <c r="C236" s="2" t="s">
        <v>491</v>
      </c>
      <c r="D236" s="2" t="s">
        <v>508</v>
      </c>
      <c r="E236" s="2" t="s">
        <v>503</v>
      </c>
    </row>
    <row r="237" spans="1:5" ht="13">
      <c r="B237" s="2" t="s">
        <v>571</v>
      </c>
      <c r="C237" s="2" t="s">
        <v>514</v>
      </c>
      <c r="D237" s="2" t="s">
        <v>557</v>
      </c>
      <c r="E237" s="2" t="s">
        <v>559</v>
      </c>
    </row>
    <row r="238" spans="1:5" ht="13">
      <c r="B238" s="2" t="s">
        <v>482</v>
      </c>
      <c r="C238" s="2" t="s">
        <v>497</v>
      </c>
      <c r="D238" s="2" t="s">
        <v>491</v>
      </c>
      <c r="E238" s="2" t="s">
        <v>508</v>
      </c>
    </row>
    <row r="239" spans="1:5" ht="13">
      <c r="B239" s="2" t="s">
        <v>516</v>
      </c>
      <c r="C239" s="2" t="s">
        <v>477</v>
      </c>
      <c r="D239" s="2" t="s">
        <v>514</v>
      </c>
      <c r="E239" s="2" t="s">
        <v>557</v>
      </c>
    </row>
    <row r="240" spans="1:5" ht="13">
      <c r="B240" s="2" t="s">
        <v>550</v>
      </c>
      <c r="C240" s="2" t="s">
        <v>447</v>
      </c>
      <c r="D240" s="2" t="s">
        <v>497</v>
      </c>
      <c r="E240" s="2" t="s">
        <v>491</v>
      </c>
    </row>
    <row r="241" spans="2:21" ht="13">
      <c r="B241" s="2" t="s">
        <v>511</v>
      </c>
      <c r="C241" s="2" t="s">
        <v>571</v>
      </c>
      <c r="D241" s="2" t="s">
        <v>477</v>
      </c>
      <c r="E241" s="2" t="s">
        <v>518</v>
      </c>
    </row>
    <row r="242" spans="2:21" ht="13">
      <c r="B242" s="2" t="s">
        <v>530</v>
      </c>
      <c r="C242" s="2" t="s">
        <v>493</v>
      </c>
      <c r="D242" s="2" t="s">
        <v>442</v>
      </c>
      <c r="E242" s="2" t="s">
        <v>514</v>
      </c>
    </row>
    <row r="243" spans="2:21" ht="13">
      <c r="B243" s="2" t="s">
        <v>546</v>
      </c>
      <c r="C243" s="2" t="s">
        <v>482</v>
      </c>
      <c r="D243" s="2" t="s">
        <v>447</v>
      </c>
      <c r="E243" s="2" t="s">
        <v>567</v>
      </c>
    </row>
    <row r="244" spans="2:21" ht="13">
      <c r="C244" s="2" t="s">
        <v>516</v>
      </c>
      <c r="D244" s="2" t="s">
        <v>571</v>
      </c>
      <c r="E244" s="2" t="s">
        <v>497</v>
      </c>
      <c r="R244" s="81"/>
      <c r="S244" s="81"/>
      <c r="T244" s="38"/>
      <c r="U244" s="38"/>
    </row>
    <row r="245" spans="2:21" ht="13">
      <c r="C245" s="2" t="s">
        <v>550</v>
      </c>
      <c r="D245" s="2" t="s">
        <v>493</v>
      </c>
      <c r="E245" s="2" t="s">
        <v>477</v>
      </c>
    </row>
    <row r="246" spans="2:21" ht="13">
      <c r="C246" s="2" t="s">
        <v>511</v>
      </c>
      <c r="D246" s="2" t="s">
        <v>482</v>
      </c>
      <c r="E246" s="2" t="s">
        <v>442</v>
      </c>
    </row>
    <row r="247" spans="2:21" ht="13">
      <c r="C247" s="2" t="s">
        <v>489</v>
      </c>
      <c r="D247" s="2" t="s">
        <v>516</v>
      </c>
      <c r="E247" s="2" t="s">
        <v>561</v>
      </c>
    </row>
    <row r="248" spans="2:21" ht="13">
      <c r="C248" s="2" t="s">
        <v>444</v>
      </c>
      <c r="D248" s="2" t="s">
        <v>469</v>
      </c>
      <c r="E248" s="2" t="s">
        <v>447</v>
      </c>
    </row>
    <row r="249" spans="2:21" ht="13">
      <c r="C249" s="2" t="s">
        <v>530</v>
      </c>
      <c r="D249" s="2" t="s">
        <v>587</v>
      </c>
      <c r="E249" s="2" t="s">
        <v>571</v>
      </c>
    </row>
    <row r="250" spans="2:21" ht="13">
      <c r="C250" s="2" t="s">
        <v>528</v>
      </c>
      <c r="D250" s="2" t="s">
        <v>550</v>
      </c>
      <c r="E250" s="2" t="s">
        <v>493</v>
      </c>
    </row>
    <row r="251" spans="2:21" ht="13">
      <c r="C251" s="2" t="s">
        <v>495</v>
      </c>
      <c r="D251" s="2" t="s">
        <v>511</v>
      </c>
      <c r="E251" s="2" t="s">
        <v>482</v>
      </c>
    </row>
    <row r="252" spans="2:21" ht="13">
      <c r="C252" s="2" t="s">
        <v>546</v>
      </c>
      <c r="D252" s="2" t="s">
        <v>524</v>
      </c>
      <c r="E252" s="2" t="s">
        <v>516</v>
      </c>
    </row>
    <row r="253" spans="2:21" ht="13">
      <c r="D253" s="2" t="s">
        <v>489</v>
      </c>
      <c r="E253" s="2" t="s">
        <v>469</v>
      </c>
    </row>
    <row r="254" spans="2:21" ht="13">
      <c r="D254" s="2" t="s">
        <v>444</v>
      </c>
      <c r="E254" s="2" t="s">
        <v>587</v>
      </c>
    </row>
    <row r="255" spans="2:21" ht="13">
      <c r="D255" s="2" t="s">
        <v>599</v>
      </c>
      <c r="E255" s="2" t="s">
        <v>563</v>
      </c>
    </row>
    <row r="256" spans="2:21" ht="13">
      <c r="D256" s="2" t="s">
        <v>530</v>
      </c>
      <c r="E256" s="2" t="s">
        <v>550</v>
      </c>
    </row>
    <row r="257" spans="1:21" ht="13">
      <c r="A257" s="81"/>
      <c r="D257" s="2" t="s">
        <v>499</v>
      </c>
      <c r="E257" s="2" t="s">
        <v>511</v>
      </c>
    </row>
    <row r="258" spans="1:21" ht="13">
      <c r="A258" s="81"/>
      <c r="D258" s="2" t="s">
        <v>528</v>
      </c>
      <c r="E258" s="2" t="s">
        <v>524</v>
      </c>
    </row>
    <row r="259" spans="1:21" ht="13">
      <c r="A259" s="81"/>
      <c r="D259" s="2" t="s">
        <v>520</v>
      </c>
      <c r="E259" s="2" t="s">
        <v>489</v>
      </c>
    </row>
    <row r="260" spans="1:21" ht="13">
      <c r="A260" s="81"/>
      <c r="D260" s="2" t="s">
        <v>495</v>
      </c>
      <c r="E260" s="2" t="s">
        <v>552</v>
      </c>
    </row>
    <row r="261" spans="1:21" ht="13">
      <c r="A261" s="81"/>
      <c r="D261" s="2" t="s">
        <v>546</v>
      </c>
      <c r="E261" s="2" t="s">
        <v>595</v>
      </c>
    </row>
    <row r="262" spans="1:21" ht="13">
      <c r="A262" s="81"/>
      <c r="D262" s="2" t="s">
        <v>540</v>
      </c>
      <c r="E262" s="2" t="s">
        <v>444</v>
      </c>
    </row>
    <row r="263" spans="1:21" ht="13">
      <c r="A263" s="81"/>
      <c r="E263" s="2" t="s">
        <v>599</v>
      </c>
    </row>
    <row r="264" spans="1:21" ht="13">
      <c r="A264" s="81"/>
      <c r="E264" s="2" t="s">
        <v>485</v>
      </c>
    </row>
    <row r="265" spans="1:21" ht="13">
      <c r="A265" s="81"/>
      <c r="E265" s="2" t="s">
        <v>530</v>
      </c>
    </row>
    <row r="266" spans="1:21" ht="13">
      <c r="A266" s="81"/>
      <c r="E266" s="2" t="s">
        <v>499</v>
      </c>
    </row>
    <row r="267" spans="1:21" ht="13">
      <c r="A267" s="81"/>
      <c r="E267" s="2" t="s">
        <v>534</v>
      </c>
    </row>
    <row r="268" spans="1:21" ht="13">
      <c r="A268" s="81"/>
      <c r="E268" s="2" t="s">
        <v>528</v>
      </c>
    </row>
    <row r="269" spans="1:21" ht="13">
      <c r="A269" s="81"/>
      <c r="E269" s="2" t="s">
        <v>520</v>
      </c>
    </row>
    <row r="270" spans="1:21" ht="13">
      <c r="A270" s="81"/>
      <c r="E270" s="2" t="s">
        <v>457</v>
      </c>
    </row>
    <row r="271" spans="1:21" ht="13">
      <c r="A271" s="81"/>
      <c r="E271" s="2" t="s">
        <v>581</v>
      </c>
    </row>
    <row r="272" spans="1:21" ht="15" customHeight="1">
      <c r="A272" s="81"/>
      <c r="E272" s="2" t="s">
        <v>495</v>
      </c>
      <c r="R272" s="81"/>
      <c r="S272" s="81"/>
      <c r="T272" s="38"/>
      <c r="U272" s="38"/>
    </row>
    <row r="273" spans="1:5" ht="13">
      <c r="A273" s="81"/>
      <c r="E273" s="2" t="s">
        <v>546</v>
      </c>
    </row>
    <row r="274" spans="1:5" ht="13">
      <c r="A274" s="81"/>
      <c r="E274" s="2" t="s">
        <v>540</v>
      </c>
    </row>
    <row r="275" spans="1:5" ht="13">
      <c r="B275" s="81"/>
    </row>
    <row r="276" spans="1:5" ht="13">
      <c r="B276" s="81"/>
    </row>
    <row r="277" spans="1:5" ht="13">
      <c r="B277" s="81"/>
    </row>
    <row r="278" spans="1:5" ht="13">
      <c r="B278" s="81"/>
    </row>
    <row r="279" spans="1:5" ht="13">
      <c r="B279" s="81"/>
    </row>
    <row r="280" spans="1:5" ht="13">
      <c r="B280" s="81"/>
    </row>
    <row r="281" spans="1:5" ht="13">
      <c r="B281" s="81"/>
    </row>
    <row r="282" spans="1:5" ht="13">
      <c r="B282" s="81"/>
    </row>
    <row r="283" spans="1:5" ht="13">
      <c r="B283" s="81"/>
    </row>
    <row r="284" spans="1:5" ht="13">
      <c r="B284" s="81"/>
    </row>
    <row r="285" spans="1:5" ht="13">
      <c r="B285" s="81"/>
    </row>
    <row r="286" spans="1:5" ht="13">
      <c r="B286" s="81"/>
    </row>
    <row r="287" spans="1:5" ht="13">
      <c r="B287" s="81"/>
    </row>
    <row r="288" spans="1:5" ht="13">
      <c r="B288" s="81"/>
    </row>
    <row r="295" spans="2:5" ht="13">
      <c r="E295" s="81"/>
    </row>
    <row r="296" spans="2:5" ht="13">
      <c r="E296" s="81"/>
    </row>
    <row r="297" spans="2:5" ht="13">
      <c r="E297" s="81"/>
    </row>
    <row r="298" spans="2:5" ht="13">
      <c r="E298" s="81"/>
    </row>
    <row r="299" spans="2:5" ht="13">
      <c r="E299" s="81"/>
    </row>
    <row r="300" spans="2:5" ht="13">
      <c r="E300" s="81"/>
    </row>
    <row r="301" spans="2:5" ht="13">
      <c r="E301" s="81"/>
    </row>
    <row r="302" spans="2:5" ht="13">
      <c r="E302" s="81"/>
    </row>
    <row r="303" spans="2:5" ht="13">
      <c r="E303" s="81"/>
    </row>
    <row r="304" spans="2:5" ht="13">
      <c r="B304" s="81"/>
      <c r="E304" s="81"/>
    </row>
    <row r="305" spans="2:20" ht="13">
      <c r="B305" s="81"/>
      <c r="E305" s="81"/>
    </row>
    <row r="306" spans="2:20" ht="13">
      <c r="E306" s="81"/>
    </row>
    <row r="307" spans="2:20" ht="13">
      <c r="E307" s="81"/>
    </row>
    <row r="308" spans="2:20" ht="13">
      <c r="E308" s="81"/>
    </row>
    <row r="309" spans="2:20" ht="13">
      <c r="E309" s="81"/>
    </row>
    <row r="310" spans="2:20" ht="13">
      <c r="E310" s="81"/>
    </row>
    <row r="311" spans="2:20" ht="13">
      <c r="F311" s="81"/>
    </row>
    <row r="312" spans="2:20" ht="13">
      <c r="F312" s="81"/>
    </row>
    <row r="313" spans="2:20" ht="13">
      <c r="F313" s="81"/>
    </row>
    <row r="314" spans="2:20" ht="13">
      <c r="F314" s="81"/>
      <c r="G314" s="81"/>
      <c r="H314" s="2"/>
      <c r="I314" s="38"/>
      <c r="J314" s="38"/>
      <c r="K314" s="38"/>
      <c r="S314" s="81"/>
      <c r="T314" s="81"/>
    </row>
    <row r="315" spans="2:20" ht="13">
      <c r="F315" s="81"/>
      <c r="G315" s="81"/>
      <c r="H315" s="2"/>
      <c r="I315" s="38"/>
      <c r="J315" s="38"/>
      <c r="K315" s="38"/>
      <c r="S315" s="81"/>
      <c r="T315" s="81"/>
    </row>
    <row r="316" spans="2:20" ht="13">
      <c r="E316" s="2"/>
      <c r="F316" s="81"/>
      <c r="G316" s="81"/>
      <c r="H316" s="2"/>
      <c r="I316" s="38"/>
      <c r="J316" s="38"/>
      <c r="K316" s="38"/>
      <c r="S316" s="81"/>
      <c r="T316" s="81"/>
    </row>
    <row r="317" spans="2:20" ht="13">
      <c r="E317" s="2"/>
      <c r="F317" s="81"/>
      <c r="G317" s="81"/>
      <c r="H317" s="2"/>
      <c r="I317" s="38"/>
      <c r="J317" s="38"/>
      <c r="K317" s="38"/>
      <c r="S317" s="81"/>
      <c r="T317" s="81"/>
    </row>
    <row r="318" spans="2:20" ht="13">
      <c r="E318" s="2"/>
      <c r="F318" s="81"/>
      <c r="G318" s="81"/>
      <c r="H318" s="2"/>
      <c r="I318" s="38"/>
      <c r="J318" s="38"/>
      <c r="K318" s="38"/>
      <c r="S318" s="81"/>
      <c r="T318" s="81"/>
    </row>
    <row r="319" spans="2:20" ht="13">
      <c r="E319" s="2"/>
      <c r="F319" s="81"/>
      <c r="G319" s="81"/>
      <c r="H319" s="2"/>
      <c r="I319" s="38"/>
      <c r="J319" s="38"/>
      <c r="K319" s="38"/>
      <c r="S319" s="81"/>
      <c r="T319" s="81"/>
    </row>
    <row r="320" spans="2:20" ht="13">
      <c r="E320" s="2"/>
      <c r="F320" s="81"/>
      <c r="G320" s="81"/>
      <c r="H320" s="2"/>
      <c r="I320" s="38"/>
      <c r="J320" s="38"/>
      <c r="K320" s="38"/>
      <c r="S320" s="81"/>
      <c r="T320" s="81"/>
    </row>
    <row r="321" spans="1:20" ht="13">
      <c r="E321" s="2"/>
      <c r="F321" s="81"/>
      <c r="G321" s="81"/>
      <c r="H321" s="2"/>
      <c r="I321" s="38"/>
      <c r="J321" s="38"/>
      <c r="K321" s="38"/>
      <c r="S321" s="81"/>
      <c r="T321" s="81"/>
    </row>
    <row r="322" spans="1:20" ht="13">
      <c r="E322" s="2"/>
      <c r="F322" s="81"/>
      <c r="G322" s="81"/>
      <c r="H322" s="2"/>
      <c r="I322" s="38"/>
      <c r="J322" s="38"/>
      <c r="K322" s="38"/>
      <c r="S322" s="81"/>
      <c r="T322" s="81"/>
    </row>
    <row r="323" spans="1:20" ht="13">
      <c r="E323" s="2"/>
      <c r="F323" s="81"/>
      <c r="G323" s="81"/>
      <c r="H323" s="2"/>
      <c r="I323" s="38"/>
      <c r="J323" s="38"/>
      <c r="K323" s="38"/>
      <c r="S323" s="81"/>
      <c r="T323" s="81"/>
    </row>
    <row r="324" spans="1:20" ht="13">
      <c r="E324" s="2"/>
      <c r="F324" s="81"/>
      <c r="G324" s="81"/>
      <c r="H324" s="2"/>
      <c r="I324" s="38"/>
      <c r="J324" s="38"/>
      <c r="K324" s="38"/>
      <c r="S324" s="81"/>
      <c r="T324" s="81"/>
    </row>
    <row r="325" spans="1:20" ht="13">
      <c r="F325" s="81"/>
      <c r="G325" s="81"/>
      <c r="H325" s="2"/>
      <c r="I325" s="38"/>
      <c r="J325" s="38"/>
      <c r="K325" s="38"/>
      <c r="S325" s="81"/>
      <c r="T325" s="81"/>
    </row>
    <row r="326" spans="1:20" ht="13">
      <c r="E326" s="2"/>
      <c r="F326" s="81"/>
      <c r="G326" s="81"/>
      <c r="H326" s="2"/>
      <c r="I326" s="38"/>
      <c r="J326" s="38"/>
      <c r="K326" s="38"/>
      <c r="S326" s="81"/>
      <c r="T326" s="81"/>
    </row>
    <row r="327" spans="1:20" ht="13">
      <c r="E327" s="2"/>
      <c r="F327" s="81"/>
      <c r="G327" s="81"/>
      <c r="H327" s="2"/>
      <c r="I327" s="38"/>
      <c r="J327" s="38"/>
      <c r="K327" s="38"/>
      <c r="S327" s="81"/>
      <c r="T327" s="81"/>
    </row>
    <row r="328" spans="1:20" ht="13">
      <c r="E328" s="2"/>
      <c r="F328" s="81"/>
      <c r="G328" s="81"/>
      <c r="H328" s="2"/>
      <c r="I328" s="38"/>
      <c r="J328" s="38"/>
      <c r="K328" s="38"/>
      <c r="S328" s="81"/>
      <c r="T328" s="81"/>
    </row>
    <row r="329" spans="1:20" ht="13">
      <c r="E329" s="2"/>
      <c r="F329" s="81"/>
      <c r="G329" s="81"/>
      <c r="H329" s="2"/>
      <c r="I329" s="38"/>
      <c r="J329" s="38"/>
      <c r="K329" s="38"/>
      <c r="S329" s="81"/>
      <c r="T329" s="81"/>
    </row>
    <row r="330" spans="1:20" ht="13">
      <c r="E330" s="2"/>
      <c r="F330" s="81"/>
      <c r="G330" s="81"/>
      <c r="H330" s="2"/>
      <c r="I330" s="38"/>
      <c r="J330" s="38"/>
      <c r="K330" s="38"/>
      <c r="S330" s="81"/>
      <c r="T330" s="81"/>
    </row>
    <row r="331" spans="1:20" ht="13">
      <c r="E331" s="2"/>
      <c r="F331" s="81"/>
      <c r="G331" s="81"/>
      <c r="H331" s="2"/>
      <c r="I331" s="38"/>
      <c r="J331" s="38"/>
      <c r="K331" s="38"/>
      <c r="S331" s="81"/>
      <c r="T331" s="81"/>
    </row>
    <row r="332" spans="1:20" ht="13">
      <c r="E332" s="2"/>
      <c r="F332" s="81"/>
      <c r="G332" s="81"/>
      <c r="H332" s="2"/>
      <c r="I332" s="38"/>
      <c r="J332" s="38"/>
      <c r="K332" s="38"/>
      <c r="S332" s="81"/>
      <c r="T332" s="81"/>
    </row>
    <row r="333" spans="1:20" ht="13">
      <c r="E333" s="2"/>
      <c r="F333" s="81"/>
      <c r="G333" s="81"/>
      <c r="H333" s="2"/>
      <c r="I333" s="38"/>
      <c r="J333" s="38"/>
      <c r="K333" s="38"/>
      <c r="S333" s="81"/>
      <c r="T333" s="81"/>
    </row>
    <row r="334" spans="1:20" ht="13">
      <c r="E334" s="2"/>
      <c r="F334" s="81"/>
      <c r="G334" s="81"/>
      <c r="H334" s="2"/>
      <c r="I334" s="38"/>
      <c r="J334" s="38"/>
      <c r="K334" s="38"/>
      <c r="S334" s="81"/>
      <c r="T334" s="81"/>
    </row>
    <row r="335" spans="1:20" ht="13">
      <c r="E335" s="2"/>
      <c r="F335" s="81"/>
      <c r="G335" s="81"/>
      <c r="H335" s="2"/>
      <c r="I335" s="38"/>
      <c r="J335" s="38"/>
      <c r="K335" s="38"/>
      <c r="S335" s="81"/>
      <c r="T335" s="81"/>
    </row>
    <row r="336" spans="1:20" ht="13">
      <c r="A336" s="3"/>
      <c r="B336" s="126"/>
      <c r="C336" s="81"/>
      <c r="D336" s="81"/>
      <c r="E336" s="2"/>
      <c r="F336" s="81"/>
      <c r="G336" s="81"/>
      <c r="H336" s="2"/>
      <c r="I336" s="38"/>
      <c r="J336" s="38"/>
      <c r="K336" s="38"/>
      <c r="S336" s="81"/>
      <c r="T336" s="81"/>
    </row>
    <row r="337" spans="1:20" ht="13">
      <c r="A337" s="3"/>
      <c r="B337" s="126"/>
      <c r="C337" s="81"/>
      <c r="D337" s="81"/>
      <c r="E337" s="2"/>
      <c r="F337" s="81"/>
      <c r="G337" s="81"/>
      <c r="H337" s="2"/>
      <c r="I337" s="38"/>
      <c r="J337" s="38"/>
      <c r="K337" s="38"/>
      <c r="S337" s="81"/>
      <c r="T337" s="81"/>
    </row>
    <row r="338" spans="1:20" ht="13">
      <c r="A338" s="3"/>
      <c r="B338" s="126"/>
      <c r="C338" s="81"/>
      <c r="D338" s="81"/>
      <c r="E338" s="2"/>
      <c r="F338" s="81"/>
      <c r="G338" s="81"/>
      <c r="H338" s="2"/>
      <c r="I338" s="38"/>
      <c r="J338" s="38"/>
      <c r="K338" s="38"/>
      <c r="S338" s="81"/>
      <c r="T338" s="81"/>
    </row>
    <row r="339" spans="1:20" ht="13">
      <c r="A339" s="3"/>
      <c r="B339" s="126"/>
      <c r="C339" s="81"/>
      <c r="D339" s="81"/>
      <c r="E339" s="2"/>
      <c r="F339" s="81"/>
      <c r="G339" s="81"/>
      <c r="H339" s="2"/>
      <c r="I339" s="38"/>
      <c r="J339" s="38"/>
      <c r="K339" s="38"/>
      <c r="S339" s="81"/>
      <c r="T339" s="81"/>
    </row>
    <row r="340" spans="1:20" ht="13">
      <c r="A340" s="3"/>
      <c r="B340" s="126"/>
      <c r="C340" s="81"/>
      <c r="D340" s="81"/>
      <c r="E340" s="2"/>
      <c r="F340" s="81"/>
      <c r="G340" s="81"/>
      <c r="H340" s="2"/>
      <c r="I340" s="38"/>
      <c r="J340" s="38"/>
      <c r="K340" s="38"/>
      <c r="S340" s="81"/>
      <c r="T340" s="81"/>
    </row>
    <row r="341" spans="1:20" ht="13">
      <c r="A341" s="3"/>
      <c r="B341" s="126"/>
      <c r="C341" s="81"/>
      <c r="D341" s="81"/>
      <c r="E341" s="2"/>
      <c r="F341" s="81"/>
      <c r="G341" s="81"/>
      <c r="H341" s="2"/>
      <c r="I341" s="38"/>
      <c r="J341" s="38"/>
      <c r="K341" s="38"/>
      <c r="S341" s="81"/>
      <c r="T341" s="81"/>
    </row>
    <row r="342" spans="1:20" ht="13">
      <c r="A342" s="3"/>
      <c r="B342" s="126"/>
      <c r="C342" s="81"/>
      <c r="D342" s="81"/>
      <c r="E342" s="2"/>
      <c r="F342" s="81"/>
      <c r="G342" s="81"/>
      <c r="H342" s="2"/>
      <c r="I342" s="38"/>
      <c r="J342" s="38"/>
      <c r="K342" s="38"/>
      <c r="S342" s="81"/>
      <c r="T342" s="81"/>
    </row>
    <row r="343" spans="1:20" ht="13">
      <c r="A343" s="3"/>
      <c r="B343" s="126"/>
      <c r="C343" s="81"/>
      <c r="D343" s="81"/>
      <c r="E343" s="2"/>
      <c r="F343" s="81"/>
      <c r="G343" s="81"/>
      <c r="H343" s="2"/>
      <c r="I343" s="38"/>
      <c r="J343" s="38"/>
      <c r="K343" s="38"/>
      <c r="S343" s="81"/>
      <c r="T343" s="81"/>
    </row>
    <row r="344" spans="1:20" ht="13">
      <c r="A344" s="3"/>
      <c r="B344" s="126"/>
      <c r="C344" s="81"/>
      <c r="D344" s="81"/>
      <c r="E344" s="2"/>
      <c r="F344" s="81"/>
      <c r="G344" s="81"/>
      <c r="H344" s="2"/>
      <c r="I344" s="38"/>
      <c r="J344" s="38"/>
      <c r="K344" s="38"/>
      <c r="S344" s="81"/>
      <c r="T344" s="81"/>
    </row>
    <row r="345" spans="1:20" ht="13">
      <c r="A345" s="3"/>
      <c r="B345" s="126"/>
      <c r="C345" s="81"/>
      <c r="D345" s="81"/>
      <c r="E345" s="2"/>
      <c r="F345" s="81"/>
      <c r="G345" s="81"/>
      <c r="H345" s="2"/>
      <c r="I345" s="38"/>
      <c r="J345" s="38"/>
      <c r="K345" s="38"/>
      <c r="S345" s="81"/>
      <c r="T345" s="81"/>
    </row>
    <row r="346" spans="1:20" ht="13">
      <c r="A346" s="3"/>
      <c r="B346" s="126"/>
      <c r="C346" s="81"/>
      <c r="D346" s="81"/>
      <c r="E346" s="2"/>
      <c r="F346" s="81"/>
      <c r="G346" s="81"/>
      <c r="H346" s="2"/>
      <c r="I346" s="38"/>
      <c r="J346" s="38"/>
      <c r="K346" s="38"/>
      <c r="S346" s="81"/>
      <c r="T346" s="81"/>
    </row>
    <row r="347" spans="1:20" ht="13">
      <c r="A347" s="3"/>
      <c r="B347" s="126"/>
      <c r="C347" s="81"/>
      <c r="D347" s="81"/>
      <c r="E347" s="2"/>
      <c r="F347" s="81"/>
      <c r="G347" s="81"/>
      <c r="H347" s="2"/>
      <c r="I347" s="38"/>
      <c r="J347" s="38"/>
      <c r="K347" s="38"/>
      <c r="S347" s="81"/>
      <c r="T347" s="81"/>
    </row>
    <row r="348" spans="1:20" ht="13">
      <c r="A348" s="3"/>
      <c r="B348" s="126"/>
      <c r="C348" s="81"/>
      <c r="D348" s="81"/>
      <c r="E348" s="2"/>
      <c r="F348" s="81"/>
      <c r="G348" s="81"/>
      <c r="H348" s="2"/>
      <c r="I348" s="38"/>
      <c r="J348" s="38"/>
      <c r="K348" s="38"/>
      <c r="S348" s="81"/>
      <c r="T348" s="81"/>
    </row>
    <row r="349" spans="1:20" ht="13">
      <c r="A349" s="3"/>
      <c r="B349" s="126"/>
      <c r="C349" s="81"/>
      <c r="D349" s="81"/>
      <c r="E349" s="2"/>
      <c r="F349" s="81"/>
      <c r="G349" s="81"/>
      <c r="H349" s="2"/>
      <c r="I349" s="38"/>
      <c r="J349" s="38"/>
      <c r="K349" s="38"/>
      <c r="S349" s="81"/>
      <c r="T349" s="81"/>
    </row>
    <row r="350" spans="1:20" ht="13">
      <c r="A350" s="3"/>
      <c r="B350" s="126"/>
      <c r="C350" s="81"/>
      <c r="D350" s="81"/>
      <c r="E350" s="2"/>
      <c r="F350" s="81"/>
      <c r="G350" s="81"/>
      <c r="H350" s="2"/>
      <c r="I350" s="38"/>
      <c r="J350" s="38"/>
      <c r="K350" s="38"/>
      <c r="S350" s="81"/>
      <c r="T350" s="81"/>
    </row>
    <row r="351" spans="1:20" ht="13">
      <c r="A351" s="3"/>
      <c r="B351" s="126"/>
      <c r="C351" s="81"/>
      <c r="D351" s="81"/>
      <c r="E351" s="2"/>
      <c r="F351" s="81"/>
      <c r="G351" s="81"/>
      <c r="H351" s="2"/>
      <c r="I351" s="38"/>
      <c r="J351" s="38"/>
      <c r="K351" s="38"/>
      <c r="S351" s="81"/>
      <c r="T351" s="81"/>
    </row>
    <row r="352" spans="1:20" ht="13">
      <c r="A352" s="3"/>
      <c r="B352" s="126"/>
      <c r="C352" s="81"/>
      <c r="D352" s="81"/>
      <c r="E352" s="2"/>
      <c r="F352" s="81"/>
      <c r="G352" s="81"/>
      <c r="H352" s="2"/>
      <c r="I352" s="38"/>
      <c r="J352" s="38"/>
      <c r="K352" s="38"/>
      <c r="S352" s="81"/>
      <c r="T352" s="81"/>
    </row>
    <row r="353" spans="1:20" ht="13">
      <c r="A353" s="3"/>
      <c r="B353" s="126"/>
      <c r="C353" s="81"/>
      <c r="D353" s="81"/>
      <c r="E353" s="2"/>
      <c r="F353" s="81"/>
      <c r="G353" s="81"/>
      <c r="H353" s="2"/>
      <c r="I353" s="38"/>
      <c r="J353" s="38"/>
      <c r="K353" s="38"/>
      <c r="S353" s="81"/>
      <c r="T353" s="81"/>
    </row>
    <row r="354" spans="1:20" ht="13">
      <c r="A354" s="3"/>
      <c r="B354" s="126"/>
      <c r="C354" s="81"/>
      <c r="D354" s="81"/>
      <c r="E354" s="2"/>
      <c r="F354" s="81"/>
      <c r="G354" s="81"/>
      <c r="H354" s="2"/>
      <c r="I354" s="38"/>
      <c r="J354" s="38"/>
      <c r="K354" s="38"/>
      <c r="S354" s="81"/>
      <c r="T354" s="81"/>
    </row>
    <row r="355" spans="1:20" ht="13">
      <c r="A355" s="3"/>
      <c r="B355" s="126"/>
      <c r="C355" s="81"/>
      <c r="D355" s="81"/>
      <c r="E355" s="2"/>
      <c r="F355" s="81"/>
      <c r="G355" s="81"/>
      <c r="H355" s="2"/>
      <c r="I355" s="38"/>
      <c r="J355" s="38"/>
      <c r="K355" s="38"/>
      <c r="S355" s="81"/>
      <c r="T355" s="81"/>
    </row>
    <row r="356" spans="1:20" ht="13">
      <c r="A356" s="3"/>
      <c r="B356" s="126"/>
      <c r="C356" s="81"/>
      <c r="D356" s="81"/>
      <c r="E356" s="2"/>
      <c r="F356" s="81"/>
      <c r="G356" s="81"/>
      <c r="H356" s="2"/>
      <c r="I356" s="38"/>
      <c r="J356" s="38"/>
      <c r="K356" s="38"/>
      <c r="S356" s="81"/>
      <c r="T356" s="81"/>
    </row>
    <row r="357" spans="1:20" ht="13">
      <c r="A357" s="3"/>
      <c r="B357" s="126"/>
      <c r="C357" s="81"/>
      <c r="D357" s="81"/>
      <c r="E357" s="2"/>
      <c r="F357" s="81"/>
      <c r="G357" s="81"/>
      <c r="H357" s="2"/>
      <c r="I357" s="38"/>
      <c r="J357" s="38"/>
      <c r="K357" s="38"/>
      <c r="S357" s="81"/>
      <c r="T357" s="81"/>
    </row>
    <row r="358" spans="1:20" ht="13">
      <c r="A358" s="3"/>
      <c r="B358" s="126"/>
      <c r="C358" s="81"/>
      <c r="D358" s="81"/>
      <c r="E358" s="2"/>
      <c r="F358" s="81"/>
      <c r="G358" s="81"/>
      <c r="H358" s="2"/>
      <c r="I358" s="38"/>
      <c r="J358" s="38"/>
      <c r="K358" s="38"/>
      <c r="S358" s="81"/>
      <c r="T358" s="81"/>
    </row>
    <row r="359" spans="1:20" ht="13">
      <c r="A359" s="3"/>
      <c r="B359" s="126"/>
      <c r="C359" s="81"/>
      <c r="D359" s="81"/>
      <c r="E359" s="2"/>
      <c r="F359" s="81"/>
      <c r="G359" s="81"/>
      <c r="H359" s="2"/>
      <c r="I359" s="38"/>
      <c r="J359" s="38"/>
      <c r="K359" s="38"/>
      <c r="S359" s="81"/>
      <c r="T359" s="81"/>
    </row>
    <row r="360" spans="1:20" ht="13">
      <c r="A360" s="3"/>
      <c r="B360" s="126"/>
      <c r="C360" s="81"/>
      <c r="D360" s="81"/>
      <c r="E360" s="2"/>
      <c r="F360" s="81"/>
      <c r="G360" s="81"/>
      <c r="H360" s="2"/>
      <c r="I360" s="38"/>
      <c r="J360" s="38"/>
      <c r="K360" s="38"/>
      <c r="S360" s="81"/>
      <c r="T360" s="81"/>
    </row>
    <row r="361" spans="1:20" ht="13">
      <c r="A361" s="3"/>
      <c r="B361" s="126"/>
      <c r="C361" s="81"/>
      <c r="D361" s="81"/>
      <c r="E361" s="2"/>
      <c r="F361" s="81"/>
      <c r="G361" s="81"/>
      <c r="H361" s="2"/>
      <c r="I361" s="38"/>
      <c r="J361" s="38"/>
      <c r="K361" s="38"/>
      <c r="S361" s="81"/>
      <c r="T361" s="81"/>
    </row>
    <row r="362" spans="1:20" ht="13">
      <c r="A362" s="3"/>
      <c r="B362" s="126"/>
      <c r="C362" s="81"/>
      <c r="D362" s="81"/>
      <c r="E362" s="2"/>
      <c r="F362" s="81"/>
      <c r="G362" s="81"/>
      <c r="H362" s="2"/>
      <c r="I362" s="38"/>
      <c r="J362" s="38"/>
      <c r="K362" s="38"/>
      <c r="S362" s="81"/>
      <c r="T362" s="81"/>
    </row>
    <row r="363" spans="1:20" ht="13">
      <c r="A363" s="3"/>
      <c r="B363" s="126"/>
      <c r="C363" s="81"/>
      <c r="D363" s="81"/>
      <c r="E363" s="2"/>
      <c r="F363" s="81"/>
      <c r="G363" s="81"/>
      <c r="H363" s="2"/>
      <c r="I363" s="38"/>
      <c r="J363" s="38"/>
      <c r="K363" s="38"/>
      <c r="S363" s="81"/>
      <c r="T363" s="81"/>
    </row>
    <row r="364" spans="1:20" ht="13">
      <c r="A364" s="3"/>
      <c r="B364" s="126"/>
      <c r="C364" s="81"/>
      <c r="D364" s="81"/>
      <c r="E364" s="2"/>
      <c r="F364" s="81"/>
      <c r="G364" s="81"/>
      <c r="H364" s="2"/>
      <c r="I364" s="38"/>
      <c r="J364" s="38"/>
      <c r="K364" s="38"/>
      <c r="S364" s="81"/>
      <c r="T364" s="81"/>
    </row>
    <row r="365" spans="1:20" ht="13">
      <c r="A365" s="3"/>
      <c r="B365" s="126"/>
      <c r="C365" s="81"/>
      <c r="D365" s="81"/>
      <c r="E365" s="2"/>
      <c r="F365" s="81"/>
      <c r="G365" s="81"/>
      <c r="H365" s="2"/>
      <c r="I365" s="38"/>
      <c r="J365" s="38"/>
      <c r="K365" s="38"/>
      <c r="S365" s="81"/>
      <c r="T365" s="81"/>
    </row>
    <row r="366" spans="1:20" ht="13">
      <c r="A366" s="3"/>
      <c r="B366" s="126"/>
      <c r="C366" s="81"/>
      <c r="D366" s="81"/>
      <c r="E366" s="2"/>
      <c r="F366" s="81"/>
      <c r="G366" s="81"/>
      <c r="H366" s="2"/>
      <c r="I366" s="38"/>
      <c r="J366" s="38"/>
      <c r="K366" s="38"/>
      <c r="S366" s="81"/>
      <c r="T366" s="81"/>
    </row>
    <row r="367" spans="1:20" ht="13">
      <c r="A367" s="3"/>
      <c r="B367" s="126"/>
      <c r="C367" s="81"/>
      <c r="D367" s="81"/>
      <c r="E367" s="2"/>
      <c r="F367" s="81"/>
      <c r="G367" s="81"/>
      <c r="H367" s="2"/>
      <c r="I367" s="38"/>
      <c r="J367" s="38"/>
      <c r="K367" s="38"/>
      <c r="S367" s="81"/>
      <c r="T367" s="81"/>
    </row>
    <row r="368" spans="1:20" ht="13">
      <c r="A368" s="3"/>
      <c r="B368" s="126"/>
      <c r="C368" s="81"/>
      <c r="D368" s="81"/>
      <c r="E368" s="2"/>
      <c r="F368" s="81"/>
      <c r="G368" s="81"/>
      <c r="H368" s="2"/>
      <c r="I368" s="38"/>
      <c r="J368" s="38"/>
      <c r="K368" s="38"/>
      <c r="S368" s="81"/>
      <c r="T368" s="81"/>
    </row>
    <row r="369" spans="1:20" ht="13">
      <c r="A369" s="3"/>
      <c r="B369" s="126"/>
      <c r="C369" s="81"/>
      <c r="D369" s="81"/>
      <c r="E369" s="2"/>
      <c r="F369" s="81"/>
      <c r="G369" s="81"/>
      <c r="H369" s="2"/>
      <c r="I369" s="38"/>
      <c r="J369" s="38"/>
      <c r="K369" s="38"/>
      <c r="S369" s="81"/>
      <c r="T369" s="81"/>
    </row>
    <row r="370" spans="1:20" ht="13">
      <c r="A370" s="3"/>
      <c r="B370" s="126"/>
      <c r="C370" s="81"/>
      <c r="D370" s="81"/>
      <c r="E370" s="2"/>
      <c r="F370" s="81"/>
      <c r="G370" s="81"/>
      <c r="H370" s="2"/>
      <c r="I370" s="38"/>
      <c r="J370" s="38"/>
      <c r="K370" s="38"/>
      <c r="S370" s="81"/>
      <c r="T370" s="81"/>
    </row>
    <row r="371" spans="1:20" ht="13">
      <c r="A371" s="3"/>
      <c r="B371" s="126"/>
      <c r="C371" s="81"/>
      <c r="D371" s="81"/>
      <c r="E371" s="2"/>
      <c r="F371" s="81"/>
      <c r="G371" s="81"/>
      <c r="H371" s="2"/>
      <c r="I371" s="38"/>
      <c r="J371" s="38"/>
      <c r="K371" s="38"/>
      <c r="S371" s="81"/>
      <c r="T371" s="81"/>
    </row>
    <row r="372" spans="1:20" ht="13">
      <c r="A372" s="3"/>
      <c r="B372" s="126"/>
      <c r="C372" s="81"/>
      <c r="D372" s="81"/>
      <c r="E372" s="2"/>
      <c r="F372" s="81"/>
      <c r="G372" s="81"/>
      <c r="H372" s="2"/>
      <c r="I372" s="38"/>
      <c r="J372" s="38"/>
      <c r="K372" s="38"/>
      <c r="S372" s="81"/>
      <c r="T372" s="81"/>
    </row>
    <row r="373" spans="1:20" ht="13">
      <c r="A373" s="3"/>
      <c r="B373" s="126"/>
      <c r="C373" s="81"/>
      <c r="D373" s="81"/>
      <c r="E373" s="2"/>
      <c r="F373" s="81"/>
      <c r="G373" s="81"/>
      <c r="H373" s="2"/>
      <c r="I373" s="38"/>
      <c r="J373" s="38"/>
      <c r="K373" s="38"/>
      <c r="S373" s="81"/>
      <c r="T373" s="81"/>
    </row>
    <row r="374" spans="1:20" ht="13">
      <c r="A374" s="3"/>
      <c r="B374" s="126"/>
      <c r="C374" s="81"/>
      <c r="D374" s="81"/>
      <c r="E374" s="2"/>
      <c r="F374" s="81"/>
      <c r="G374" s="81"/>
      <c r="H374" s="2"/>
      <c r="I374" s="38"/>
      <c r="J374" s="38"/>
      <c r="K374" s="38"/>
      <c r="S374" s="81"/>
      <c r="T374" s="81"/>
    </row>
    <row r="375" spans="1:20" ht="13">
      <c r="A375" s="3"/>
      <c r="B375" s="126"/>
      <c r="C375" s="81"/>
      <c r="D375" s="81"/>
      <c r="E375" s="2"/>
      <c r="F375" s="81"/>
      <c r="G375" s="81"/>
      <c r="H375" s="2"/>
      <c r="I375" s="38"/>
      <c r="J375" s="38"/>
      <c r="K375" s="38"/>
      <c r="S375" s="81"/>
      <c r="T375" s="81"/>
    </row>
    <row r="376" spans="1:20" ht="13">
      <c r="A376" s="3"/>
      <c r="B376" s="126"/>
      <c r="C376" s="81"/>
      <c r="D376" s="81"/>
      <c r="E376" s="2"/>
      <c r="F376" s="81"/>
      <c r="G376" s="81"/>
      <c r="H376" s="2"/>
      <c r="I376" s="38"/>
      <c r="J376" s="38"/>
      <c r="K376" s="38"/>
      <c r="S376" s="81"/>
      <c r="T376" s="81"/>
    </row>
    <row r="377" spans="1:20" ht="13">
      <c r="A377" s="3"/>
      <c r="B377" s="126"/>
      <c r="C377" s="81"/>
      <c r="D377" s="81"/>
      <c r="E377" s="2"/>
      <c r="F377" s="81"/>
      <c r="G377" s="81"/>
      <c r="H377" s="2"/>
      <c r="I377" s="38"/>
      <c r="J377" s="38"/>
      <c r="K377" s="38"/>
      <c r="S377" s="81"/>
      <c r="T377" s="81"/>
    </row>
    <row r="378" spans="1:20" ht="13">
      <c r="A378" s="3"/>
      <c r="B378" s="126"/>
      <c r="C378" s="81"/>
      <c r="D378" s="81"/>
      <c r="E378" s="2"/>
      <c r="F378" s="81"/>
      <c r="G378" s="81"/>
      <c r="H378" s="2"/>
      <c r="I378" s="38"/>
      <c r="J378" s="38"/>
      <c r="K378" s="38"/>
      <c r="S378" s="81"/>
      <c r="T378" s="81"/>
    </row>
    <row r="379" spans="1:20" ht="13">
      <c r="A379" s="3"/>
      <c r="B379" s="126"/>
      <c r="C379" s="81"/>
      <c r="D379" s="81"/>
      <c r="E379" s="2"/>
      <c r="F379" s="81"/>
      <c r="G379" s="81"/>
      <c r="H379" s="2"/>
      <c r="I379" s="38"/>
      <c r="J379" s="38"/>
      <c r="K379" s="38"/>
      <c r="S379" s="81"/>
      <c r="T379" s="81"/>
    </row>
    <row r="380" spans="1:20" ht="13">
      <c r="A380" s="3"/>
      <c r="B380" s="126"/>
      <c r="C380" s="81"/>
      <c r="D380" s="81"/>
      <c r="E380" s="2"/>
      <c r="F380" s="81"/>
      <c r="G380" s="81"/>
      <c r="H380" s="2"/>
      <c r="I380" s="38"/>
      <c r="J380" s="38"/>
      <c r="K380" s="38"/>
      <c r="S380" s="81"/>
      <c r="T380" s="81"/>
    </row>
    <row r="381" spans="1:20" ht="13">
      <c r="A381" s="3"/>
      <c r="B381" s="126"/>
      <c r="C381" s="81"/>
      <c r="D381" s="81"/>
      <c r="E381" s="2"/>
      <c r="F381" s="81"/>
      <c r="G381" s="81"/>
      <c r="H381" s="2"/>
      <c r="I381" s="38"/>
      <c r="J381" s="38"/>
      <c r="K381" s="38"/>
      <c r="S381" s="81"/>
      <c r="T381" s="81"/>
    </row>
    <row r="382" spans="1:20" ht="13">
      <c r="A382" s="3"/>
      <c r="B382" s="126"/>
      <c r="C382" s="81"/>
      <c r="D382" s="81"/>
      <c r="E382" s="2"/>
      <c r="F382" s="81"/>
      <c r="G382" s="81"/>
      <c r="H382" s="2"/>
      <c r="I382" s="38"/>
      <c r="J382" s="38"/>
      <c r="K382" s="38"/>
      <c r="S382" s="81"/>
      <c r="T382" s="81"/>
    </row>
    <row r="383" spans="1:20" ht="13">
      <c r="A383" s="3"/>
      <c r="B383" s="126"/>
      <c r="C383" s="81"/>
      <c r="D383" s="81"/>
      <c r="E383" s="2"/>
      <c r="F383" s="81"/>
      <c r="G383" s="81"/>
      <c r="H383" s="2"/>
      <c r="I383" s="38"/>
      <c r="J383" s="38"/>
      <c r="K383" s="38"/>
      <c r="S383" s="81"/>
      <c r="T383" s="81"/>
    </row>
    <row r="384" spans="1:20" ht="13">
      <c r="A384" s="3"/>
      <c r="B384" s="126"/>
      <c r="C384" s="81"/>
      <c r="D384" s="81"/>
      <c r="E384" s="2"/>
      <c r="F384" s="81"/>
      <c r="G384" s="81"/>
      <c r="H384" s="2"/>
      <c r="I384" s="38"/>
      <c r="J384" s="38"/>
      <c r="K384" s="38"/>
      <c r="S384" s="81"/>
      <c r="T384" s="81"/>
    </row>
    <row r="385" spans="1:20" ht="13">
      <c r="A385" s="3"/>
      <c r="B385" s="126"/>
      <c r="C385" s="81"/>
      <c r="D385" s="81"/>
      <c r="E385" s="2"/>
      <c r="F385" s="81"/>
      <c r="G385" s="81"/>
      <c r="H385" s="2"/>
      <c r="I385" s="38"/>
      <c r="J385" s="38"/>
      <c r="K385" s="38"/>
      <c r="S385" s="81"/>
      <c r="T385" s="81"/>
    </row>
    <row r="386" spans="1:20" ht="13">
      <c r="A386" s="3"/>
      <c r="B386" s="126"/>
      <c r="C386" s="81"/>
      <c r="D386" s="81"/>
      <c r="E386" s="2"/>
      <c r="F386" s="81"/>
      <c r="G386" s="81"/>
      <c r="H386" s="2"/>
      <c r="I386" s="38"/>
      <c r="J386" s="38"/>
      <c r="K386" s="38"/>
      <c r="S386" s="81"/>
      <c r="T386" s="81"/>
    </row>
    <row r="387" spans="1:20" ht="13">
      <c r="A387" s="3"/>
      <c r="B387" s="126"/>
      <c r="C387" s="81"/>
      <c r="D387" s="81"/>
      <c r="E387" s="2"/>
      <c r="F387" s="81"/>
      <c r="G387" s="81"/>
      <c r="H387" s="2"/>
      <c r="I387" s="38"/>
      <c r="J387" s="38"/>
      <c r="K387" s="38"/>
      <c r="S387" s="81"/>
      <c r="T387" s="81"/>
    </row>
    <row r="388" spans="1:20" ht="13">
      <c r="A388" s="3"/>
      <c r="B388" s="126"/>
      <c r="C388" s="81"/>
      <c r="D388" s="81"/>
      <c r="E388" s="2"/>
      <c r="F388" s="81"/>
      <c r="G388" s="81"/>
      <c r="H388" s="2"/>
      <c r="I388" s="38"/>
      <c r="J388" s="38"/>
      <c r="K388" s="38"/>
      <c r="S388" s="81"/>
      <c r="T388" s="81"/>
    </row>
    <row r="389" spans="1:20" ht="13">
      <c r="A389" s="3"/>
      <c r="B389" s="126"/>
      <c r="C389" s="81"/>
      <c r="D389" s="81"/>
      <c r="E389" s="2"/>
      <c r="F389" s="81"/>
      <c r="G389" s="81"/>
      <c r="H389" s="2"/>
      <c r="I389" s="38"/>
      <c r="J389" s="38"/>
      <c r="K389" s="38"/>
      <c r="S389" s="81"/>
      <c r="T389" s="81"/>
    </row>
    <row r="390" spans="1:20" ht="13">
      <c r="A390" s="3"/>
      <c r="B390" s="126"/>
      <c r="C390" s="81"/>
      <c r="D390" s="81"/>
      <c r="E390" s="2"/>
      <c r="F390" s="81"/>
      <c r="G390" s="81"/>
      <c r="H390" s="2"/>
      <c r="I390" s="38"/>
      <c r="J390" s="38"/>
      <c r="K390" s="38"/>
      <c r="S390" s="81"/>
      <c r="T390" s="81"/>
    </row>
    <row r="391" spans="1:20" ht="13">
      <c r="A391" s="3"/>
      <c r="B391" s="126"/>
      <c r="C391" s="81"/>
      <c r="D391" s="81"/>
      <c r="E391" s="2"/>
      <c r="F391" s="81"/>
      <c r="G391" s="81"/>
      <c r="H391" s="2"/>
      <c r="I391" s="38"/>
      <c r="J391" s="38"/>
      <c r="K391" s="38"/>
      <c r="S391" s="81"/>
      <c r="T391" s="81"/>
    </row>
    <row r="392" spans="1:20" ht="13">
      <c r="A392" s="3"/>
      <c r="B392" s="126"/>
      <c r="C392" s="81"/>
      <c r="D392" s="81"/>
      <c r="E392" s="2"/>
      <c r="F392" s="81"/>
      <c r="G392" s="81"/>
      <c r="H392" s="2"/>
      <c r="I392" s="38"/>
      <c r="J392" s="38"/>
      <c r="K392" s="38"/>
      <c r="S392" s="81"/>
      <c r="T392" s="81"/>
    </row>
    <row r="393" spans="1:20" ht="13">
      <c r="A393" s="3"/>
      <c r="B393" s="126"/>
      <c r="C393" s="81"/>
      <c r="D393" s="81"/>
      <c r="E393" s="2"/>
      <c r="F393" s="81"/>
      <c r="G393" s="81"/>
      <c r="H393" s="2"/>
      <c r="I393" s="38"/>
      <c r="J393" s="38"/>
      <c r="K393" s="38"/>
      <c r="S393" s="81"/>
      <c r="T393" s="81"/>
    </row>
    <row r="394" spans="1:20" ht="13">
      <c r="A394" s="3"/>
      <c r="B394" s="126"/>
      <c r="C394" s="81"/>
      <c r="D394" s="81"/>
      <c r="E394" s="2"/>
      <c r="F394" s="81"/>
      <c r="G394" s="81"/>
      <c r="H394" s="2"/>
      <c r="I394" s="38"/>
      <c r="J394" s="38"/>
      <c r="K394" s="38"/>
      <c r="S394" s="81"/>
      <c r="T394" s="81"/>
    </row>
    <row r="395" spans="1:20" ht="13">
      <c r="A395" s="3"/>
      <c r="B395" s="126"/>
      <c r="C395" s="81"/>
      <c r="D395" s="81"/>
      <c r="E395" s="2"/>
      <c r="F395" s="81"/>
      <c r="G395" s="81"/>
      <c r="H395" s="2"/>
      <c r="I395" s="38"/>
      <c r="J395" s="38"/>
      <c r="K395" s="38"/>
      <c r="S395" s="81"/>
      <c r="T395" s="81"/>
    </row>
    <row r="396" spans="1:20" ht="13">
      <c r="A396" s="3"/>
      <c r="B396" s="126"/>
      <c r="C396" s="81"/>
      <c r="D396" s="81"/>
      <c r="E396" s="2"/>
      <c r="F396" s="81"/>
      <c r="G396" s="81"/>
      <c r="H396" s="2"/>
      <c r="I396" s="38"/>
      <c r="J396" s="38"/>
      <c r="K396" s="38"/>
      <c r="S396" s="81"/>
      <c r="T396" s="81"/>
    </row>
    <row r="397" spans="1:20" ht="13">
      <c r="A397" s="3"/>
      <c r="B397" s="126"/>
      <c r="C397" s="81"/>
      <c r="D397" s="81"/>
      <c r="E397" s="2"/>
      <c r="F397" s="81"/>
      <c r="G397" s="81"/>
      <c r="H397" s="2"/>
      <c r="I397" s="38"/>
      <c r="J397" s="38"/>
      <c r="K397" s="38"/>
      <c r="S397" s="81"/>
      <c r="T397" s="81"/>
    </row>
    <row r="398" spans="1:20" ht="13">
      <c r="A398" s="3"/>
      <c r="B398" s="126"/>
      <c r="C398" s="81"/>
      <c r="D398" s="81"/>
      <c r="E398" s="2"/>
      <c r="F398" s="81"/>
      <c r="G398" s="81"/>
      <c r="H398" s="2"/>
      <c r="I398" s="38"/>
      <c r="J398" s="38"/>
      <c r="K398" s="38"/>
      <c r="S398" s="81"/>
      <c r="T398" s="81"/>
    </row>
    <row r="399" spans="1:20" ht="13">
      <c r="A399" s="3"/>
      <c r="B399" s="126"/>
      <c r="C399" s="81"/>
      <c r="D399" s="81"/>
      <c r="E399" s="2"/>
      <c r="F399" s="81"/>
      <c r="G399" s="81"/>
      <c r="H399" s="2"/>
      <c r="I399" s="38"/>
      <c r="J399" s="38"/>
      <c r="K399" s="38"/>
      <c r="S399" s="81"/>
      <c r="T399" s="81"/>
    </row>
    <row r="400" spans="1:20" ht="13">
      <c r="A400" s="3"/>
      <c r="B400" s="126"/>
      <c r="C400" s="81"/>
      <c r="D400" s="81"/>
      <c r="E400" s="2"/>
      <c r="F400" s="81"/>
      <c r="G400" s="81"/>
      <c r="H400" s="2"/>
      <c r="I400" s="38"/>
      <c r="J400" s="38"/>
      <c r="K400" s="38"/>
      <c r="S400" s="81"/>
      <c r="T400" s="81"/>
    </row>
    <row r="401" spans="1:20" ht="13">
      <c r="A401" s="3"/>
      <c r="B401" s="126"/>
      <c r="C401" s="81"/>
      <c r="D401" s="81"/>
      <c r="E401" s="2"/>
      <c r="F401" s="81"/>
      <c r="G401" s="81"/>
      <c r="H401" s="2"/>
      <c r="I401" s="38"/>
      <c r="J401" s="38"/>
      <c r="K401" s="38"/>
      <c r="S401" s="81"/>
      <c r="T401" s="81"/>
    </row>
    <row r="402" spans="1:20" ht="13">
      <c r="A402" s="3"/>
      <c r="B402" s="126"/>
      <c r="C402" s="81"/>
      <c r="D402" s="81"/>
      <c r="E402" s="2"/>
      <c r="F402" s="81"/>
      <c r="G402" s="81"/>
      <c r="H402" s="2"/>
      <c r="I402" s="38"/>
      <c r="J402" s="38"/>
      <c r="K402" s="38"/>
      <c r="S402" s="81"/>
      <c r="T402" s="81"/>
    </row>
    <row r="403" spans="1:20" ht="13">
      <c r="A403" s="3"/>
      <c r="B403" s="126"/>
      <c r="C403" s="81"/>
      <c r="D403" s="81"/>
      <c r="E403" s="2"/>
      <c r="F403" s="81"/>
      <c r="G403" s="81"/>
      <c r="H403" s="2"/>
      <c r="I403" s="38"/>
      <c r="J403" s="38"/>
      <c r="K403" s="38"/>
      <c r="S403" s="81"/>
      <c r="T403" s="81"/>
    </row>
    <row r="404" spans="1:20" ht="13">
      <c r="A404" s="3"/>
      <c r="B404" s="126"/>
      <c r="C404" s="81"/>
      <c r="D404" s="81"/>
      <c r="E404" s="2"/>
      <c r="F404" s="81"/>
      <c r="G404" s="81"/>
      <c r="H404" s="2"/>
      <c r="I404" s="38"/>
      <c r="J404" s="38"/>
      <c r="K404" s="38"/>
      <c r="S404" s="81"/>
      <c r="T404" s="81"/>
    </row>
    <row r="405" spans="1:20" ht="13">
      <c r="A405" s="3"/>
      <c r="B405" s="126"/>
      <c r="C405" s="81"/>
      <c r="D405" s="81"/>
      <c r="E405" s="2"/>
      <c r="F405" s="81"/>
      <c r="G405" s="81"/>
      <c r="H405" s="2"/>
      <c r="I405" s="38"/>
      <c r="J405" s="38"/>
      <c r="K405" s="38"/>
      <c r="S405" s="81"/>
      <c r="T405" s="81"/>
    </row>
    <row r="406" spans="1:20" ht="13">
      <c r="A406" s="3"/>
      <c r="B406" s="126"/>
      <c r="C406" s="81"/>
      <c r="D406" s="81"/>
      <c r="E406" s="2"/>
      <c r="F406" s="81"/>
      <c r="G406" s="81"/>
      <c r="H406" s="2"/>
      <c r="I406" s="38"/>
      <c r="J406" s="38"/>
      <c r="K406" s="38"/>
      <c r="S406" s="81"/>
      <c r="T406" s="81"/>
    </row>
    <row r="407" spans="1:20" ht="13">
      <c r="A407" s="3"/>
      <c r="B407" s="126"/>
      <c r="C407" s="81"/>
      <c r="D407" s="81"/>
      <c r="E407" s="2"/>
      <c r="F407" s="81"/>
      <c r="G407" s="81"/>
      <c r="H407" s="2"/>
      <c r="I407" s="38"/>
      <c r="J407" s="38"/>
      <c r="K407" s="38"/>
      <c r="S407" s="81"/>
      <c r="T407" s="81"/>
    </row>
    <row r="408" spans="1:20" ht="13">
      <c r="A408" s="3"/>
      <c r="B408" s="126"/>
      <c r="C408" s="81"/>
      <c r="D408" s="81"/>
      <c r="E408" s="2"/>
      <c r="F408" s="81"/>
      <c r="G408" s="81"/>
      <c r="H408" s="2"/>
      <c r="I408" s="38"/>
      <c r="J408" s="38"/>
      <c r="K408" s="38"/>
      <c r="S408" s="81"/>
      <c r="T408" s="81"/>
    </row>
    <row r="409" spans="1:20" ht="13">
      <c r="A409" s="3"/>
      <c r="B409" s="126"/>
      <c r="C409" s="81"/>
      <c r="D409" s="81"/>
      <c r="E409" s="2"/>
      <c r="F409" s="81"/>
      <c r="G409" s="81"/>
      <c r="H409" s="2"/>
      <c r="I409" s="38"/>
      <c r="J409" s="38"/>
      <c r="K409" s="38"/>
      <c r="S409" s="81"/>
      <c r="T409" s="81"/>
    </row>
    <row r="410" spans="1:20" ht="13">
      <c r="A410" s="3"/>
      <c r="B410" s="126"/>
      <c r="C410" s="81"/>
      <c r="D410" s="81"/>
      <c r="E410" s="2"/>
      <c r="F410" s="81"/>
      <c r="G410" s="81"/>
      <c r="H410" s="2"/>
      <c r="I410" s="38"/>
      <c r="J410" s="38"/>
      <c r="K410" s="38"/>
      <c r="S410" s="81"/>
      <c r="T410" s="81"/>
    </row>
    <row r="411" spans="1:20" ht="13">
      <c r="A411" s="3"/>
      <c r="B411" s="126"/>
      <c r="C411" s="81"/>
      <c r="D411" s="81"/>
      <c r="E411" s="2"/>
      <c r="F411" s="81"/>
      <c r="G411" s="81"/>
      <c r="H411" s="2"/>
      <c r="I411" s="38"/>
      <c r="J411" s="38"/>
      <c r="K411" s="38"/>
      <c r="S411" s="81"/>
      <c r="T411" s="81"/>
    </row>
    <row r="412" spans="1:20" ht="13">
      <c r="A412" s="3"/>
      <c r="B412" s="126"/>
      <c r="C412" s="81"/>
      <c r="D412" s="81"/>
      <c r="E412" s="2"/>
      <c r="F412" s="81"/>
      <c r="G412" s="81"/>
      <c r="H412" s="2"/>
      <c r="I412" s="38"/>
      <c r="J412" s="38"/>
      <c r="K412" s="38"/>
      <c r="S412" s="81"/>
      <c r="T412" s="81"/>
    </row>
    <row r="413" spans="1:20" ht="13">
      <c r="A413" s="3"/>
      <c r="B413" s="126"/>
      <c r="C413" s="81"/>
      <c r="D413" s="81"/>
      <c r="E413" s="2"/>
      <c r="F413" s="81"/>
      <c r="G413" s="81"/>
      <c r="H413" s="2"/>
      <c r="I413" s="38"/>
      <c r="J413" s="38"/>
      <c r="K413" s="38"/>
      <c r="S413" s="81"/>
      <c r="T413" s="81"/>
    </row>
    <row r="414" spans="1:20" ht="13">
      <c r="A414" s="3"/>
      <c r="B414" s="126"/>
      <c r="C414" s="81"/>
      <c r="D414" s="81"/>
      <c r="E414" s="2"/>
      <c r="F414" s="81"/>
      <c r="G414" s="81"/>
      <c r="H414" s="2"/>
      <c r="I414" s="38"/>
      <c r="J414" s="38"/>
      <c r="K414" s="38"/>
      <c r="S414" s="81"/>
      <c r="T414" s="81"/>
    </row>
    <row r="415" spans="1:20" ht="13">
      <c r="A415" s="3"/>
      <c r="B415" s="126"/>
      <c r="C415" s="81"/>
      <c r="D415" s="81"/>
      <c r="E415" s="2"/>
      <c r="F415" s="81"/>
      <c r="G415" s="81"/>
      <c r="H415" s="2"/>
      <c r="I415" s="38"/>
      <c r="J415" s="38"/>
      <c r="K415" s="38"/>
      <c r="S415" s="81"/>
      <c r="T415" s="81"/>
    </row>
    <row r="416" spans="1:20" ht="13">
      <c r="A416" s="3"/>
      <c r="B416" s="126"/>
      <c r="C416" s="81"/>
      <c r="D416" s="81"/>
      <c r="E416" s="2"/>
      <c r="F416" s="81"/>
      <c r="G416" s="81"/>
      <c r="H416" s="2"/>
      <c r="I416" s="38"/>
      <c r="J416" s="38"/>
      <c r="K416" s="38"/>
      <c r="S416" s="81"/>
      <c r="T416" s="81"/>
    </row>
    <row r="417" spans="1:20" ht="13">
      <c r="A417" s="3"/>
      <c r="B417" s="126"/>
      <c r="C417" s="81"/>
      <c r="D417" s="81"/>
      <c r="E417" s="2"/>
      <c r="F417" s="81"/>
      <c r="G417" s="81"/>
      <c r="H417" s="2"/>
      <c r="I417" s="38"/>
      <c r="J417" s="38"/>
      <c r="K417" s="38"/>
      <c r="S417" s="81"/>
      <c r="T417" s="81"/>
    </row>
    <row r="418" spans="1:20" ht="13">
      <c r="A418" s="3"/>
      <c r="B418" s="126"/>
      <c r="C418" s="81"/>
      <c r="D418" s="81"/>
      <c r="E418" s="2"/>
      <c r="F418" s="81"/>
      <c r="G418" s="81"/>
      <c r="H418" s="2"/>
      <c r="I418" s="38"/>
      <c r="J418" s="38"/>
      <c r="K418" s="38"/>
      <c r="S418" s="81"/>
      <c r="T418" s="81"/>
    </row>
    <row r="419" spans="1:20" ht="13">
      <c r="A419" s="3"/>
      <c r="B419" s="126"/>
      <c r="C419" s="81"/>
      <c r="D419" s="81"/>
      <c r="E419" s="2"/>
      <c r="F419" s="81"/>
      <c r="G419" s="81"/>
      <c r="H419" s="2"/>
      <c r="I419" s="38"/>
      <c r="J419" s="38"/>
      <c r="K419" s="38"/>
      <c r="S419" s="81"/>
      <c r="T419" s="81"/>
    </row>
    <row r="420" spans="1:20" ht="13">
      <c r="A420" s="3"/>
      <c r="B420" s="126"/>
      <c r="C420" s="81"/>
      <c r="D420" s="81"/>
      <c r="E420" s="2"/>
      <c r="F420" s="81"/>
      <c r="G420" s="81"/>
      <c r="H420" s="2"/>
      <c r="I420" s="38"/>
      <c r="J420" s="38"/>
      <c r="K420" s="38"/>
      <c r="S420" s="81"/>
      <c r="T420" s="81"/>
    </row>
    <row r="421" spans="1:20" ht="13">
      <c r="A421" s="3"/>
      <c r="B421" s="126"/>
      <c r="C421" s="81"/>
      <c r="D421" s="81"/>
      <c r="E421" s="2"/>
      <c r="F421" s="81"/>
      <c r="G421" s="81"/>
      <c r="H421" s="2"/>
      <c r="I421" s="38"/>
      <c r="J421" s="38"/>
      <c r="K421" s="38"/>
      <c r="S421" s="81"/>
      <c r="T421" s="81"/>
    </row>
    <row r="422" spans="1:20" ht="13">
      <c r="A422" s="3"/>
      <c r="B422" s="126"/>
      <c r="C422" s="81"/>
      <c r="D422" s="81"/>
      <c r="E422" s="2"/>
      <c r="F422" s="81"/>
      <c r="G422" s="81"/>
      <c r="H422" s="2"/>
      <c r="I422" s="38"/>
      <c r="J422" s="38"/>
      <c r="K422" s="38"/>
      <c r="S422" s="81"/>
      <c r="T422" s="81"/>
    </row>
    <row r="423" spans="1:20" ht="13">
      <c r="A423" s="3"/>
      <c r="B423" s="126"/>
      <c r="C423" s="81"/>
      <c r="D423" s="81"/>
      <c r="E423" s="2"/>
      <c r="F423" s="81"/>
      <c r="G423" s="81"/>
      <c r="H423" s="2"/>
      <c r="I423" s="38"/>
      <c r="J423" s="38"/>
      <c r="K423" s="38"/>
      <c r="S423" s="81"/>
      <c r="T423" s="81"/>
    </row>
    <row r="424" spans="1:20" ht="13">
      <c r="A424" s="3"/>
      <c r="B424" s="126"/>
      <c r="C424" s="81"/>
      <c r="D424" s="81"/>
      <c r="E424" s="2"/>
      <c r="F424" s="81"/>
      <c r="G424" s="81"/>
      <c r="H424" s="2"/>
      <c r="I424" s="38"/>
      <c r="J424" s="38"/>
      <c r="K424" s="38"/>
      <c r="S424" s="81"/>
      <c r="T424" s="81"/>
    </row>
    <row r="425" spans="1:20" ht="13">
      <c r="A425" s="3"/>
      <c r="B425" s="126"/>
      <c r="C425" s="81"/>
      <c r="D425" s="81"/>
      <c r="E425" s="2"/>
      <c r="F425" s="81"/>
      <c r="G425" s="81"/>
      <c r="H425" s="2"/>
      <c r="I425" s="38"/>
      <c r="J425" s="38"/>
      <c r="K425" s="38"/>
      <c r="S425" s="81"/>
      <c r="T425" s="81"/>
    </row>
    <row r="426" spans="1:20" ht="13">
      <c r="A426" s="3"/>
      <c r="B426" s="126"/>
      <c r="C426" s="81"/>
      <c r="D426" s="81"/>
      <c r="E426" s="2"/>
      <c r="F426" s="81"/>
      <c r="G426" s="81"/>
      <c r="H426" s="2"/>
      <c r="I426" s="38"/>
      <c r="J426" s="38"/>
      <c r="K426" s="38"/>
      <c r="S426" s="81"/>
      <c r="T426" s="81"/>
    </row>
    <row r="427" spans="1:20" ht="13">
      <c r="A427" s="3"/>
      <c r="B427" s="126"/>
      <c r="C427" s="81"/>
      <c r="D427" s="81"/>
      <c r="E427" s="2"/>
      <c r="F427" s="81"/>
      <c r="G427" s="81"/>
      <c r="H427" s="2"/>
      <c r="I427" s="38"/>
      <c r="J427" s="38"/>
      <c r="K427" s="38"/>
      <c r="S427" s="81"/>
      <c r="T427" s="81"/>
    </row>
    <row r="428" spans="1:20" ht="13">
      <c r="A428" s="3"/>
      <c r="B428" s="126"/>
      <c r="C428" s="81"/>
      <c r="D428" s="81"/>
      <c r="E428" s="2"/>
      <c r="F428" s="81"/>
      <c r="G428" s="81"/>
      <c r="H428" s="2"/>
      <c r="I428" s="38"/>
      <c r="J428" s="38"/>
      <c r="K428" s="38"/>
      <c r="S428" s="81"/>
      <c r="T428" s="81"/>
    </row>
    <row r="429" spans="1:20" ht="13">
      <c r="A429" s="3"/>
      <c r="B429" s="126"/>
      <c r="C429" s="81"/>
      <c r="D429" s="81"/>
      <c r="E429" s="2"/>
      <c r="F429" s="81"/>
      <c r="G429" s="81"/>
      <c r="H429" s="2"/>
      <c r="I429" s="38"/>
      <c r="J429" s="38"/>
      <c r="K429" s="38"/>
      <c r="S429" s="81"/>
      <c r="T429" s="81"/>
    </row>
    <row r="430" spans="1:20" ht="13">
      <c r="A430" s="3"/>
      <c r="B430" s="126"/>
      <c r="C430" s="81"/>
      <c r="D430" s="81"/>
      <c r="E430" s="2"/>
      <c r="F430" s="81"/>
      <c r="G430" s="81"/>
      <c r="H430" s="2"/>
      <c r="I430" s="38"/>
      <c r="J430" s="38"/>
      <c r="K430" s="38"/>
      <c r="S430" s="81"/>
      <c r="T430" s="81"/>
    </row>
    <row r="431" spans="1:20" ht="13">
      <c r="A431" s="3"/>
      <c r="B431" s="126"/>
      <c r="C431" s="81"/>
      <c r="D431" s="81"/>
      <c r="E431" s="2"/>
      <c r="F431" s="81"/>
      <c r="G431" s="81"/>
      <c r="H431" s="2"/>
      <c r="I431" s="38"/>
      <c r="J431" s="38"/>
      <c r="K431" s="38"/>
      <c r="S431" s="81"/>
      <c r="T431" s="81"/>
    </row>
    <row r="432" spans="1:20" ht="13">
      <c r="A432" s="3"/>
      <c r="B432" s="126"/>
      <c r="C432" s="81"/>
      <c r="D432" s="81"/>
      <c r="E432" s="2"/>
      <c r="F432" s="81"/>
      <c r="G432" s="81"/>
      <c r="H432" s="2"/>
      <c r="I432" s="38"/>
      <c r="J432" s="38"/>
      <c r="K432" s="38"/>
      <c r="S432" s="81"/>
      <c r="T432" s="81"/>
    </row>
    <row r="433" spans="1:20" ht="13">
      <c r="A433" s="3"/>
      <c r="B433" s="126"/>
      <c r="C433" s="81"/>
      <c r="D433" s="81"/>
      <c r="E433" s="2"/>
      <c r="F433" s="81"/>
      <c r="G433" s="81"/>
      <c r="H433" s="2"/>
      <c r="I433" s="38"/>
      <c r="J433" s="38"/>
      <c r="K433" s="38"/>
      <c r="S433" s="81"/>
      <c r="T433" s="81"/>
    </row>
    <row r="434" spans="1:20" ht="13">
      <c r="A434" s="3"/>
      <c r="B434" s="126"/>
      <c r="C434" s="81"/>
      <c r="D434" s="81"/>
      <c r="E434" s="2"/>
      <c r="F434" s="81"/>
      <c r="G434" s="81"/>
      <c r="H434" s="2"/>
      <c r="I434" s="38"/>
      <c r="J434" s="38"/>
      <c r="K434" s="38"/>
      <c r="S434" s="81"/>
      <c r="T434" s="81"/>
    </row>
    <row r="435" spans="1:20" ht="13">
      <c r="A435" s="3"/>
      <c r="B435" s="126"/>
      <c r="C435" s="81"/>
      <c r="D435" s="81"/>
      <c r="E435" s="2"/>
      <c r="F435" s="81"/>
      <c r="G435" s="81"/>
      <c r="H435" s="2"/>
      <c r="I435" s="38"/>
      <c r="J435" s="38"/>
      <c r="K435" s="38"/>
      <c r="S435" s="81"/>
      <c r="T435" s="81"/>
    </row>
    <row r="436" spans="1:20" ht="13">
      <c r="A436" s="3"/>
      <c r="B436" s="126"/>
      <c r="C436" s="81"/>
      <c r="D436" s="81"/>
      <c r="E436" s="2"/>
      <c r="F436" s="81"/>
      <c r="G436" s="81"/>
      <c r="H436" s="2"/>
      <c r="I436" s="38"/>
      <c r="J436" s="38"/>
      <c r="K436" s="38"/>
      <c r="S436" s="81"/>
      <c r="T436" s="81"/>
    </row>
    <row r="437" spans="1:20" ht="13">
      <c r="A437" s="3"/>
      <c r="B437" s="126"/>
      <c r="C437" s="81"/>
      <c r="D437" s="81"/>
      <c r="E437" s="2"/>
      <c r="F437" s="81"/>
      <c r="G437" s="81"/>
      <c r="H437" s="2"/>
      <c r="I437" s="38"/>
      <c r="J437" s="38"/>
      <c r="K437" s="38"/>
      <c r="S437" s="81"/>
      <c r="T437" s="81"/>
    </row>
    <row r="438" spans="1:20" ht="13">
      <c r="A438" s="3"/>
      <c r="B438" s="126"/>
      <c r="C438" s="81"/>
      <c r="D438" s="81"/>
      <c r="E438" s="2"/>
      <c r="F438" s="81"/>
      <c r="G438" s="81"/>
      <c r="H438" s="2"/>
      <c r="I438" s="38"/>
      <c r="J438" s="38"/>
      <c r="K438" s="38"/>
      <c r="S438" s="81"/>
      <c r="T438" s="81"/>
    </row>
    <row r="439" spans="1:20" ht="13">
      <c r="A439" s="3"/>
      <c r="B439" s="126"/>
      <c r="C439" s="81"/>
      <c r="D439" s="81"/>
      <c r="E439" s="2"/>
      <c r="F439" s="81"/>
      <c r="G439" s="81"/>
      <c r="H439" s="2"/>
      <c r="I439" s="38"/>
      <c r="J439" s="38"/>
      <c r="K439" s="38"/>
      <c r="S439" s="81"/>
      <c r="T439" s="81"/>
    </row>
    <row r="440" spans="1:20" ht="13">
      <c r="A440" s="3"/>
      <c r="B440" s="126"/>
      <c r="C440" s="81"/>
      <c r="D440" s="81"/>
      <c r="E440" s="2"/>
      <c r="F440" s="81"/>
      <c r="G440" s="81"/>
      <c r="H440" s="2"/>
      <c r="I440" s="38"/>
      <c r="J440" s="38"/>
      <c r="K440" s="38"/>
      <c r="S440" s="81"/>
      <c r="T440" s="81"/>
    </row>
    <row r="441" spans="1:20" ht="13">
      <c r="A441" s="3"/>
      <c r="B441" s="126"/>
      <c r="C441" s="81"/>
      <c r="D441" s="81"/>
      <c r="E441" s="2"/>
      <c r="F441" s="81"/>
      <c r="G441" s="81"/>
      <c r="H441" s="2"/>
      <c r="I441" s="38"/>
      <c r="J441" s="38"/>
      <c r="K441" s="38"/>
      <c r="S441" s="81"/>
      <c r="T441" s="81"/>
    </row>
    <row r="442" spans="1:20" ht="13">
      <c r="A442" s="3"/>
      <c r="B442" s="126"/>
      <c r="C442" s="81"/>
      <c r="D442" s="81"/>
      <c r="E442" s="2"/>
      <c r="F442" s="81"/>
      <c r="G442" s="81"/>
      <c r="H442" s="2"/>
      <c r="I442" s="38"/>
      <c r="J442" s="38"/>
      <c r="K442" s="38"/>
      <c r="S442" s="81"/>
      <c r="T442" s="81"/>
    </row>
    <row r="443" spans="1:20" ht="13">
      <c r="A443" s="3"/>
      <c r="B443" s="126"/>
      <c r="C443" s="81"/>
      <c r="D443" s="81"/>
      <c r="E443" s="2"/>
      <c r="F443" s="81"/>
      <c r="G443" s="81"/>
      <c r="H443" s="2"/>
      <c r="I443" s="38"/>
      <c r="J443" s="38"/>
      <c r="K443" s="38"/>
      <c r="S443" s="81"/>
      <c r="T443" s="81"/>
    </row>
    <row r="444" spans="1:20" ht="13">
      <c r="A444" s="3"/>
      <c r="B444" s="126"/>
      <c r="C444" s="81"/>
      <c r="D444" s="81"/>
      <c r="E444" s="2"/>
      <c r="F444" s="81"/>
      <c r="G444" s="81"/>
      <c r="H444" s="2"/>
      <c r="I444" s="38"/>
      <c r="J444" s="38"/>
      <c r="K444" s="38"/>
      <c r="S444" s="81"/>
      <c r="T444" s="81"/>
    </row>
    <row r="445" spans="1:20" ht="13">
      <c r="A445" s="3"/>
      <c r="B445" s="126"/>
      <c r="C445" s="81"/>
      <c r="D445" s="81"/>
      <c r="E445" s="2"/>
      <c r="F445" s="81"/>
      <c r="G445" s="81"/>
      <c r="H445" s="2"/>
      <c r="I445" s="38"/>
      <c r="J445" s="38"/>
      <c r="K445" s="38"/>
      <c r="S445" s="81"/>
      <c r="T445" s="81"/>
    </row>
    <row r="446" spans="1:20" ht="13">
      <c r="A446" s="3"/>
      <c r="B446" s="126"/>
      <c r="C446" s="81"/>
      <c r="D446" s="81"/>
      <c r="E446" s="2"/>
      <c r="F446" s="81"/>
      <c r="G446" s="81"/>
      <c r="H446" s="2"/>
      <c r="I446" s="38"/>
      <c r="J446" s="38"/>
      <c r="K446" s="38"/>
      <c r="S446" s="81"/>
      <c r="T446" s="81"/>
    </row>
    <row r="447" spans="1:20" ht="13">
      <c r="A447" s="3"/>
      <c r="B447" s="126"/>
      <c r="C447" s="81"/>
      <c r="D447" s="81"/>
      <c r="E447" s="2"/>
      <c r="F447" s="81"/>
      <c r="G447" s="81"/>
      <c r="H447" s="2"/>
      <c r="I447" s="38"/>
      <c r="J447" s="38"/>
      <c r="K447" s="38"/>
      <c r="S447" s="81"/>
      <c r="T447" s="81"/>
    </row>
    <row r="448" spans="1:20" ht="13">
      <c r="A448" s="3"/>
      <c r="B448" s="126"/>
      <c r="C448" s="81"/>
      <c r="D448" s="81"/>
      <c r="E448" s="2"/>
      <c r="F448" s="81"/>
      <c r="G448" s="81"/>
      <c r="H448" s="2"/>
      <c r="I448" s="38"/>
      <c r="J448" s="38"/>
      <c r="K448" s="38"/>
      <c r="S448" s="81"/>
      <c r="T448" s="81"/>
    </row>
    <row r="449" spans="1:20" ht="13">
      <c r="A449" s="3"/>
      <c r="B449" s="126"/>
      <c r="C449" s="81"/>
      <c r="D449" s="81"/>
      <c r="E449" s="2"/>
      <c r="F449" s="81"/>
      <c r="G449" s="81"/>
      <c r="H449" s="2"/>
      <c r="I449" s="38"/>
      <c r="J449" s="38"/>
      <c r="K449" s="38"/>
      <c r="S449" s="81"/>
      <c r="T449" s="81"/>
    </row>
    <row r="450" spans="1:20" ht="13">
      <c r="A450" s="3"/>
      <c r="B450" s="126"/>
      <c r="C450" s="81"/>
      <c r="D450" s="81"/>
      <c r="E450" s="2"/>
      <c r="F450" s="81"/>
      <c r="G450" s="81"/>
      <c r="H450" s="2"/>
      <c r="I450" s="38"/>
      <c r="J450" s="38"/>
      <c r="K450" s="38"/>
      <c r="S450" s="81"/>
      <c r="T450" s="81"/>
    </row>
    <row r="451" spans="1:20" ht="13">
      <c r="A451" s="3"/>
      <c r="B451" s="126"/>
      <c r="C451" s="81"/>
      <c r="D451" s="81"/>
      <c r="E451" s="2"/>
      <c r="F451" s="81"/>
      <c r="G451" s="81"/>
      <c r="H451" s="2"/>
      <c r="I451" s="38"/>
      <c r="J451" s="38"/>
      <c r="K451" s="38"/>
      <c r="S451" s="81"/>
      <c r="T451" s="81"/>
    </row>
    <row r="452" spans="1:20" ht="13">
      <c r="A452" s="3"/>
      <c r="B452" s="126"/>
      <c r="C452" s="81"/>
      <c r="D452" s="81"/>
      <c r="E452" s="2"/>
      <c r="F452" s="81"/>
      <c r="G452" s="81"/>
      <c r="H452" s="2"/>
      <c r="I452" s="38"/>
      <c r="J452" s="38"/>
      <c r="K452" s="38"/>
      <c r="S452" s="81"/>
      <c r="T452" s="81"/>
    </row>
    <row r="453" spans="1:20" ht="13">
      <c r="A453" s="3"/>
      <c r="B453" s="126"/>
      <c r="C453" s="81"/>
      <c r="D453" s="81"/>
      <c r="E453" s="2"/>
      <c r="F453" s="81"/>
      <c r="G453" s="81"/>
      <c r="H453" s="2"/>
      <c r="I453" s="38"/>
      <c r="J453" s="38"/>
      <c r="K453" s="38"/>
      <c r="S453" s="81"/>
      <c r="T453" s="81"/>
    </row>
    <row r="454" spans="1:20" ht="13">
      <c r="A454" s="3"/>
      <c r="B454" s="126"/>
      <c r="C454" s="81"/>
      <c r="D454" s="81"/>
      <c r="E454" s="2"/>
      <c r="F454" s="81"/>
      <c r="G454" s="81"/>
      <c r="H454" s="2"/>
      <c r="I454" s="38"/>
      <c r="J454" s="38"/>
      <c r="K454" s="38"/>
      <c r="S454" s="81"/>
      <c r="T454" s="81"/>
    </row>
    <row r="455" spans="1:20" ht="13">
      <c r="A455" s="3"/>
      <c r="B455" s="126"/>
      <c r="C455" s="81"/>
      <c r="D455" s="81"/>
      <c r="E455" s="2"/>
      <c r="F455" s="81"/>
      <c r="G455" s="81"/>
      <c r="H455" s="2"/>
      <c r="I455" s="38"/>
      <c r="J455" s="38"/>
      <c r="K455" s="38"/>
      <c r="S455" s="81"/>
      <c r="T455" s="81"/>
    </row>
    <row r="456" spans="1:20" ht="13">
      <c r="A456" s="3"/>
      <c r="B456" s="126"/>
      <c r="C456" s="81"/>
      <c r="D456" s="81"/>
      <c r="E456" s="2"/>
      <c r="F456" s="81"/>
      <c r="G456" s="81"/>
      <c r="H456" s="2"/>
      <c r="I456" s="38"/>
      <c r="J456" s="38"/>
      <c r="K456" s="38"/>
      <c r="S456" s="81"/>
      <c r="T456" s="81"/>
    </row>
    <row r="457" spans="1:20" ht="13">
      <c r="A457" s="3"/>
      <c r="B457" s="126"/>
      <c r="C457" s="81"/>
      <c r="D457" s="81"/>
      <c r="E457" s="2"/>
      <c r="F457" s="81"/>
      <c r="G457" s="81"/>
      <c r="H457" s="2"/>
      <c r="I457" s="38"/>
      <c r="J457" s="38"/>
      <c r="K457" s="38"/>
      <c r="S457" s="81"/>
      <c r="T457" s="81"/>
    </row>
    <row r="458" spans="1:20" ht="13">
      <c r="A458" s="3"/>
      <c r="B458" s="126"/>
      <c r="C458" s="81"/>
      <c r="D458" s="81"/>
      <c r="E458" s="2"/>
      <c r="F458" s="81"/>
      <c r="G458" s="81"/>
      <c r="H458" s="2"/>
      <c r="I458" s="38"/>
      <c r="J458" s="38"/>
      <c r="K458" s="38"/>
      <c r="S458" s="81"/>
      <c r="T458" s="81"/>
    </row>
    <row r="459" spans="1:20" ht="13">
      <c r="A459" s="3"/>
      <c r="B459" s="126"/>
      <c r="C459" s="81"/>
      <c r="D459" s="81"/>
      <c r="E459" s="2"/>
      <c r="F459" s="81"/>
      <c r="G459" s="81"/>
      <c r="H459" s="2"/>
      <c r="I459" s="38"/>
      <c r="J459" s="38"/>
      <c r="K459" s="38"/>
      <c r="S459" s="81"/>
      <c r="T459" s="81"/>
    </row>
    <row r="460" spans="1:20" ht="13">
      <c r="A460" s="3"/>
      <c r="B460" s="126"/>
      <c r="C460" s="81"/>
      <c r="D460" s="81"/>
      <c r="E460" s="2"/>
      <c r="F460" s="81"/>
      <c r="G460" s="81"/>
      <c r="H460" s="2"/>
      <c r="I460" s="38"/>
      <c r="J460" s="38"/>
      <c r="K460" s="38"/>
      <c r="S460" s="81"/>
      <c r="T460" s="81"/>
    </row>
    <row r="461" spans="1:20" ht="13">
      <c r="A461" s="3"/>
      <c r="B461" s="126"/>
      <c r="C461" s="81"/>
      <c r="D461" s="81"/>
      <c r="E461" s="2"/>
      <c r="F461" s="81"/>
      <c r="G461" s="81"/>
      <c r="H461" s="2"/>
      <c r="I461" s="38"/>
      <c r="J461" s="38"/>
      <c r="K461" s="38"/>
      <c r="S461" s="81"/>
      <c r="T461" s="81"/>
    </row>
    <row r="462" spans="1:20" ht="13">
      <c r="A462" s="3"/>
      <c r="B462" s="126"/>
      <c r="C462" s="81"/>
      <c r="D462" s="81"/>
      <c r="E462" s="2"/>
      <c r="F462" s="81"/>
      <c r="G462" s="81"/>
      <c r="H462" s="2"/>
      <c r="I462" s="38"/>
      <c r="J462" s="38"/>
      <c r="K462" s="38"/>
      <c r="S462" s="81"/>
      <c r="T462" s="81"/>
    </row>
    <row r="463" spans="1:20" ht="13">
      <c r="A463" s="3"/>
      <c r="B463" s="126"/>
      <c r="C463" s="81"/>
      <c r="D463" s="81"/>
      <c r="E463" s="2"/>
      <c r="F463" s="81"/>
      <c r="G463" s="81"/>
      <c r="H463" s="2"/>
      <c r="I463" s="38"/>
      <c r="J463" s="38"/>
      <c r="K463" s="38"/>
      <c r="S463" s="81"/>
      <c r="T463" s="81"/>
    </row>
    <row r="464" spans="1:20" ht="13">
      <c r="A464" s="3"/>
      <c r="B464" s="126"/>
      <c r="C464" s="81"/>
      <c r="D464" s="81"/>
      <c r="E464" s="2"/>
      <c r="F464" s="81"/>
      <c r="G464" s="81"/>
      <c r="H464" s="2"/>
      <c r="I464" s="38"/>
      <c r="J464" s="38"/>
      <c r="K464" s="38"/>
      <c r="S464" s="81"/>
      <c r="T464" s="81"/>
    </row>
    <row r="465" spans="1:20" ht="13">
      <c r="A465" s="3"/>
      <c r="B465" s="126"/>
      <c r="C465" s="81"/>
      <c r="D465" s="81"/>
      <c r="E465" s="2"/>
      <c r="F465" s="81"/>
      <c r="G465" s="81"/>
      <c r="H465" s="2"/>
      <c r="I465" s="38"/>
      <c r="J465" s="38"/>
      <c r="K465" s="38"/>
      <c r="S465" s="81"/>
      <c r="T465" s="81"/>
    </row>
    <row r="466" spans="1:20" ht="13">
      <c r="A466" s="3"/>
      <c r="B466" s="126"/>
      <c r="C466" s="81"/>
      <c r="D466" s="81"/>
      <c r="E466" s="2"/>
      <c r="F466" s="81"/>
      <c r="G466" s="81"/>
      <c r="H466" s="2"/>
      <c r="I466" s="38"/>
      <c r="J466" s="38"/>
      <c r="K466" s="38"/>
      <c r="S466" s="81"/>
      <c r="T466" s="81"/>
    </row>
    <row r="467" spans="1:20" ht="13">
      <c r="A467" s="3"/>
      <c r="B467" s="126"/>
      <c r="C467" s="81"/>
      <c r="D467" s="81"/>
      <c r="E467" s="2"/>
      <c r="F467" s="81"/>
      <c r="G467" s="81"/>
      <c r="H467" s="2"/>
      <c r="I467" s="38"/>
      <c r="J467" s="38"/>
      <c r="K467" s="38"/>
      <c r="S467" s="81"/>
      <c r="T467" s="81"/>
    </row>
    <row r="468" spans="1:20" ht="13">
      <c r="A468" s="3"/>
      <c r="B468" s="126"/>
      <c r="C468" s="81"/>
      <c r="D468" s="81"/>
      <c r="E468" s="2"/>
      <c r="F468" s="81"/>
      <c r="G468" s="81"/>
      <c r="H468" s="2"/>
      <c r="I468" s="38"/>
      <c r="J468" s="38"/>
      <c r="K468" s="38"/>
      <c r="S468" s="81"/>
      <c r="T468" s="81"/>
    </row>
    <row r="469" spans="1:20" ht="13">
      <c r="A469" s="3"/>
      <c r="B469" s="126"/>
      <c r="C469" s="81"/>
      <c r="D469" s="81"/>
      <c r="E469" s="2"/>
      <c r="F469" s="81"/>
      <c r="G469" s="81"/>
      <c r="H469" s="2"/>
      <c r="I469" s="38"/>
      <c r="J469" s="38"/>
      <c r="K469" s="38"/>
      <c r="S469" s="81"/>
      <c r="T469" s="81"/>
    </row>
    <row r="470" spans="1:20" ht="13">
      <c r="A470" s="3"/>
      <c r="B470" s="126"/>
      <c r="C470" s="81"/>
      <c r="D470" s="81"/>
      <c r="E470" s="2"/>
      <c r="F470" s="81"/>
      <c r="G470" s="81"/>
      <c r="H470" s="2"/>
      <c r="I470" s="38"/>
      <c r="J470" s="38"/>
      <c r="K470" s="38"/>
      <c r="S470" s="81"/>
      <c r="T470" s="81"/>
    </row>
    <row r="471" spans="1:20" ht="13">
      <c r="A471" s="3"/>
      <c r="B471" s="126"/>
      <c r="C471" s="81"/>
      <c r="D471" s="81"/>
      <c r="E471" s="2"/>
      <c r="F471" s="81"/>
      <c r="G471" s="81"/>
      <c r="H471" s="2"/>
      <c r="I471" s="38"/>
      <c r="J471" s="38"/>
      <c r="K471" s="38"/>
      <c r="S471" s="81"/>
      <c r="T471" s="81"/>
    </row>
    <row r="472" spans="1:20" ht="13">
      <c r="A472" s="3"/>
      <c r="B472" s="126"/>
      <c r="C472" s="81"/>
      <c r="D472" s="81"/>
      <c r="E472" s="2"/>
      <c r="F472" s="81"/>
      <c r="G472" s="81"/>
      <c r="H472" s="2"/>
      <c r="I472" s="38"/>
      <c r="J472" s="38"/>
      <c r="K472" s="38"/>
      <c r="S472" s="81"/>
      <c r="T472" s="81"/>
    </row>
    <row r="473" spans="1:20" ht="13">
      <c r="A473" s="3"/>
      <c r="B473" s="126"/>
      <c r="C473" s="81"/>
      <c r="D473" s="81"/>
      <c r="E473" s="2"/>
      <c r="F473" s="81"/>
      <c r="G473" s="81"/>
      <c r="H473" s="2"/>
      <c r="I473" s="38"/>
      <c r="J473" s="38"/>
      <c r="K473" s="38"/>
      <c r="S473" s="81"/>
      <c r="T473" s="81"/>
    </row>
    <row r="474" spans="1:20" ht="13">
      <c r="A474" s="3"/>
      <c r="B474" s="126"/>
      <c r="C474" s="81"/>
      <c r="D474" s="81"/>
      <c r="E474" s="2"/>
      <c r="F474" s="81"/>
      <c r="G474" s="81"/>
      <c r="H474" s="2"/>
      <c r="I474" s="38"/>
      <c r="J474" s="38"/>
      <c r="K474" s="38"/>
      <c r="S474" s="81"/>
      <c r="T474" s="81"/>
    </row>
    <row r="475" spans="1:20" ht="13">
      <c r="A475" s="3"/>
      <c r="B475" s="126"/>
      <c r="C475" s="81"/>
      <c r="D475" s="81"/>
      <c r="E475" s="2"/>
      <c r="F475" s="81"/>
      <c r="G475" s="81"/>
      <c r="H475" s="2"/>
      <c r="I475" s="38"/>
      <c r="J475" s="38"/>
      <c r="K475" s="38"/>
      <c r="S475" s="81"/>
      <c r="T475" s="81"/>
    </row>
    <row r="476" spans="1:20" ht="13">
      <c r="A476" s="3"/>
      <c r="B476" s="126"/>
      <c r="C476" s="81"/>
      <c r="D476" s="81"/>
      <c r="E476" s="2"/>
      <c r="F476" s="81"/>
      <c r="G476" s="81"/>
      <c r="H476" s="2"/>
      <c r="I476" s="38"/>
      <c r="J476" s="38"/>
      <c r="K476" s="38"/>
      <c r="S476" s="81"/>
      <c r="T476" s="81"/>
    </row>
    <row r="477" spans="1:20" ht="13">
      <c r="A477" s="3"/>
      <c r="B477" s="126"/>
      <c r="C477" s="81"/>
      <c r="D477" s="81"/>
      <c r="E477" s="2"/>
      <c r="F477" s="81"/>
      <c r="G477" s="81"/>
      <c r="H477" s="2"/>
      <c r="I477" s="38"/>
      <c r="J477" s="38"/>
      <c r="K477" s="38"/>
      <c r="S477" s="81"/>
      <c r="T477" s="81"/>
    </row>
    <row r="478" spans="1:20" ht="13">
      <c r="A478" s="3"/>
      <c r="B478" s="126"/>
      <c r="C478" s="81"/>
      <c r="D478" s="81"/>
      <c r="E478" s="2"/>
      <c r="F478" s="81"/>
      <c r="G478" s="81"/>
      <c r="H478" s="2"/>
      <c r="I478" s="38"/>
      <c r="J478" s="38"/>
      <c r="K478" s="38"/>
      <c r="S478" s="81"/>
      <c r="T478" s="81"/>
    </row>
    <row r="479" spans="1:20" ht="13">
      <c r="A479" s="3"/>
      <c r="B479" s="126"/>
      <c r="C479" s="81"/>
      <c r="D479" s="81"/>
      <c r="E479" s="2"/>
      <c r="F479" s="81"/>
      <c r="G479" s="81"/>
      <c r="H479" s="2"/>
      <c r="I479" s="38"/>
      <c r="J479" s="38"/>
      <c r="K479" s="38"/>
      <c r="S479" s="81"/>
      <c r="T479" s="81"/>
    </row>
    <row r="480" spans="1:20" ht="13">
      <c r="A480" s="3"/>
      <c r="B480" s="126"/>
      <c r="C480" s="81"/>
      <c r="D480" s="81"/>
      <c r="E480" s="2"/>
      <c r="F480" s="81"/>
      <c r="G480" s="81"/>
      <c r="H480" s="2"/>
      <c r="I480" s="38"/>
      <c r="J480" s="38"/>
      <c r="K480" s="38"/>
      <c r="S480" s="81"/>
      <c r="T480" s="81"/>
    </row>
    <row r="481" spans="1:20" ht="13">
      <c r="A481" s="3"/>
      <c r="B481" s="126"/>
      <c r="C481" s="81"/>
      <c r="D481" s="81"/>
      <c r="E481" s="2"/>
      <c r="F481" s="81"/>
      <c r="G481" s="81"/>
      <c r="H481" s="2"/>
      <c r="I481" s="38"/>
      <c r="J481" s="38"/>
      <c r="K481" s="38"/>
      <c r="S481" s="81"/>
      <c r="T481" s="81"/>
    </row>
    <row r="482" spans="1:20" ht="13">
      <c r="A482" s="3"/>
      <c r="B482" s="126"/>
      <c r="C482" s="81"/>
      <c r="D482" s="81"/>
      <c r="E482" s="2"/>
      <c r="F482" s="81"/>
      <c r="G482" s="81"/>
      <c r="H482" s="2"/>
      <c r="I482" s="38"/>
      <c r="J482" s="38"/>
      <c r="K482" s="38"/>
      <c r="S482" s="81"/>
      <c r="T482" s="81"/>
    </row>
    <row r="483" spans="1:20" ht="13">
      <c r="A483" s="3"/>
      <c r="B483" s="126"/>
      <c r="C483" s="81"/>
      <c r="D483" s="81"/>
      <c r="E483" s="2"/>
      <c r="F483" s="81"/>
      <c r="G483" s="81"/>
      <c r="H483" s="2"/>
      <c r="I483" s="38"/>
      <c r="J483" s="38"/>
      <c r="K483" s="38"/>
      <c r="S483" s="81"/>
      <c r="T483" s="81"/>
    </row>
    <row r="484" spans="1:20" ht="13">
      <c r="A484" s="3"/>
      <c r="B484" s="126"/>
      <c r="C484" s="81"/>
      <c r="D484" s="81"/>
      <c r="E484" s="2"/>
      <c r="F484" s="81"/>
      <c r="G484" s="81"/>
      <c r="H484" s="2"/>
      <c r="I484" s="38"/>
      <c r="J484" s="38"/>
      <c r="K484" s="38"/>
      <c r="S484" s="81"/>
      <c r="T484" s="81"/>
    </row>
    <row r="485" spans="1:20" ht="13">
      <c r="A485" s="3"/>
      <c r="B485" s="126"/>
      <c r="C485" s="81"/>
      <c r="D485" s="81"/>
      <c r="E485" s="2"/>
      <c r="F485" s="81"/>
      <c r="G485" s="81"/>
      <c r="H485" s="2"/>
      <c r="I485" s="38"/>
      <c r="J485" s="38"/>
      <c r="K485" s="38"/>
      <c r="S485" s="81"/>
      <c r="T485" s="81"/>
    </row>
    <row r="486" spans="1:20" ht="13">
      <c r="A486" s="3"/>
      <c r="B486" s="126"/>
      <c r="C486" s="81"/>
      <c r="D486" s="81"/>
      <c r="E486" s="2"/>
      <c r="F486" s="81"/>
      <c r="G486" s="81"/>
      <c r="H486" s="2"/>
      <c r="I486" s="38"/>
      <c r="J486" s="38"/>
      <c r="K486" s="38"/>
      <c r="S486" s="81"/>
      <c r="T486" s="81"/>
    </row>
    <row r="487" spans="1:20" ht="13">
      <c r="A487" s="3"/>
      <c r="B487" s="126"/>
      <c r="C487" s="81"/>
      <c r="D487" s="81"/>
      <c r="E487" s="2"/>
      <c r="F487" s="81"/>
      <c r="G487" s="81"/>
      <c r="H487" s="2"/>
      <c r="I487" s="38"/>
      <c r="J487" s="38"/>
      <c r="K487" s="38"/>
      <c r="S487" s="81"/>
      <c r="T487" s="81"/>
    </row>
    <row r="488" spans="1:20" ht="13">
      <c r="A488" s="3"/>
      <c r="B488" s="126"/>
      <c r="C488" s="81"/>
      <c r="D488" s="81"/>
      <c r="E488" s="2"/>
      <c r="F488" s="81"/>
      <c r="G488" s="81"/>
      <c r="H488" s="2"/>
      <c r="I488" s="38"/>
      <c r="J488" s="38"/>
      <c r="K488" s="38"/>
      <c r="S488" s="81"/>
      <c r="T488" s="81"/>
    </row>
    <row r="489" spans="1:20" ht="13">
      <c r="A489" s="3"/>
      <c r="B489" s="126"/>
      <c r="C489" s="81"/>
      <c r="D489" s="81"/>
      <c r="E489" s="2"/>
      <c r="F489" s="81"/>
      <c r="G489" s="81"/>
      <c r="H489" s="2"/>
      <c r="I489" s="38"/>
      <c r="J489" s="38"/>
      <c r="K489" s="38"/>
      <c r="S489" s="81"/>
      <c r="T489" s="81"/>
    </row>
    <row r="490" spans="1:20" ht="13">
      <c r="A490" s="3"/>
      <c r="B490" s="126"/>
      <c r="C490" s="81"/>
      <c r="D490" s="81"/>
      <c r="E490" s="2"/>
      <c r="F490" s="81"/>
      <c r="G490" s="81"/>
      <c r="H490" s="2"/>
      <c r="I490" s="38"/>
      <c r="J490" s="38"/>
      <c r="K490" s="38"/>
      <c r="S490" s="81"/>
      <c r="T490" s="81"/>
    </row>
    <row r="491" spans="1:20" ht="13">
      <c r="A491" s="3"/>
      <c r="B491" s="126"/>
      <c r="C491" s="81"/>
      <c r="D491" s="81"/>
      <c r="E491" s="2"/>
      <c r="F491" s="81"/>
      <c r="G491" s="81"/>
      <c r="H491" s="2"/>
      <c r="I491" s="38"/>
      <c r="J491" s="38"/>
      <c r="K491" s="38"/>
      <c r="S491" s="81"/>
      <c r="T491" s="81"/>
    </row>
    <row r="492" spans="1:20" ht="13">
      <c r="A492" s="3"/>
      <c r="B492" s="126"/>
      <c r="C492" s="81"/>
      <c r="D492" s="81"/>
      <c r="E492" s="2"/>
      <c r="F492" s="81"/>
      <c r="G492" s="81"/>
      <c r="H492" s="2"/>
      <c r="I492" s="38"/>
      <c r="J492" s="38"/>
      <c r="K492" s="38"/>
      <c r="S492" s="81"/>
      <c r="T492" s="81"/>
    </row>
    <row r="493" spans="1:20" ht="13">
      <c r="A493" s="3"/>
      <c r="B493" s="126"/>
      <c r="C493" s="81"/>
      <c r="D493" s="81"/>
      <c r="E493" s="2"/>
      <c r="F493" s="81"/>
      <c r="G493" s="81"/>
      <c r="H493" s="2"/>
      <c r="I493" s="38"/>
      <c r="J493" s="38"/>
      <c r="K493" s="38"/>
      <c r="S493" s="81"/>
      <c r="T493" s="81"/>
    </row>
    <row r="494" spans="1:20" ht="13">
      <c r="A494" s="3"/>
      <c r="B494" s="126"/>
      <c r="C494" s="81"/>
      <c r="D494" s="81"/>
      <c r="E494" s="2"/>
      <c r="F494" s="81"/>
      <c r="G494" s="81"/>
      <c r="H494" s="2"/>
      <c r="I494" s="38"/>
      <c r="J494" s="38"/>
      <c r="K494" s="38"/>
      <c r="S494" s="81"/>
      <c r="T494" s="81"/>
    </row>
    <row r="495" spans="1:20" ht="13">
      <c r="A495" s="3"/>
      <c r="B495" s="126"/>
      <c r="C495" s="81"/>
      <c r="D495" s="81"/>
      <c r="E495" s="2"/>
      <c r="F495" s="81"/>
      <c r="G495" s="81"/>
      <c r="H495" s="2"/>
      <c r="I495" s="38"/>
      <c r="J495" s="38"/>
      <c r="K495" s="38"/>
      <c r="S495" s="81"/>
      <c r="T495" s="81"/>
    </row>
    <row r="496" spans="1:20" ht="13">
      <c r="A496" s="3"/>
      <c r="B496" s="126"/>
      <c r="C496" s="81"/>
      <c r="D496" s="81"/>
      <c r="E496" s="2"/>
      <c r="F496" s="81"/>
      <c r="G496" s="81"/>
      <c r="H496" s="2"/>
      <c r="I496" s="38"/>
      <c r="J496" s="38"/>
      <c r="K496" s="38"/>
      <c r="S496" s="81"/>
      <c r="T496" s="81"/>
    </row>
    <row r="497" spans="1:20" ht="13">
      <c r="A497" s="3"/>
      <c r="B497" s="126"/>
      <c r="C497" s="81"/>
      <c r="D497" s="81"/>
      <c r="E497" s="2"/>
      <c r="F497" s="81"/>
      <c r="G497" s="81"/>
      <c r="H497" s="2"/>
      <c r="I497" s="38"/>
      <c r="J497" s="38"/>
      <c r="K497" s="38"/>
      <c r="S497" s="81"/>
      <c r="T497" s="81"/>
    </row>
    <row r="498" spans="1:20" ht="13">
      <c r="A498" s="3"/>
      <c r="B498" s="126"/>
      <c r="C498" s="81"/>
      <c r="D498" s="81"/>
      <c r="E498" s="2"/>
      <c r="F498" s="81"/>
      <c r="G498" s="81"/>
      <c r="H498" s="2"/>
      <c r="I498" s="38"/>
      <c r="J498" s="38"/>
      <c r="K498" s="38"/>
      <c r="S498" s="81"/>
      <c r="T498" s="81"/>
    </row>
    <row r="499" spans="1:20" ht="13">
      <c r="A499" s="3"/>
      <c r="B499" s="126"/>
      <c r="C499" s="81"/>
      <c r="D499" s="81"/>
      <c r="E499" s="2"/>
      <c r="F499" s="81"/>
      <c r="G499" s="81"/>
      <c r="H499" s="2"/>
      <c r="I499" s="38"/>
      <c r="J499" s="38"/>
      <c r="K499" s="38"/>
      <c r="S499" s="81"/>
      <c r="T499" s="81"/>
    </row>
    <row r="500" spans="1:20" ht="13">
      <c r="A500" s="3"/>
      <c r="B500" s="126"/>
      <c r="C500" s="81"/>
      <c r="D500" s="81"/>
      <c r="E500" s="2"/>
      <c r="F500" s="81"/>
      <c r="G500" s="81"/>
      <c r="H500" s="2"/>
      <c r="I500" s="38"/>
      <c r="J500" s="38"/>
      <c r="K500" s="38"/>
      <c r="S500" s="81"/>
      <c r="T500" s="81"/>
    </row>
    <row r="501" spans="1:20" ht="13">
      <c r="A501" s="3"/>
      <c r="B501" s="126"/>
      <c r="C501" s="81"/>
      <c r="D501" s="81"/>
      <c r="E501" s="2"/>
      <c r="F501" s="81"/>
      <c r="G501" s="81"/>
      <c r="H501" s="2"/>
      <c r="I501" s="38"/>
      <c r="J501" s="38"/>
      <c r="K501" s="38"/>
      <c r="S501" s="81"/>
      <c r="T501" s="81"/>
    </row>
    <row r="502" spans="1:20" ht="13">
      <c r="A502" s="3"/>
      <c r="B502" s="126"/>
      <c r="C502" s="81"/>
      <c r="D502" s="81"/>
      <c r="E502" s="2"/>
      <c r="F502" s="81"/>
      <c r="G502" s="81"/>
      <c r="H502" s="2"/>
      <c r="I502" s="38"/>
      <c r="J502" s="38"/>
      <c r="K502" s="38"/>
      <c r="S502" s="81"/>
      <c r="T502" s="81"/>
    </row>
    <row r="503" spans="1:20" ht="13">
      <c r="A503" s="3"/>
      <c r="B503" s="126"/>
      <c r="C503" s="81"/>
      <c r="D503" s="81"/>
      <c r="E503" s="2"/>
      <c r="F503" s="81"/>
      <c r="G503" s="81"/>
      <c r="H503" s="2"/>
      <c r="I503" s="38"/>
      <c r="J503" s="38"/>
      <c r="K503" s="38"/>
      <c r="S503" s="81"/>
      <c r="T503" s="81"/>
    </row>
    <row r="504" spans="1:20" ht="13">
      <c r="A504" s="3"/>
      <c r="B504" s="126"/>
      <c r="C504" s="81"/>
      <c r="D504" s="81"/>
      <c r="E504" s="2"/>
      <c r="F504" s="81"/>
      <c r="G504" s="81"/>
      <c r="H504" s="2"/>
      <c r="I504" s="38"/>
      <c r="J504" s="38"/>
      <c r="K504" s="38"/>
      <c r="S504" s="81"/>
      <c r="T504" s="81"/>
    </row>
    <row r="505" spans="1:20" ht="13">
      <c r="A505" s="3"/>
      <c r="B505" s="126"/>
      <c r="C505" s="81"/>
      <c r="D505" s="81"/>
      <c r="E505" s="2"/>
      <c r="F505" s="81"/>
      <c r="G505" s="81"/>
      <c r="H505" s="2"/>
      <c r="I505" s="38"/>
      <c r="J505" s="38"/>
      <c r="K505" s="38"/>
      <c r="S505" s="81"/>
      <c r="T505" s="81"/>
    </row>
    <row r="506" spans="1:20" ht="13">
      <c r="A506" s="3"/>
      <c r="B506" s="126"/>
      <c r="C506" s="81"/>
      <c r="D506" s="81"/>
      <c r="E506" s="2"/>
      <c r="F506" s="81"/>
      <c r="G506" s="81"/>
      <c r="H506" s="2"/>
      <c r="I506" s="38"/>
      <c r="J506" s="38"/>
      <c r="K506" s="38"/>
      <c r="S506" s="81"/>
      <c r="T506" s="81"/>
    </row>
    <row r="507" spans="1:20" ht="13">
      <c r="A507" s="3"/>
      <c r="B507" s="126"/>
      <c r="C507" s="81"/>
      <c r="D507" s="81"/>
      <c r="E507" s="2"/>
      <c r="F507" s="81"/>
      <c r="G507" s="81"/>
      <c r="H507" s="2"/>
      <c r="I507" s="38"/>
      <c r="J507" s="38"/>
      <c r="K507" s="38"/>
      <c r="S507" s="81"/>
      <c r="T507" s="81"/>
    </row>
    <row r="508" spans="1:20" ht="13">
      <c r="A508" s="3"/>
      <c r="B508" s="126"/>
      <c r="C508" s="81"/>
      <c r="D508" s="81"/>
      <c r="E508" s="2"/>
      <c r="F508" s="81"/>
      <c r="G508" s="81"/>
      <c r="H508" s="2"/>
      <c r="I508" s="38"/>
      <c r="J508" s="38"/>
      <c r="K508" s="38"/>
      <c r="S508" s="81"/>
      <c r="T508" s="81"/>
    </row>
    <row r="509" spans="1:20" ht="13">
      <c r="A509" s="3"/>
      <c r="B509" s="126"/>
      <c r="C509" s="81"/>
      <c r="D509" s="81"/>
      <c r="E509" s="2"/>
      <c r="F509" s="81"/>
      <c r="G509" s="81"/>
      <c r="H509" s="2"/>
      <c r="I509" s="38"/>
      <c r="J509" s="38"/>
      <c r="K509" s="38"/>
      <c r="S509" s="81"/>
      <c r="T509" s="81"/>
    </row>
    <row r="510" spans="1:20" ht="13">
      <c r="A510" s="3"/>
      <c r="B510" s="126"/>
      <c r="C510" s="81"/>
      <c r="D510" s="81"/>
      <c r="E510" s="2"/>
      <c r="F510" s="81"/>
      <c r="G510" s="81"/>
      <c r="H510" s="2"/>
      <c r="I510" s="38"/>
      <c r="J510" s="38"/>
      <c r="K510" s="38"/>
      <c r="S510" s="81"/>
      <c r="T510" s="81"/>
    </row>
    <row r="511" spans="1:20" ht="13">
      <c r="A511" s="3"/>
      <c r="B511" s="126"/>
      <c r="C511" s="81"/>
      <c r="D511" s="81"/>
      <c r="E511" s="2"/>
      <c r="F511" s="81"/>
      <c r="G511" s="81"/>
      <c r="H511" s="2"/>
      <c r="I511" s="38"/>
      <c r="J511" s="38"/>
      <c r="K511" s="38"/>
      <c r="S511" s="81"/>
      <c r="T511" s="81"/>
    </row>
    <row r="512" spans="1:20" ht="13">
      <c r="A512" s="3"/>
      <c r="B512" s="126"/>
      <c r="C512" s="81"/>
      <c r="D512" s="81"/>
      <c r="E512" s="2"/>
      <c r="F512" s="81"/>
      <c r="G512" s="81"/>
      <c r="H512" s="2"/>
      <c r="I512" s="38"/>
      <c r="J512" s="38"/>
      <c r="K512" s="38"/>
      <c r="S512" s="81"/>
      <c r="T512" s="81"/>
    </row>
    <row r="513" spans="1:20" ht="13">
      <c r="A513" s="3"/>
      <c r="B513" s="126"/>
      <c r="C513" s="81"/>
      <c r="D513" s="81"/>
      <c r="E513" s="2"/>
      <c r="F513" s="81"/>
      <c r="G513" s="81"/>
      <c r="H513" s="2"/>
      <c r="I513" s="38"/>
      <c r="J513" s="38"/>
      <c r="K513" s="38"/>
      <c r="S513" s="81"/>
      <c r="T513" s="81"/>
    </row>
    <row r="514" spans="1:20" ht="13">
      <c r="A514" s="3"/>
      <c r="B514" s="126"/>
      <c r="C514" s="81"/>
      <c r="D514" s="81"/>
      <c r="E514" s="2"/>
      <c r="F514" s="81"/>
      <c r="G514" s="81"/>
      <c r="H514" s="2"/>
      <c r="I514" s="38"/>
      <c r="J514" s="38"/>
      <c r="K514" s="38"/>
      <c r="S514" s="81"/>
      <c r="T514" s="81"/>
    </row>
    <row r="515" spans="1:20" ht="13">
      <c r="A515" s="3"/>
      <c r="B515" s="126"/>
      <c r="C515" s="81"/>
      <c r="D515" s="81"/>
      <c r="E515" s="2"/>
      <c r="F515" s="81"/>
      <c r="G515" s="81"/>
      <c r="H515" s="2"/>
      <c r="I515" s="38"/>
      <c r="J515" s="38"/>
      <c r="K515" s="38"/>
      <c r="S515" s="81"/>
      <c r="T515" s="81"/>
    </row>
    <row r="516" spans="1:20" ht="13">
      <c r="A516" s="3"/>
      <c r="B516" s="126"/>
      <c r="C516" s="81"/>
      <c r="D516" s="81"/>
      <c r="E516" s="2"/>
      <c r="F516" s="81"/>
      <c r="G516" s="81"/>
      <c r="H516" s="2"/>
      <c r="I516" s="38"/>
      <c r="J516" s="38"/>
      <c r="K516" s="38"/>
      <c r="S516" s="81"/>
      <c r="T516" s="81"/>
    </row>
    <row r="517" spans="1:20" ht="13">
      <c r="A517" s="3"/>
      <c r="B517" s="126"/>
      <c r="C517" s="81"/>
      <c r="D517" s="81"/>
      <c r="E517" s="2"/>
      <c r="F517" s="81"/>
      <c r="G517" s="81"/>
      <c r="H517" s="2"/>
      <c r="I517" s="38"/>
      <c r="J517" s="38"/>
      <c r="K517" s="38"/>
      <c r="S517" s="81"/>
      <c r="T517" s="81"/>
    </row>
    <row r="518" spans="1:20" ht="13">
      <c r="A518" s="3"/>
      <c r="B518" s="126"/>
      <c r="C518" s="81"/>
      <c r="D518" s="81"/>
      <c r="E518" s="2"/>
      <c r="F518" s="81"/>
      <c r="G518" s="81"/>
      <c r="H518" s="2"/>
      <c r="I518" s="38"/>
      <c r="J518" s="38"/>
      <c r="K518" s="38"/>
      <c r="S518" s="81"/>
      <c r="T518" s="81"/>
    </row>
    <row r="519" spans="1:20" ht="13">
      <c r="A519" s="3"/>
      <c r="B519" s="126"/>
      <c r="C519" s="81"/>
      <c r="D519" s="81"/>
      <c r="E519" s="2"/>
      <c r="F519" s="81"/>
      <c r="G519" s="81"/>
      <c r="H519" s="2"/>
      <c r="I519" s="38"/>
      <c r="J519" s="38"/>
      <c r="K519" s="38"/>
      <c r="S519" s="81"/>
      <c r="T519" s="81"/>
    </row>
    <row r="520" spans="1:20" ht="13">
      <c r="A520" s="3"/>
      <c r="B520" s="126"/>
      <c r="C520" s="81"/>
      <c r="D520" s="81"/>
      <c r="E520" s="2"/>
      <c r="F520" s="81"/>
      <c r="G520" s="81"/>
      <c r="H520" s="2"/>
      <c r="I520" s="38"/>
      <c r="J520" s="38"/>
      <c r="K520" s="38"/>
      <c r="S520" s="81"/>
      <c r="T520" s="81"/>
    </row>
    <row r="521" spans="1:20" ht="13">
      <c r="A521" s="3"/>
      <c r="B521" s="126"/>
      <c r="C521" s="81"/>
      <c r="D521" s="81"/>
      <c r="E521" s="2"/>
      <c r="F521" s="81"/>
      <c r="G521" s="81"/>
      <c r="H521" s="2"/>
      <c r="I521" s="38"/>
      <c r="J521" s="38"/>
      <c r="K521" s="38"/>
      <c r="S521" s="81"/>
      <c r="T521" s="81"/>
    </row>
    <row r="522" spans="1:20" ht="13">
      <c r="A522" s="3"/>
      <c r="B522" s="126"/>
      <c r="C522" s="81"/>
      <c r="D522" s="81"/>
      <c r="E522" s="2"/>
      <c r="F522" s="81"/>
      <c r="G522" s="81"/>
      <c r="H522" s="2"/>
      <c r="I522" s="38"/>
      <c r="J522" s="38"/>
      <c r="K522" s="38"/>
      <c r="S522" s="81"/>
      <c r="T522" s="81"/>
    </row>
    <row r="523" spans="1:20" ht="13">
      <c r="A523" s="3"/>
      <c r="B523" s="126"/>
      <c r="C523" s="81"/>
      <c r="D523" s="81"/>
      <c r="E523" s="2"/>
      <c r="F523" s="81"/>
      <c r="G523" s="81"/>
      <c r="H523" s="2"/>
      <c r="I523" s="38"/>
      <c r="J523" s="38"/>
      <c r="K523" s="38"/>
      <c r="S523" s="81"/>
      <c r="T523" s="81"/>
    </row>
    <row r="524" spans="1:20" ht="13">
      <c r="A524" s="3"/>
      <c r="B524" s="126"/>
      <c r="C524" s="81"/>
      <c r="D524" s="81"/>
      <c r="E524" s="2"/>
      <c r="F524" s="81"/>
      <c r="G524" s="81"/>
      <c r="H524" s="2"/>
      <c r="I524" s="38"/>
      <c r="J524" s="38"/>
      <c r="K524" s="38"/>
      <c r="S524" s="81"/>
      <c r="T524" s="81"/>
    </row>
    <row r="525" spans="1:20" ht="13">
      <c r="A525" s="3"/>
      <c r="B525" s="126"/>
      <c r="C525" s="81"/>
      <c r="D525" s="81"/>
      <c r="E525" s="2"/>
      <c r="F525" s="81"/>
      <c r="G525" s="81"/>
      <c r="H525" s="2"/>
      <c r="I525" s="38"/>
      <c r="J525" s="38"/>
      <c r="K525" s="38"/>
      <c r="S525" s="81"/>
      <c r="T525" s="81"/>
    </row>
    <row r="526" spans="1:20" ht="13">
      <c r="A526" s="3"/>
      <c r="B526" s="126"/>
      <c r="C526" s="81"/>
      <c r="D526" s="81"/>
      <c r="E526" s="2"/>
      <c r="F526" s="81"/>
      <c r="G526" s="81"/>
      <c r="H526" s="2"/>
      <c r="I526" s="38"/>
      <c r="J526" s="38"/>
      <c r="K526" s="38"/>
      <c r="S526" s="81"/>
      <c r="T526" s="81"/>
    </row>
    <row r="527" spans="1:20" ht="13">
      <c r="A527" s="3"/>
      <c r="B527" s="126"/>
      <c r="C527" s="81"/>
      <c r="D527" s="81"/>
      <c r="E527" s="2"/>
      <c r="F527" s="81"/>
      <c r="G527" s="81"/>
      <c r="H527" s="2"/>
      <c r="I527" s="38"/>
      <c r="J527" s="38"/>
      <c r="K527" s="38"/>
      <c r="S527" s="81"/>
      <c r="T527" s="81"/>
    </row>
    <row r="528" spans="1:20" ht="13">
      <c r="A528" s="3"/>
      <c r="B528" s="126"/>
      <c r="C528" s="81"/>
      <c r="D528" s="81"/>
      <c r="E528" s="2"/>
      <c r="F528" s="81"/>
      <c r="G528" s="81"/>
      <c r="H528" s="2"/>
      <c r="I528" s="38"/>
      <c r="J528" s="38"/>
      <c r="K528" s="38"/>
      <c r="S528" s="81"/>
      <c r="T528" s="81"/>
    </row>
    <row r="529" spans="1:20" ht="13">
      <c r="A529" s="3"/>
      <c r="B529" s="126"/>
      <c r="C529" s="81"/>
      <c r="D529" s="81"/>
      <c r="E529" s="2"/>
      <c r="F529" s="81"/>
      <c r="G529" s="81"/>
      <c r="H529" s="2"/>
      <c r="I529" s="38"/>
      <c r="J529" s="38"/>
      <c r="K529" s="38"/>
      <c r="S529" s="81"/>
      <c r="T529" s="81"/>
    </row>
    <row r="530" spans="1:20" ht="13">
      <c r="A530" s="3"/>
      <c r="B530" s="126"/>
      <c r="C530" s="81"/>
      <c r="D530" s="81"/>
      <c r="E530" s="2"/>
      <c r="F530" s="81"/>
      <c r="G530" s="81"/>
      <c r="H530" s="2"/>
      <c r="I530" s="38"/>
      <c r="J530" s="38"/>
      <c r="K530" s="38"/>
      <c r="S530" s="81"/>
      <c r="T530" s="81"/>
    </row>
    <row r="531" spans="1:20" ht="13">
      <c r="A531" s="3"/>
      <c r="B531" s="126"/>
      <c r="C531" s="81"/>
      <c r="D531" s="81"/>
      <c r="E531" s="2"/>
      <c r="F531" s="81"/>
      <c r="G531" s="81"/>
      <c r="H531" s="2"/>
      <c r="I531" s="38"/>
      <c r="J531" s="38"/>
      <c r="K531" s="38"/>
      <c r="S531" s="81"/>
      <c r="T531" s="81"/>
    </row>
    <row r="532" spans="1:20" ht="13">
      <c r="A532" s="3"/>
      <c r="B532" s="126"/>
      <c r="C532" s="81"/>
      <c r="D532" s="81"/>
      <c r="E532" s="2"/>
      <c r="F532" s="81"/>
      <c r="G532" s="81"/>
      <c r="H532" s="2"/>
      <c r="I532" s="38"/>
      <c r="J532" s="38"/>
      <c r="K532" s="38"/>
      <c r="S532" s="81"/>
      <c r="T532" s="81"/>
    </row>
    <row r="533" spans="1:20" ht="13">
      <c r="A533" s="3"/>
      <c r="B533" s="126"/>
      <c r="C533" s="81"/>
      <c r="D533" s="81"/>
      <c r="E533" s="2"/>
      <c r="F533" s="81"/>
      <c r="G533" s="81"/>
      <c r="H533" s="2"/>
      <c r="I533" s="38"/>
      <c r="J533" s="38"/>
      <c r="K533" s="38"/>
      <c r="S533" s="81"/>
      <c r="T533" s="81"/>
    </row>
    <row r="534" spans="1:20" ht="13">
      <c r="A534" s="3"/>
      <c r="B534" s="126"/>
      <c r="C534" s="81"/>
      <c r="D534" s="81"/>
      <c r="E534" s="2"/>
      <c r="F534" s="81"/>
      <c r="G534" s="81"/>
      <c r="H534" s="2"/>
      <c r="I534" s="38"/>
      <c r="J534" s="38"/>
      <c r="K534" s="38"/>
      <c r="S534" s="81"/>
      <c r="T534" s="81"/>
    </row>
    <row r="535" spans="1:20" ht="13">
      <c r="A535" s="3"/>
      <c r="B535" s="126"/>
      <c r="C535" s="81"/>
      <c r="D535" s="81"/>
      <c r="E535" s="2"/>
      <c r="F535" s="81"/>
      <c r="G535" s="81"/>
      <c r="H535" s="2"/>
      <c r="I535" s="38"/>
      <c r="J535" s="38"/>
      <c r="K535" s="38"/>
      <c r="S535" s="81"/>
      <c r="T535" s="81"/>
    </row>
    <row r="536" spans="1:20" ht="13">
      <c r="A536" s="3"/>
      <c r="B536" s="126"/>
      <c r="C536" s="81"/>
      <c r="D536" s="81"/>
      <c r="E536" s="2"/>
      <c r="F536" s="81"/>
      <c r="G536" s="81"/>
      <c r="H536" s="2"/>
      <c r="I536" s="38"/>
      <c r="J536" s="38"/>
      <c r="K536" s="38"/>
      <c r="S536" s="81"/>
      <c r="T536" s="81"/>
    </row>
    <row r="537" spans="1:20" ht="13">
      <c r="A537" s="3"/>
      <c r="B537" s="126"/>
      <c r="C537" s="81"/>
      <c r="D537" s="81"/>
      <c r="E537" s="2"/>
      <c r="F537" s="81"/>
      <c r="G537" s="81"/>
      <c r="H537" s="2"/>
      <c r="I537" s="38"/>
      <c r="J537" s="38"/>
      <c r="K537" s="38"/>
      <c r="S537" s="81"/>
      <c r="T537" s="81"/>
    </row>
    <row r="538" spans="1:20" ht="13">
      <c r="A538" s="3"/>
      <c r="B538" s="126"/>
      <c r="C538" s="81"/>
      <c r="D538" s="81"/>
      <c r="E538" s="2"/>
      <c r="F538" s="81"/>
      <c r="G538" s="81"/>
      <c r="H538" s="2"/>
      <c r="I538" s="38"/>
      <c r="J538" s="38"/>
      <c r="K538" s="38"/>
      <c r="S538" s="81"/>
      <c r="T538" s="81"/>
    </row>
    <row r="539" spans="1:20" ht="13">
      <c r="A539" s="3"/>
      <c r="B539" s="126"/>
      <c r="C539" s="81"/>
      <c r="D539" s="81"/>
      <c r="E539" s="2"/>
      <c r="F539" s="81"/>
      <c r="G539" s="81"/>
      <c r="H539" s="2"/>
      <c r="I539" s="38"/>
      <c r="J539" s="38"/>
      <c r="K539" s="38"/>
      <c r="S539" s="81"/>
      <c r="T539" s="81"/>
    </row>
    <row r="540" spans="1:20" ht="13">
      <c r="A540" s="3"/>
      <c r="B540" s="126"/>
      <c r="C540" s="81"/>
      <c r="D540" s="81"/>
      <c r="E540" s="2"/>
      <c r="F540" s="81"/>
      <c r="G540" s="81"/>
      <c r="H540" s="2"/>
      <c r="I540" s="38"/>
      <c r="J540" s="38"/>
      <c r="K540" s="38"/>
      <c r="S540" s="81"/>
      <c r="T540" s="81"/>
    </row>
    <row r="541" spans="1:20" ht="13">
      <c r="A541" s="3"/>
      <c r="B541" s="126"/>
      <c r="C541" s="81"/>
      <c r="D541" s="81"/>
      <c r="E541" s="2"/>
      <c r="F541" s="81"/>
      <c r="G541" s="81"/>
      <c r="H541" s="2"/>
      <c r="I541" s="38"/>
      <c r="J541" s="38"/>
      <c r="K541" s="38"/>
      <c r="S541" s="81"/>
      <c r="T541" s="81"/>
    </row>
    <row r="542" spans="1:20" ht="13">
      <c r="A542" s="3"/>
      <c r="B542" s="126"/>
      <c r="C542" s="81"/>
      <c r="D542" s="81"/>
      <c r="E542" s="2"/>
      <c r="F542" s="81"/>
      <c r="G542" s="81"/>
      <c r="H542" s="2"/>
      <c r="I542" s="38"/>
      <c r="J542" s="38"/>
      <c r="K542" s="38"/>
      <c r="S542" s="81"/>
      <c r="T542" s="81"/>
    </row>
    <row r="543" spans="1:20" ht="13">
      <c r="A543" s="3"/>
      <c r="B543" s="126"/>
      <c r="C543" s="81"/>
      <c r="D543" s="81"/>
      <c r="E543" s="2"/>
      <c r="F543" s="81"/>
      <c r="G543" s="81"/>
      <c r="H543" s="2"/>
      <c r="I543" s="38"/>
      <c r="J543" s="38"/>
      <c r="K543" s="38"/>
      <c r="S543" s="81"/>
      <c r="T543" s="81"/>
    </row>
    <row r="544" spans="1:20" ht="13">
      <c r="A544" s="3"/>
      <c r="B544" s="126"/>
      <c r="C544" s="81"/>
      <c r="D544" s="81"/>
      <c r="E544" s="2"/>
      <c r="F544" s="81"/>
      <c r="G544" s="81"/>
      <c r="H544" s="2"/>
      <c r="I544" s="38"/>
      <c r="J544" s="38"/>
      <c r="K544" s="38"/>
      <c r="S544" s="81"/>
      <c r="T544" s="81"/>
    </row>
    <row r="545" spans="1:20" ht="13">
      <c r="A545" s="3"/>
      <c r="B545" s="126"/>
      <c r="C545" s="81"/>
      <c r="D545" s="81"/>
      <c r="E545" s="2"/>
      <c r="F545" s="81"/>
      <c r="G545" s="81"/>
      <c r="H545" s="2"/>
      <c r="I545" s="38"/>
      <c r="J545" s="38"/>
      <c r="K545" s="38"/>
      <c r="S545" s="81"/>
      <c r="T545" s="81"/>
    </row>
    <row r="546" spans="1:20" ht="13">
      <c r="A546" s="3"/>
      <c r="B546" s="126"/>
      <c r="C546" s="81"/>
      <c r="D546" s="81"/>
      <c r="E546" s="2"/>
      <c r="F546" s="81"/>
      <c r="G546" s="81"/>
      <c r="H546" s="2"/>
      <c r="I546" s="38"/>
      <c r="J546" s="38"/>
      <c r="K546" s="38"/>
      <c r="S546" s="81"/>
      <c r="T546" s="81"/>
    </row>
    <row r="547" spans="1:20" ht="13">
      <c r="A547" s="3"/>
      <c r="B547" s="126"/>
      <c r="C547" s="81"/>
      <c r="D547" s="81"/>
      <c r="E547" s="2"/>
      <c r="F547" s="81"/>
      <c r="G547" s="81"/>
      <c r="H547" s="2"/>
      <c r="I547" s="38"/>
      <c r="J547" s="38"/>
      <c r="K547" s="38"/>
      <c r="S547" s="81"/>
      <c r="T547" s="81"/>
    </row>
    <row r="548" spans="1:20" ht="13">
      <c r="A548" s="3"/>
      <c r="B548" s="126"/>
      <c r="C548" s="81"/>
      <c r="D548" s="81"/>
      <c r="E548" s="2"/>
      <c r="F548" s="81"/>
      <c r="G548" s="81"/>
      <c r="H548" s="2"/>
      <c r="I548" s="38"/>
      <c r="J548" s="38"/>
      <c r="K548" s="38"/>
      <c r="S548" s="81"/>
      <c r="T548" s="81"/>
    </row>
    <row r="549" spans="1:20" ht="13">
      <c r="A549" s="3"/>
      <c r="B549" s="126"/>
      <c r="C549" s="81"/>
      <c r="D549" s="81"/>
      <c r="E549" s="2"/>
      <c r="F549" s="81"/>
      <c r="G549" s="81"/>
      <c r="H549" s="2"/>
      <c r="I549" s="38"/>
      <c r="J549" s="38"/>
      <c r="K549" s="38"/>
      <c r="S549" s="81"/>
      <c r="T549" s="81"/>
    </row>
    <row r="550" spans="1:20" ht="13">
      <c r="A550" s="3"/>
      <c r="B550" s="126"/>
      <c r="C550" s="81"/>
      <c r="D550" s="81"/>
      <c r="E550" s="2"/>
      <c r="F550" s="81"/>
      <c r="G550" s="81"/>
      <c r="H550" s="2"/>
      <c r="I550" s="38"/>
      <c r="J550" s="38"/>
      <c r="K550" s="38"/>
      <c r="S550" s="81"/>
      <c r="T550" s="81"/>
    </row>
    <row r="551" spans="1:20" ht="13">
      <c r="A551" s="3"/>
      <c r="B551" s="126"/>
      <c r="C551" s="81"/>
      <c r="D551" s="81"/>
      <c r="E551" s="2"/>
      <c r="F551" s="81"/>
      <c r="G551" s="81"/>
      <c r="H551" s="2"/>
      <c r="I551" s="38"/>
      <c r="J551" s="38"/>
      <c r="K551" s="38"/>
      <c r="S551" s="81"/>
      <c r="T551" s="81"/>
    </row>
    <row r="552" spans="1:20" ht="13">
      <c r="A552" s="3"/>
      <c r="B552" s="126"/>
      <c r="C552" s="81"/>
      <c r="D552" s="81"/>
      <c r="E552" s="2"/>
      <c r="F552" s="81"/>
      <c r="G552" s="81"/>
      <c r="H552" s="2"/>
      <c r="I552" s="38"/>
      <c r="J552" s="38"/>
      <c r="K552" s="38"/>
      <c r="S552" s="81"/>
      <c r="T552" s="81"/>
    </row>
    <row r="553" spans="1:20" ht="13">
      <c r="A553" s="3"/>
      <c r="B553" s="126"/>
      <c r="C553" s="81"/>
      <c r="D553" s="81"/>
      <c r="E553" s="2"/>
      <c r="F553" s="81"/>
      <c r="G553" s="81"/>
      <c r="H553" s="2"/>
      <c r="I553" s="38"/>
      <c r="J553" s="38"/>
      <c r="K553" s="38"/>
      <c r="S553" s="81"/>
      <c r="T553" s="81"/>
    </row>
    <row r="554" spans="1:20" ht="13">
      <c r="A554" s="3"/>
      <c r="B554" s="126"/>
      <c r="C554" s="81"/>
      <c r="D554" s="81"/>
      <c r="E554" s="2"/>
      <c r="F554" s="81"/>
      <c r="G554" s="81"/>
      <c r="H554" s="2"/>
      <c r="I554" s="38"/>
      <c r="J554" s="38"/>
      <c r="K554" s="38"/>
      <c r="S554" s="81"/>
      <c r="T554" s="81"/>
    </row>
    <row r="555" spans="1:20" ht="13">
      <c r="A555" s="3"/>
      <c r="B555" s="126"/>
      <c r="C555" s="81"/>
      <c r="D555" s="81"/>
      <c r="E555" s="2"/>
      <c r="F555" s="81"/>
      <c r="G555" s="81"/>
      <c r="H555" s="2"/>
      <c r="I555" s="38"/>
      <c r="J555" s="38"/>
      <c r="K555" s="38"/>
      <c r="S555" s="81"/>
      <c r="T555" s="81"/>
    </row>
    <row r="556" spans="1:20" ht="13">
      <c r="A556" s="3"/>
      <c r="B556" s="126"/>
      <c r="C556" s="81"/>
      <c r="D556" s="81"/>
      <c r="E556" s="2"/>
      <c r="F556" s="81"/>
      <c r="G556" s="81"/>
      <c r="H556" s="2"/>
      <c r="I556" s="38"/>
      <c r="J556" s="38"/>
      <c r="K556" s="38"/>
      <c r="S556" s="81"/>
      <c r="T556" s="81"/>
    </row>
    <row r="557" spans="1:20" ht="13">
      <c r="A557" s="3"/>
      <c r="B557" s="126"/>
      <c r="C557" s="81"/>
      <c r="D557" s="81"/>
      <c r="E557" s="2"/>
      <c r="F557" s="81"/>
      <c r="G557" s="81"/>
      <c r="H557" s="2"/>
      <c r="I557" s="38"/>
      <c r="J557" s="38"/>
      <c r="K557" s="38"/>
      <c r="S557" s="81"/>
      <c r="T557" s="81"/>
    </row>
    <row r="558" spans="1:20" ht="13">
      <c r="A558" s="3"/>
      <c r="B558" s="126"/>
      <c r="C558" s="81"/>
      <c r="D558" s="81"/>
      <c r="E558" s="2"/>
      <c r="F558" s="81"/>
      <c r="G558" s="81"/>
      <c r="H558" s="2"/>
      <c r="I558" s="38"/>
      <c r="J558" s="38"/>
      <c r="K558" s="38"/>
      <c r="S558" s="81"/>
      <c r="T558" s="81"/>
    </row>
    <row r="559" spans="1:20" ht="13">
      <c r="A559" s="3"/>
      <c r="B559" s="126"/>
      <c r="C559" s="81"/>
      <c r="D559" s="81"/>
      <c r="E559" s="2"/>
      <c r="F559" s="81"/>
      <c r="G559" s="81"/>
      <c r="H559" s="2"/>
      <c r="I559" s="38"/>
      <c r="J559" s="38"/>
      <c r="K559" s="38"/>
      <c r="S559" s="81"/>
      <c r="T559" s="81"/>
    </row>
    <row r="560" spans="1:20" ht="13">
      <c r="A560" s="3"/>
      <c r="B560" s="126"/>
      <c r="C560" s="81"/>
      <c r="D560" s="81"/>
      <c r="E560" s="2"/>
      <c r="F560" s="81"/>
      <c r="G560" s="81"/>
      <c r="H560" s="2"/>
      <c r="I560" s="38"/>
      <c r="J560" s="38"/>
      <c r="K560" s="38"/>
      <c r="S560" s="81"/>
      <c r="T560" s="81"/>
    </row>
    <row r="561" spans="1:20" ht="13">
      <c r="A561" s="3"/>
      <c r="B561" s="126"/>
      <c r="C561" s="81"/>
      <c r="D561" s="81"/>
      <c r="E561" s="2"/>
      <c r="F561" s="81"/>
      <c r="G561" s="81"/>
      <c r="H561" s="2"/>
      <c r="I561" s="38"/>
      <c r="J561" s="38"/>
      <c r="K561" s="38"/>
      <c r="S561" s="81"/>
      <c r="T561" s="81"/>
    </row>
    <row r="562" spans="1:20" ht="13">
      <c r="A562" s="3"/>
      <c r="B562" s="126"/>
      <c r="C562" s="81"/>
      <c r="D562" s="81"/>
      <c r="E562" s="2"/>
      <c r="F562" s="81"/>
      <c r="G562" s="81"/>
      <c r="H562" s="2"/>
      <c r="I562" s="38"/>
      <c r="J562" s="38"/>
      <c r="K562" s="38"/>
      <c r="S562" s="81"/>
      <c r="T562" s="81"/>
    </row>
    <row r="563" spans="1:20" ht="13">
      <c r="A563" s="3"/>
      <c r="B563" s="126"/>
      <c r="C563" s="81"/>
      <c r="D563" s="81"/>
      <c r="E563" s="2"/>
      <c r="F563" s="81"/>
      <c r="G563" s="81"/>
      <c r="H563" s="2"/>
      <c r="I563" s="38"/>
      <c r="J563" s="38"/>
      <c r="K563" s="38"/>
      <c r="S563" s="81"/>
      <c r="T563" s="81"/>
    </row>
    <row r="564" spans="1:20" ht="13">
      <c r="A564" s="3"/>
      <c r="B564" s="126"/>
      <c r="C564" s="81"/>
      <c r="D564" s="81"/>
      <c r="E564" s="2"/>
      <c r="F564" s="81"/>
      <c r="G564" s="81"/>
      <c r="H564" s="2"/>
      <c r="I564" s="38"/>
      <c r="J564" s="38"/>
      <c r="K564" s="38"/>
      <c r="S564" s="81"/>
      <c r="T564" s="81"/>
    </row>
    <row r="565" spans="1:20" ht="13">
      <c r="A565" s="3"/>
      <c r="B565" s="126"/>
      <c r="C565" s="81"/>
      <c r="D565" s="81"/>
      <c r="E565" s="2"/>
      <c r="F565" s="81"/>
      <c r="G565" s="81"/>
      <c r="H565" s="2"/>
      <c r="I565" s="38"/>
      <c r="J565" s="38"/>
      <c r="K565" s="38"/>
      <c r="S565" s="81"/>
      <c r="T565" s="81"/>
    </row>
    <row r="566" spans="1:20" ht="13">
      <c r="A566" s="3"/>
      <c r="B566" s="126"/>
      <c r="C566" s="81"/>
      <c r="D566" s="81"/>
      <c r="E566" s="2"/>
      <c r="F566" s="81"/>
      <c r="G566" s="81"/>
      <c r="H566" s="2"/>
      <c r="I566" s="38"/>
      <c r="J566" s="38"/>
      <c r="K566" s="38"/>
      <c r="S566" s="81"/>
      <c r="T566" s="81"/>
    </row>
    <row r="567" spans="1:20" ht="13">
      <c r="A567" s="3"/>
      <c r="B567" s="126"/>
      <c r="C567" s="81"/>
      <c r="D567" s="81"/>
      <c r="E567" s="2"/>
      <c r="F567" s="81"/>
      <c r="G567" s="81"/>
      <c r="H567" s="2"/>
      <c r="I567" s="38"/>
      <c r="J567" s="38"/>
      <c r="K567" s="38"/>
      <c r="S567" s="81"/>
      <c r="T567" s="81"/>
    </row>
    <row r="568" spans="1:20" ht="13">
      <c r="A568" s="3"/>
      <c r="B568" s="126"/>
      <c r="C568" s="81"/>
      <c r="D568" s="81"/>
      <c r="E568" s="2"/>
      <c r="F568" s="81"/>
      <c r="G568" s="81"/>
      <c r="H568" s="2"/>
      <c r="I568" s="38"/>
      <c r="J568" s="38"/>
      <c r="K568" s="38"/>
      <c r="S568" s="81"/>
      <c r="T568" s="81"/>
    </row>
    <row r="569" spans="1:20" ht="13">
      <c r="A569" s="3"/>
      <c r="B569" s="126"/>
      <c r="C569" s="81"/>
      <c r="D569" s="81"/>
      <c r="E569" s="2"/>
      <c r="F569" s="81"/>
      <c r="G569" s="81"/>
      <c r="H569" s="2"/>
      <c r="I569" s="38"/>
      <c r="J569" s="38"/>
      <c r="K569" s="38"/>
      <c r="S569" s="81"/>
      <c r="T569" s="81"/>
    </row>
    <row r="570" spans="1:20" ht="13">
      <c r="A570" s="3"/>
      <c r="B570" s="126"/>
      <c r="C570" s="81"/>
      <c r="D570" s="81"/>
      <c r="E570" s="2"/>
      <c r="F570" s="81"/>
      <c r="G570" s="81"/>
      <c r="H570" s="2"/>
      <c r="I570" s="38"/>
      <c r="J570" s="38"/>
      <c r="K570" s="38"/>
      <c r="S570" s="81"/>
      <c r="T570" s="81"/>
    </row>
    <row r="571" spans="1:20" ht="13">
      <c r="A571" s="3"/>
      <c r="B571" s="126"/>
      <c r="C571" s="81"/>
      <c r="D571" s="81"/>
      <c r="E571" s="2"/>
      <c r="F571" s="81"/>
      <c r="G571" s="81"/>
      <c r="H571" s="2"/>
      <c r="I571" s="38"/>
      <c r="J571" s="38"/>
      <c r="K571" s="38"/>
      <c r="S571" s="81"/>
      <c r="T571" s="81"/>
    </row>
    <row r="572" spans="1:20" ht="13">
      <c r="A572" s="3"/>
      <c r="B572" s="126"/>
      <c r="C572" s="81"/>
      <c r="D572" s="81"/>
      <c r="E572" s="2"/>
      <c r="F572" s="81"/>
      <c r="G572" s="81"/>
      <c r="H572" s="2"/>
      <c r="I572" s="38"/>
      <c r="J572" s="38"/>
      <c r="K572" s="38"/>
      <c r="S572" s="81"/>
      <c r="T572" s="81"/>
    </row>
    <row r="573" spans="1:20" ht="13">
      <c r="A573" s="3"/>
      <c r="B573" s="126"/>
      <c r="C573" s="81"/>
      <c r="D573" s="81"/>
      <c r="E573" s="2"/>
      <c r="F573" s="81"/>
      <c r="G573" s="81"/>
      <c r="H573" s="2"/>
      <c r="I573" s="38"/>
      <c r="J573" s="38"/>
      <c r="K573" s="38"/>
      <c r="S573" s="81"/>
      <c r="T573" s="81"/>
    </row>
    <row r="574" spans="1:20" ht="13">
      <c r="A574" s="3"/>
      <c r="B574" s="126"/>
      <c r="C574" s="81"/>
      <c r="D574" s="81"/>
      <c r="E574" s="2"/>
      <c r="F574" s="81"/>
      <c r="G574" s="81"/>
      <c r="H574" s="2"/>
      <c r="I574" s="38"/>
      <c r="J574" s="38"/>
      <c r="K574" s="38"/>
      <c r="S574" s="81"/>
      <c r="T574" s="81"/>
    </row>
    <row r="575" spans="1:20" ht="13">
      <c r="A575" s="3"/>
      <c r="B575" s="126"/>
      <c r="C575" s="81"/>
      <c r="D575" s="81"/>
      <c r="E575" s="2"/>
      <c r="F575" s="81"/>
      <c r="G575" s="81"/>
      <c r="H575" s="2"/>
      <c r="I575" s="38"/>
      <c r="J575" s="38"/>
      <c r="K575" s="38"/>
      <c r="S575" s="81"/>
      <c r="T575" s="81"/>
    </row>
    <row r="576" spans="1:20" ht="13">
      <c r="A576" s="3"/>
      <c r="B576" s="126"/>
      <c r="C576" s="81"/>
      <c r="D576" s="81"/>
      <c r="E576" s="2"/>
      <c r="F576" s="81"/>
      <c r="G576" s="81"/>
      <c r="H576" s="2"/>
      <c r="I576" s="38"/>
      <c r="J576" s="38"/>
      <c r="K576" s="38"/>
      <c r="S576" s="81"/>
      <c r="T576" s="81"/>
    </row>
    <row r="577" spans="1:20" ht="13">
      <c r="A577" s="3"/>
      <c r="B577" s="126"/>
      <c r="C577" s="81"/>
      <c r="D577" s="81"/>
      <c r="E577" s="2"/>
      <c r="F577" s="81"/>
      <c r="G577" s="81"/>
      <c r="H577" s="2"/>
      <c r="I577" s="38"/>
      <c r="J577" s="38"/>
      <c r="K577" s="38"/>
      <c r="S577" s="81"/>
      <c r="T577" s="81"/>
    </row>
    <row r="578" spans="1:20" ht="13">
      <c r="A578" s="3"/>
      <c r="B578" s="126"/>
      <c r="C578" s="81"/>
      <c r="D578" s="81"/>
      <c r="E578" s="2"/>
      <c r="F578" s="81"/>
      <c r="G578" s="81"/>
      <c r="H578" s="2"/>
      <c r="I578" s="38"/>
      <c r="J578" s="38"/>
      <c r="K578" s="38"/>
      <c r="S578" s="81"/>
      <c r="T578" s="81"/>
    </row>
    <row r="579" spans="1:20" ht="13">
      <c r="A579" s="3"/>
      <c r="B579" s="126"/>
      <c r="C579" s="81"/>
      <c r="D579" s="81"/>
      <c r="E579" s="2"/>
      <c r="F579" s="81"/>
      <c r="G579" s="81"/>
      <c r="H579" s="2"/>
      <c r="I579" s="38"/>
      <c r="J579" s="38"/>
      <c r="K579" s="38"/>
      <c r="S579" s="81"/>
      <c r="T579" s="81"/>
    </row>
    <row r="580" spans="1:20" ht="13">
      <c r="A580" s="3"/>
      <c r="B580" s="126"/>
      <c r="C580" s="81"/>
      <c r="D580" s="81"/>
      <c r="E580" s="2"/>
      <c r="F580" s="81"/>
      <c r="G580" s="81"/>
      <c r="H580" s="2"/>
      <c r="I580" s="38"/>
      <c r="J580" s="38"/>
      <c r="K580" s="38"/>
      <c r="S580" s="81"/>
      <c r="T580" s="81"/>
    </row>
    <row r="581" spans="1:20" ht="13">
      <c r="A581" s="3"/>
      <c r="B581" s="126"/>
      <c r="C581" s="81"/>
      <c r="D581" s="81"/>
      <c r="E581" s="2"/>
      <c r="F581" s="81"/>
      <c r="G581" s="81"/>
      <c r="H581" s="2"/>
      <c r="I581" s="38"/>
      <c r="J581" s="38"/>
      <c r="K581" s="38"/>
      <c r="S581" s="81"/>
      <c r="T581" s="81"/>
    </row>
    <row r="582" spans="1:20" ht="13">
      <c r="A582" s="3"/>
      <c r="B582" s="126"/>
      <c r="C582" s="81"/>
      <c r="D582" s="81"/>
      <c r="E582" s="2"/>
      <c r="F582" s="81"/>
      <c r="G582" s="81"/>
      <c r="H582" s="2"/>
      <c r="I582" s="38"/>
      <c r="J582" s="38"/>
      <c r="K582" s="38"/>
      <c r="S582" s="81"/>
      <c r="T582" s="81"/>
    </row>
    <row r="583" spans="1:20" ht="13">
      <c r="A583" s="3"/>
      <c r="B583" s="126"/>
      <c r="C583" s="81"/>
      <c r="D583" s="81"/>
      <c r="E583" s="2"/>
      <c r="F583" s="81"/>
      <c r="G583" s="81"/>
      <c r="H583" s="2"/>
      <c r="I583" s="38"/>
      <c r="J583" s="38"/>
      <c r="K583" s="38"/>
      <c r="S583" s="81"/>
      <c r="T583" s="81"/>
    </row>
    <row r="584" spans="1:20" ht="13">
      <c r="A584" s="3"/>
      <c r="B584" s="126"/>
      <c r="C584" s="81"/>
      <c r="D584" s="81"/>
      <c r="E584" s="2"/>
      <c r="F584" s="81"/>
      <c r="G584" s="81"/>
      <c r="H584" s="2"/>
      <c r="I584" s="38"/>
      <c r="J584" s="38"/>
      <c r="K584" s="38"/>
      <c r="S584" s="81"/>
      <c r="T584" s="81"/>
    </row>
    <row r="585" spans="1:20" ht="13">
      <c r="A585" s="3"/>
      <c r="B585" s="126"/>
      <c r="C585" s="81"/>
      <c r="D585" s="81"/>
      <c r="E585" s="2"/>
      <c r="F585" s="81"/>
      <c r="G585" s="81"/>
      <c r="H585" s="2"/>
      <c r="I585" s="38"/>
      <c r="J585" s="38"/>
      <c r="K585" s="38"/>
      <c r="S585" s="81"/>
      <c r="T585" s="81"/>
    </row>
    <row r="586" spans="1:20" ht="13">
      <c r="A586" s="3"/>
      <c r="B586" s="126"/>
      <c r="C586" s="81"/>
      <c r="D586" s="81"/>
      <c r="E586" s="2"/>
      <c r="F586" s="81"/>
      <c r="G586" s="81"/>
      <c r="H586" s="2"/>
      <c r="I586" s="38"/>
      <c r="J586" s="38"/>
      <c r="K586" s="38"/>
      <c r="S586" s="81"/>
      <c r="T586" s="81"/>
    </row>
    <row r="587" spans="1:20" ht="13">
      <c r="A587" s="3"/>
      <c r="B587" s="126"/>
      <c r="C587" s="81"/>
      <c r="D587" s="81"/>
      <c r="E587" s="2"/>
      <c r="F587" s="81"/>
      <c r="G587" s="81"/>
      <c r="H587" s="2"/>
      <c r="I587" s="38"/>
      <c r="J587" s="38"/>
      <c r="K587" s="38"/>
      <c r="S587" s="81"/>
      <c r="T587" s="81"/>
    </row>
    <row r="588" spans="1:20" ht="13">
      <c r="A588" s="3"/>
      <c r="B588" s="126"/>
      <c r="C588" s="81"/>
      <c r="D588" s="81"/>
      <c r="E588" s="2"/>
      <c r="F588" s="81"/>
      <c r="G588" s="81"/>
      <c r="H588" s="2"/>
      <c r="I588" s="38"/>
      <c r="J588" s="38"/>
      <c r="K588" s="38"/>
      <c r="S588" s="81"/>
      <c r="T588" s="81"/>
    </row>
    <row r="589" spans="1:20" ht="13">
      <c r="A589" s="3"/>
      <c r="B589" s="126"/>
      <c r="C589" s="81"/>
      <c r="D589" s="81"/>
      <c r="E589" s="2"/>
      <c r="F589" s="81"/>
      <c r="G589" s="81"/>
      <c r="H589" s="2"/>
      <c r="I589" s="38"/>
      <c r="J589" s="38"/>
      <c r="K589" s="38"/>
      <c r="S589" s="81"/>
      <c r="T589" s="81"/>
    </row>
    <row r="590" spans="1:20" ht="13">
      <c r="A590" s="3"/>
      <c r="B590" s="126"/>
      <c r="C590" s="81"/>
      <c r="D590" s="81"/>
      <c r="E590" s="2"/>
      <c r="F590" s="81"/>
      <c r="G590" s="81"/>
      <c r="H590" s="2"/>
      <c r="I590" s="38"/>
      <c r="J590" s="38"/>
      <c r="K590" s="38"/>
      <c r="S590" s="81"/>
      <c r="T590" s="81"/>
    </row>
    <row r="591" spans="1:20" ht="13">
      <c r="A591" s="3"/>
      <c r="B591" s="126"/>
      <c r="C591" s="81"/>
      <c r="D591" s="81"/>
      <c r="E591" s="2"/>
      <c r="F591" s="81"/>
      <c r="G591" s="81"/>
      <c r="H591" s="2"/>
      <c r="I591" s="38"/>
      <c r="J591" s="38"/>
      <c r="K591" s="38"/>
      <c r="S591" s="81"/>
      <c r="T591" s="81"/>
    </row>
    <row r="592" spans="1:20" ht="13">
      <c r="A592" s="3"/>
      <c r="B592" s="126"/>
      <c r="C592" s="81"/>
      <c r="D592" s="81"/>
      <c r="E592" s="2"/>
      <c r="F592" s="81"/>
      <c r="G592" s="81"/>
      <c r="H592" s="2"/>
      <c r="I592" s="38"/>
      <c r="J592" s="38"/>
      <c r="K592" s="38"/>
      <c r="S592" s="81"/>
      <c r="T592" s="81"/>
    </row>
    <row r="593" spans="1:20" ht="13">
      <c r="A593" s="3"/>
      <c r="B593" s="126"/>
      <c r="C593" s="81"/>
      <c r="D593" s="81"/>
      <c r="E593" s="2"/>
      <c r="F593" s="81"/>
      <c r="G593" s="81"/>
      <c r="H593" s="2"/>
      <c r="I593" s="38"/>
      <c r="J593" s="38"/>
      <c r="K593" s="38"/>
      <c r="S593" s="81"/>
      <c r="T593" s="81"/>
    </row>
    <row r="594" spans="1:20" ht="13">
      <c r="A594" s="3"/>
      <c r="B594" s="126"/>
      <c r="C594" s="81"/>
      <c r="D594" s="81"/>
      <c r="E594" s="2"/>
      <c r="F594" s="81"/>
      <c r="G594" s="81"/>
      <c r="H594" s="2"/>
      <c r="I594" s="38"/>
      <c r="J594" s="38"/>
      <c r="K594" s="38"/>
      <c r="S594" s="81"/>
      <c r="T594" s="81"/>
    </row>
    <row r="595" spans="1:20" ht="13">
      <c r="A595" s="3"/>
      <c r="B595" s="126"/>
      <c r="C595" s="81"/>
      <c r="D595" s="81"/>
      <c r="E595" s="2"/>
      <c r="F595" s="81"/>
      <c r="G595" s="81"/>
      <c r="H595" s="2"/>
      <c r="I595" s="38"/>
      <c r="J595" s="38"/>
      <c r="K595" s="38"/>
      <c r="S595" s="81"/>
      <c r="T595" s="81"/>
    </row>
    <row r="596" spans="1:20" ht="13">
      <c r="A596" s="3"/>
      <c r="B596" s="126"/>
      <c r="C596" s="81"/>
      <c r="D596" s="81"/>
      <c r="E596" s="2"/>
      <c r="F596" s="81"/>
      <c r="G596" s="81"/>
      <c r="H596" s="2"/>
      <c r="I596" s="38"/>
      <c r="J596" s="38"/>
      <c r="K596" s="38"/>
      <c r="S596" s="81"/>
      <c r="T596" s="81"/>
    </row>
    <row r="597" spans="1:20" ht="13">
      <c r="A597" s="3"/>
      <c r="B597" s="126"/>
      <c r="C597" s="81"/>
      <c r="D597" s="81"/>
      <c r="E597" s="2"/>
      <c r="F597" s="81"/>
      <c r="G597" s="81"/>
      <c r="H597" s="2"/>
      <c r="I597" s="38"/>
      <c r="J597" s="38"/>
      <c r="K597" s="38"/>
      <c r="S597" s="81"/>
      <c r="T597" s="81"/>
    </row>
    <row r="598" spans="1:20" ht="13">
      <c r="A598" s="3"/>
      <c r="B598" s="126"/>
      <c r="C598" s="81"/>
      <c r="D598" s="81"/>
      <c r="E598" s="2"/>
      <c r="F598" s="81"/>
      <c r="G598" s="81"/>
      <c r="H598" s="2"/>
      <c r="I598" s="38"/>
      <c r="J598" s="38"/>
      <c r="K598" s="38"/>
      <c r="S598" s="81"/>
      <c r="T598" s="81"/>
    </row>
    <row r="599" spans="1:20" ht="13">
      <c r="A599" s="3"/>
      <c r="B599" s="126"/>
      <c r="C599" s="81"/>
      <c r="D599" s="81"/>
      <c r="E599" s="2"/>
      <c r="F599" s="81"/>
      <c r="G599" s="81"/>
      <c r="H599" s="2"/>
      <c r="I599" s="38"/>
      <c r="J599" s="38"/>
      <c r="K599" s="38"/>
      <c r="S599" s="81"/>
      <c r="T599" s="81"/>
    </row>
    <row r="600" spans="1:20" ht="13">
      <c r="A600" s="3"/>
      <c r="B600" s="126"/>
      <c r="C600" s="81"/>
      <c r="D600" s="81"/>
      <c r="E600" s="2"/>
      <c r="F600" s="81"/>
      <c r="G600" s="81"/>
      <c r="H600" s="2"/>
      <c r="I600" s="38"/>
      <c r="J600" s="38"/>
      <c r="K600" s="38"/>
      <c r="S600" s="81"/>
      <c r="T600" s="81"/>
    </row>
    <row r="601" spans="1:20" ht="13">
      <c r="A601" s="3"/>
      <c r="B601" s="126"/>
      <c r="C601" s="81"/>
      <c r="D601" s="81"/>
      <c r="E601" s="2"/>
      <c r="F601" s="81"/>
      <c r="G601" s="81"/>
      <c r="H601" s="2"/>
      <c r="I601" s="38"/>
      <c r="J601" s="38"/>
      <c r="K601" s="38"/>
      <c r="S601" s="81"/>
      <c r="T601" s="81"/>
    </row>
    <row r="602" spans="1:20" ht="13">
      <c r="A602" s="3"/>
      <c r="B602" s="126"/>
      <c r="C602" s="81"/>
      <c r="D602" s="81"/>
      <c r="E602" s="2"/>
      <c r="F602" s="81"/>
      <c r="G602" s="81"/>
      <c r="H602" s="2"/>
      <c r="I602" s="38"/>
      <c r="J602" s="38"/>
      <c r="K602" s="38"/>
      <c r="S602" s="81"/>
      <c r="T602" s="81"/>
    </row>
    <row r="603" spans="1:20" ht="13">
      <c r="A603" s="3"/>
      <c r="B603" s="126"/>
      <c r="C603" s="81"/>
      <c r="D603" s="81"/>
      <c r="E603" s="2"/>
      <c r="F603" s="81"/>
      <c r="G603" s="81"/>
      <c r="H603" s="2"/>
      <c r="I603" s="38"/>
      <c r="J603" s="38"/>
      <c r="K603" s="38"/>
      <c r="S603" s="81"/>
      <c r="T603" s="81"/>
    </row>
    <row r="604" spans="1:20" ht="13">
      <c r="A604" s="3"/>
      <c r="B604" s="126"/>
      <c r="C604" s="81"/>
      <c r="D604" s="81"/>
      <c r="E604" s="2"/>
      <c r="F604" s="81"/>
      <c r="G604" s="81"/>
      <c r="H604" s="2"/>
      <c r="I604" s="38"/>
      <c r="J604" s="38"/>
      <c r="K604" s="38"/>
      <c r="S604" s="81"/>
      <c r="T604" s="81"/>
    </row>
    <row r="605" spans="1:20" ht="13">
      <c r="A605" s="3"/>
      <c r="B605" s="126"/>
      <c r="C605" s="81"/>
      <c r="D605" s="81"/>
      <c r="E605" s="2"/>
      <c r="F605" s="81"/>
      <c r="G605" s="81"/>
      <c r="H605" s="2"/>
      <c r="I605" s="38"/>
      <c r="J605" s="38"/>
      <c r="K605" s="38"/>
      <c r="S605" s="81"/>
      <c r="T605" s="81"/>
    </row>
    <row r="606" spans="1:20" ht="13">
      <c r="A606" s="3"/>
      <c r="B606" s="126"/>
      <c r="C606" s="81"/>
      <c r="D606" s="81"/>
      <c r="E606" s="2"/>
      <c r="F606" s="81"/>
      <c r="G606" s="81"/>
      <c r="H606" s="2"/>
      <c r="I606" s="38"/>
      <c r="J606" s="38"/>
      <c r="K606" s="38"/>
      <c r="S606" s="81"/>
      <c r="T606" s="81"/>
    </row>
    <row r="607" spans="1:20" ht="13">
      <c r="A607" s="3"/>
      <c r="B607" s="126"/>
      <c r="C607" s="81"/>
      <c r="D607" s="81"/>
      <c r="E607" s="2"/>
      <c r="F607" s="81"/>
      <c r="G607" s="81"/>
      <c r="H607" s="2"/>
      <c r="I607" s="38"/>
      <c r="J607" s="38"/>
      <c r="K607" s="38"/>
      <c r="S607" s="81"/>
      <c r="T607" s="81"/>
    </row>
    <row r="608" spans="1:20" ht="13">
      <c r="A608" s="3"/>
      <c r="B608" s="126"/>
      <c r="C608" s="81"/>
      <c r="D608" s="81"/>
      <c r="E608" s="2"/>
      <c r="F608" s="81"/>
      <c r="G608" s="81"/>
      <c r="H608" s="2"/>
      <c r="I608" s="38"/>
      <c r="J608" s="38"/>
      <c r="K608" s="38"/>
      <c r="S608" s="81"/>
      <c r="T608" s="81"/>
    </row>
    <row r="609" spans="1:20" ht="13">
      <c r="A609" s="3"/>
      <c r="B609" s="126"/>
      <c r="C609" s="81"/>
      <c r="D609" s="81"/>
      <c r="E609" s="2"/>
      <c r="F609" s="81"/>
      <c r="G609" s="81"/>
      <c r="H609" s="2"/>
      <c r="I609" s="38"/>
      <c r="J609" s="38"/>
      <c r="K609" s="38"/>
      <c r="S609" s="81"/>
      <c r="T609" s="81"/>
    </row>
    <row r="610" spans="1:20" ht="13">
      <c r="A610" s="3"/>
      <c r="B610" s="126"/>
      <c r="C610" s="81"/>
      <c r="D610" s="81"/>
      <c r="E610" s="2"/>
      <c r="F610" s="81"/>
      <c r="G610" s="81"/>
      <c r="H610" s="2"/>
      <c r="I610" s="38"/>
      <c r="J610" s="38"/>
      <c r="K610" s="38"/>
      <c r="S610" s="81"/>
      <c r="T610" s="81"/>
    </row>
    <row r="611" spans="1:20" ht="13">
      <c r="A611" s="3"/>
      <c r="B611" s="126"/>
      <c r="C611" s="81"/>
      <c r="D611" s="81"/>
      <c r="E611" s="2"/>
      <c r="F611" s="81"/>
      <c r="G611" s="81"/>
      <c r="H611" s="2"/>
      <c r="I611" s="38"/>
      <c r="J611" s="38"/>
      <c r="K611" s="38"/>
      <c r="S611" s="81"/>
      <c r="T611" s="81"/>
    </row>
    <row r="612" spans="1:20" ht="13">
      <c r="A612" s="3"/>
      <c r="B612" s="126"/>
      <c r="C612" s="81"/>
      <c r="D612" s="81"/>
      <c r="E612" s="2"/>
      <c r="F612" s="81"/>
      <c r="G612" s="81"/>
      <c r="H612" s="2"/>
      <c r="I612" s="38"/>
      <c r="J612" s="38"/>
      <c r="K612" s="38"/>
      <c r="S612" s="81"/>
      <c r="T612" s="81"/>
    </row>
    <row r="613" spans="1:20" ht="13">
      <c r="A613" s="3"/>
      <c r="B613" s="126"/>
      <c r="C613" s="81"/>
      <c r="D613" s="81"/>
      <c r="E613" s="2"/>
      <c r="F613" s="81"/>
      <c r="G613" s="81"/>
      <c r="H613" s="2"/>
      <c r="I613" s="38"/>
      <c r="J613" s="38"/>
      <c r="K613" s="38"/>
      <c r="S613" s="81"/>
      <c r="T613" s="81"/>
    </row>
    <row r="614" spans="1:20" ht="13">
      <c r="A614" s="3"/>
      <c r="B614" s="126"/>
      <c r="C614" s="81"/>
      <c r="D614" s="81"/>
      <c r="E614" s="2"/>
      <c r="F614" s="81"/>
      <c r="G614" s="81"/>
      <c r="H614" s="2"/>
      <c r="I614" s="38"/>
      <c r="J614" s="38"/>
      <c r="K614" s="38"/>
      <c r="S614" s="81"/>
      <c r="T614" s="81"/>
    </row>
    <row r="615" spans="1:20" ht="13">
      <c r="A615" s="3"/>
      <c r="B615" s="126"/>
      <c r="C615" s="81"/>
      <c r="D615" s="81"/>
      <c r="E615" s="2"/>
      <c r="F615" s="81"/>
      <c r="G615" s="81"/>
      <c r="H615" s="2"/>
      <c r="I615" s="38"/>
      <c r="J615" s="38"/>
      <c r="K615" s="38"/>
      <c r="S615" s="81"/>
      <c r="T615" s="81"/>
    </row>
    <row r="616" spans="1:20" ht="13">
      <c r="A616" s="3"/>
      <c r="B616" s="126"/>
      <c r="C616" s="81"/>
      <c r="D616" s="81"/>
      <c r="E616" s="2"/>
      <c r="F616" s="81"/>
      <c r="G616" s="81"/>
      <c r="H616" s="2"/>
      <c r="I616" s="38"/>
      <c r="J616" s="38"/>
      <c r="K616" s="38"/>
      <c r="S616" s="81"/>
      <c r="T616" s="81"/>
    </row>
    <row r="617" spans="1:20" ht="13">
      <c r="A617" s="3"/>
      <c r="B617" s="126"/>
      <c r="C617" s="81"/>
      <c r="D617" s="81"/>
      <c r="E617" s="2"/>
      <c r="F617" s="81"/>
      <c r="G617" s="81"/>
      <c r="H617" s="2"/>
      <c r="I617" s="38"/>
      <c r="J617" s="38"/>
      <c r="K617" s="38"/>
      <c r="S617" s="81"/>
      <c r="T617" s="81"/>
    </row>
    <row r="618" spans="1:20" ht="13">
      <c r="A618" s="3"/>
      <c r="B618" s="126"/>
      <c r="C618" s="81"/>
      <c r="D618" s="81"/>
      <c r="E618" s="2"/>
      <c r="F618" s="81"/>
      <c r="G618" s="81"/>
      <c r="H618" s="2"/>
      <c r="I618" s="38"/>
      <c r="J618" s="38"/>
      <c r="K618" s="38"/>
      <c r="S618" s="81"/>
      <c r="T618" s="81"/>
    </row>
    <row r="619" spans="1:20" ht="13">
      <c r="A619" s="3"/>
      <c r="B619" s="126"/>
      <c r="C619" s="81"/>
      <c r="D619" s="81"/>
      <c r="E619" s="2"/>
      <c r="F619" s="81"/>
      <c r="G619" s="81"/>
      <c r="H619" s="2"/>
      <c r="I619" s="38"/>
      <c r="J619" s="38"/>
      <c r="K619" s="38"/>
      <c r="S619" s="81"/>
      <c r="T619" s="81"/>
    </row>
    <row r="620" spans="1:20" ht="13">
      <c r="A620" s="3"/>
      <c r="B620" s="126"/>
      <c r="C620" s="81"/>
      <c r="D620" s="81"/>
      <c r="E620" s="2"/>
      <c r="F620" s="81"/>
      <c r="G620" s="81"/>
      <c r="H620" s="2"/>
      <c r="I620" s="38"/>
      <c r="J620" s="38"/>
      <c r="K620" s="38"/>
      <c r="S620" s="81"/>
      <c r="T620" s="81"/>
    </row>
    <row r="621" spans="1:20" ht="13">
      <c r="A621" s="3"/>
      <c r="B621" s="126"/>
      <c r="C621" s="81"/>
      <c r="D621" s="81"/>
      <c r="E621" s="2"/>
      <c r="F621" s="81"/>
      <c r="G621" s="81"/>
      <c r="H621" s="2"/>
      <c r="I621" s="38"/>
      <c r="J621" s="38"/>
      <c r="K621" s="38"/>
      <c r="S621" s="81"/>
      <c r="T621" s="81"/>
    </row>
    <row r="622" spans="1:20" ht="13">
      <c r="A622" s="3"/>
      <c r="B622" s="126"/>
      <c r="C622" s="81"/>
      <c r="D622" s="81"/>
      <c r="E622" s="2"/>
      <c r="F622" s="81"/>
      <c r="G622" s="81"/>
      <c r="H622" s="2"/>
      <c r="I622" s="38"/>
      <c r="J622" s="38"/>
      <c r="K622" s="38"/>
      <c r="S622" s="81"/>
      <c r="T622" s="81"/>
    </row>
    <row r="623" spans="1:20" ht="13">
      <c r="A623" s="3"/>
      <c r="B623" s="126"/>
      <c r="C623" s="81"/>
      <c r="D623" s="81"/>
      <c r="E623" s="2"/>
      <c r="F623" s="81"/>
      <c r="G623" s="81"/>
      <c r="H623" s="2"/>
      <c r="I623" s="38"/>
      <c r="J623" s="38"/>
      <c r="K623" s="38"/>
      <c r="S623" s="81"/>
      <c r="T623" s="81"/>
    </row>
    <row r="624" spans="1:20" ht="13">
      <c r="A624" s="3"/>
      <c r="B624" s="126"/>
      <c r="C624" s="81"/>
      <c r="D624" s="81"/>
      <c r="E624" s="2"/>
      <c r="F624" s="81"/>
      <c r="G624" s="81"/>
      <c r="H624" s="2"/>
      <c r="I624" s="38"/>
      <c r="J624" s="38"/>
      <c r="K624" s="38"/>
      <c r="S624" s="81"/>
      <c r="T624" s="81"/>
    </row>
    <row r="625" spans="1:20" ht="13">
      <c r="A625" s="3"/>
      <c r="B625" s="126"/>
      <c r="C625" s="81"/>
      <c r="D625" s="81"/>
      <c r="E625" s="2"/>
      <c r="F625" s="81"/>
      <c r="G625" s="81"/>
      <c r="H625" s="2"/>
      <c r="I625" s="38"/>
      <c r="J625" s="38"/>
      <c r="K625" s="38"/>
      <c r="S625" s="81"/>
      <c r="T625" s="81"/>
    </row>
    <row r="626" spans="1:20" ht="13">
      <c r="A626" s="3"/>
      <c r="B626" s="126"/>
      <c r="C626" s="81"/>
      <c r="D626" s="81"/>
      <c r="E626" s="2"/>
      <c r="F626" s="81"/>
      <c r="G626" s="81"/>
      <c r="H626" s="2"/>
      <c r="I626" s="38"/>
      <c r="J626" s="38"/>
      <c r="K626" s="38"/>
      <c r="S626" s="81"/>
      <c r="T626" s="81"/>
    </row>
    <row r="627" spans="1:20" ht="13">
      <c r="A627" s="3"/>
      <c r="B627" s="126"/>
      <c r="C627" s="81"/>
      <c r="D627" s="81"/>
      <c r="E627" s="2"/>
      <c r="F627" s="81"/>
      <c r="G627" s="81"/>
      <c r="H627" s="2"/>
      <c r="I627" s="38"/>
      <c r="J627" s="38"/>
      <c r="K627" s="38"/>
      <c r="S627" s="81"/>
      <c r="T627" s="81"/>
    </row>
    <row r="628" spans="1:20" ht="13">
      <c r="A628" s="3"/>
      <c r="B628" s="126"/>
      <c r="C628" s="81"/>
      <c r="D628" s="81"/>
      <c r="E628" s="2"/>
      <c r="F628" s="81"/>
      <c r="G628" s="81"/>
      <c r="H628" s="2"/>
      <c r="I628" s="38"/>
      <c r="J628" s="38"/>
      <c r="K628" s="38"/>
      <c r="S628" s="81"/>
      <c r="T628" s="81"/>
    </row>
    <row r="629" spans="1:20" ht="13">
      <c r="A629" s="3"/>
      <c r="B629" s="126"/>
      <c r="C629" s="81"/>
      <c r="D629" s="81"/>
      <c r="E629" s="2"/>
      <c r="F629" s="81"/>
      <c r="G629" s="81"/>
      <c r="H629" s="2"/>
      <c r="I629" s="38"/>
      <c r="J629" s="38"/>
      <c r="K629" s="38"/>
      <c r="S629" s="81"/>
      <c r="T629" s="81"/>
    </row>
    <row r="630" spans="1:20" ht="13">
      <c r="A630" s="3"/>
      <c r="B630" s="126"/>
      <c r="C630" s="81"/>
      <c r="D630" s="81"/>
      <c r="E630" s="2"/>
      <c r="F630" s="81"/>
      <c r="G630" s="81"/>
      <c r="H630" s="2"/>
      <c r="I630" s="38"/>
      <c r="J630" s="38"/>
      <c r="K630" s="38"/>
      <c r="S630" s="81"/>
      <c r="T630" s="81"/>
    </row>
    <row r="631" spans="1:20" ht="13">
      <c r="A631" s="3"/>
      <c r="B631" s="126"/>
      <c r="C631" s="81"/>
      <c r="D631" s="81"/>
      <c r="E631" s="2"/>
      <c r="F631" s="81"/>
      <c r="G631" s="81"/>
      <c r="H631" s="2"/>
      <c r="I631" s="38"/>
      <c r="J631" s="38"/>
      <c r="K631" s="38"/>
      <c r="S631" s="81"/>
      <c r="T631" s="81"/>
    </row>
    <row r="632" spans="1:20" ht="13">
      <c r="A632" s="3"/>
      <c r="B632" s="126"/>
      <c r="C632" s="81"/>
      <c r="D632" s="81"/>
      <c r="E632" s="2"/>
      <c r="F632" s="81"/>
      <c r="G632" s="81"/>
      <c r="H632" s="2"/>
      <c r="I632" s="38"/>
      <c r="J632" s="38"/>
      <c r="K632" s="38"/>
      <c r="S632" s="81"/>
      <c r="T632" s="81"/>
    </row>
    <row r="633" spans="1:20" ht="13">
      <c r="A633" s="3"/>
      <c r="B633" s="126"/>
      <c r="C633" s="81"/>
      <c r="D633" s="81"/>
      <c r="E633" s="2"/>
      <c r="F633" s="81"/>
      <c r="G633" s="81"/>
      <c r="H633" s="2"/>
      <c r="I633" s="38"/>
      <c r="J633" s="38"/>
      <c r="K633" s="38"/>
      <c r="S633" s="81"/>
      <c r="T633" s="81"/>
    </row>
    <row r="634" spans="1:20" ht="13">
      <c r="A634" s="3"/>
      <c r="B634" s="126"/>
      <c r="C634" s="81"/>
      <c r="D634" s="81"/>
      <c r="E634" s="2"/>
      <c r="F634" s="81"/>
      <c r="G634" s="81"/>
      <c r="H634" s="2"/>
      <c r="I634" s="38"/>
      <c r="J634" s="38"/>
      <c r="K634" s="38"/>
      <c r="S634" s="81"/>
      <c r="T634" s="81"/>
    </row>
    <row r="635" spans="1:20" ht="13">
      <c r="A635" s="3"/>
      <c r="B635" s="126"/>
      <c r="C635" s="81"/>
      <c r="D635" s="81"/>
      <c r="E635" s="2"/>
      <c r="F635" s="81"/>
      <c r="G635" s="81"/>
      <c r="H635" s="2"/>
      <c r="I635" s="38"/>
      <c r="J635" s="38"/>
      <c r="K635" s="38"/>
      <c r="S635" s="81"/>
      <c r="T635" s="81"/>
    </row>
    <row r="636" spans="1:20" ht="13">
      <c r="A636" s="3"/>
      <c r="B636" s="126"/>
      <c r="C636" s="81"/>
      <c r="D636" s="81"/>
      <c r="E636" s="2"/>
      <c r="F636" s="81"/>
      <c r="G636" s="81"/>
      <c r="H636" s="2"/>
      <c r="I636" s="38"/>
      <c r="J636" s="38"/>
      <c r="K636" s="38"/>
      <c r="S636" s="81"/>
      <c r="T636" s="81"/>
    </row>
    <row r="637" spans="1:20" ht="13">
      <c r="A637" s="3"/>
      <c r="B637" s="126"/>
      <c r="C637" s="81"/>
      <c r="D637" s="81"/>
      <c r="E637" s="2"/>
      <c r="F637" s="81"/>
      <c r="G637" s="81"/>
      <c r="H637" s="2"/>
      <c r="I637" s="38"/>
      <c r="J637" s="38"/>
      <c r="K637" s="38"/>
      <c r="S637" s="81"/>
      <c r="T637" s="81"/>
    </row>
    <row r="638" spans="1:20" ht="13">
      <c r="A638" s="3"/>
      <c r="B638" s="126"/>
      <c r="C638" s="81"/>
      <c r="D638" s="81"/>
      <c r="E638" s="2"/>
      <c r="F638" s="81"/>
      <c r="G638" s="81"/>
      <c r="H638" s="2"/>
      <c r="I638" s="38"/>
      <c r="J638" s="38"/>
      <c r="K638" s="38"/>
      <c r="S638" s="81"/>
      <c r="T638" s="81"/>
    </row>
    <row r="639" spans="1:20" ht="13">
      <c r="A639" s="3"/>
      <c r="B639" s="126"/>
      <c r="C639" s="81"/>
      <c r="D639" s="81"/>
      <c r="E639" s="2"/>
      <c r="F639" s="81"/>
      <c r="G639" s="81"/>
      <c r="H639" s="2"/>
      <c r="I639" s="38"/>
      <c r="J639" s="38"/>
      <c r="K639" s="38"/>
      <c r="S639" s="81"/>
      <c r="T639" s="81"/>
    </row>
    <row r="640" spans="1:20" ht="13">
      <c r="A640" s="3"/>
      <c r="B640" s="126"/>
      <c r="C640" s="81"/>
      <c r="D640" s="81"/>
      <c r="E640" s="2"/>
      <c r="F640" s="81"/>
      <c r="G640" s="81"/>
      <c r="H640" s="2"/>
      <c r="I640" s="38"/>
      <c r="J640" s="38"/>
      <c r="K640" s="38"/>
      <c r="S640" s="81"/>
      <c r="T640" s="81"/>
    </row>
    <row r="641" spans="1:20" ht="13">
      <c r="A641" s="3"/>
      <c r="B641" s="126"/>
      <c r="C641" s="81"/>
      <c r="D641" s="81"/>
      <c r="E641" s="2"/>
      <c r="F641" s="81"/>
      <c r="G641" s="81"/>
      <c r="H641" s="2"/>
      <c r="I641" s="38"/>
      <c r="J641" s="38"/>
      <c r="K641" s="38"/>
      <c r="S641" s="81"/>
      <c r="T641" s="81"/>
    </row>
    <row r="642" spans="1:20" ht="13">
      <c r="A642" s="3"/>
      <c r="B642" s="126"/>
      <c r="C642" s="81"/>
      <c r="D642" s="81"/>
      <c r="E642" s="2"/>
      <c r="F642" s="81"/>
      <c r="G642" s="81"/>
      <c r="H642" s="2"/>
      <c r="I642" s="38"/>
      <c r="J642" s="38"/>
      <c r="K642" s="38"/>
      <c r="S642" s="81"/>
      <c r="T642" s="81"/>
    </row>
    <row r="643" spans="1:20" ht="13">
      <c r="A643" s="3"/>
      <c r="B643" s="126"/>
      <c r="C643" s="81"/>
      <c r="D643" s="81"/>
      <c r="E643" s="2"/>
      <c r="F643" s="81"/>
      <c r="G643" s="81"/>
      <c r="H643" s="2"/>
      <c r="I643" s="38"/>
      <c r="J643" s="38"/>
      <c r="K643" s="38"/>
      <c r="S643" s="81"/>
      <c r="T643" s="81"/>
    </row>
    <row r="644" spans="1:20" ht="13">
      <c r="A644" s="3"/>
      <c r="B644" s="126"/>
      <c r="C644" s="81"/>
      <c r="D644" s="81"/>
      <c r="E644" s="2"/>
      <c r="F644" s="81"/>
      <c r="G644" s="81"/>
      <c r="H644" s="2"/>
      <c r="I644" s="38"/>
      <c r="J644" s="38"/>
      <c r="K644" s="38"/>
      <c r="S644" s="81"/>
      <c r="T644" s="81"/>
    </row>
    <row r="645" spans="1:20" ht="13">
      <c r="A645" s="3"/>
      <c r="B645" s="126"/>
      <c r="C645" s="81"/>
      <c r="D645" s="81"/>
      <c r="E645" s="2"/>
      <c r="F645" s="81"/>
      <c r="G645" s="81"/>
      <c r="H645" s="2"/>
      <c r="I645" s="38"/>
      <c r="J645" s="38"/>
      <c r="K645" s="38"/>
      <c r="S645" s="81"/>
      <c r="T645" s="81"/>
    </row>
    <row r="646" spans="1:20" ht="13">
      <c r="A646" s="3"/>
      <c r="B646" s="126"/>
      <c r="C646" s="81"/>
      <c r="D646" s="81"/>
      <c r="E646" s="2"/>
      <c r="F646" s="81"/>
      <c r="G646" s="81"/>
      <c r="H646" s="2"/>
      <c r="I646" s="38"/>
      <c r="J646" s="38"/>
      <c r="K646" s="38"/>
      <c r="S646" s="81"/>
      <c r="T646" s="81"/>
    </row>
    <row r="647" spans="1:20" ht="13">
      <c r="A647" s="3"/>
      <c r="B647" s="126"/>
      <c r="C647" s="81"/>
      <c r="D647" s="81"/>
      <c r="E647" s="2"/>
      <c r="F647" s="81"/>
      <c r="G647" s="81"/>
      <c r="H647" s="2"/>
      <c r="I647" s="38"/>
      <c r="J647" s="38"/>
      <c r="K647" s="38"/>
      <c r="S647" s="81"/>
      <c r="T647" s="81"/>
    </row>
    <row r="648" spans="1:20" ht="13">
      <c r="A648" s="3"/>
      <c r="B648" s="126"/>
      <c r="C648" s="81"/>
      <c r="D648" s="81"/>
      <c r="E648" s="2"/>
      <c r="F648" s="81"/>
      <c r="G648" s="81"/>
      <c r="H648" s="2"/>
      <c r="I648" s="38"/>
      <c r="J648" s="38"/>
      <c r="K648" s="38"/>
      <c r="S648" s="81"/>
      <c r="T648" s="81"/>
    </row>
    <row r="649" spans="1:20" ht="13">
      <c r="A649" s="3"/>
      <c r="B649" s="126"/>
      <c r="C649" s="81"/>
      <c r="D649" s="81"/>
      <c r="E649" s="2"/>
      <c r="F649" s="81"/>
      <c r="G649" s="81"/>
      <c r="H649" s="2"/>
      <c r="I649" s="38"/>
      <c r="J649" s="38"/>
      <c r="K649" s="38"/>
      <c r="S649" s="81"/>
      <c r="T649" s="81"/>
    </row>
    <row r="650" spans="1:20" ht="13">
      <c r="A650" s="3"/>
      <c r="B650" s="126"/>
      <c r="C650" s="81"/>
      <c r="D650" s="81"/>
      <c r="E650" s="2"/>
      <c r="F650" s="81"/>
      <c r="G650" s="81"/>
      <c r="H650" s="2"/>
      <c r="I650" s="38"/>
      <c r="J650" s="38"/>
      <c r="K650" s="38"/>
      <c r="S650" s="81"/>
      <c r="T650" s="81"/>
    </row>
    <row r="651" spans="1:20" ht="13">
      <c r="A651" s="3"/>
      <c r="B651" s="126"/>
      <c r="C651" s="81"/>
      <c r="D651" s="81"/>
      <c r="E651" s="2"/>
      <c r="F651" s="81"/>
      <c r="G651" s="81"/>
      <c r="H651" s="2"/>
      <c r="I651" s="38"/>
      <c r="J651" s="38"/>
      <c r="K651" s="38"/>
      <c r="S651" s="81"/>
      <c r="T651" s="81"/>
    </row>
    <row r="652" spans="1:20" ht="13">
      <c r="A652" s="3"/>
      <c r="B652" s="126"/>
      <c r="C652" s="81"/>
      <c r="D652" s="81"/>
      <c r="E652" s="2"/>
      <c r="F652" s="81"/>
      <c r="G652" s="81"/>
      <c r="H652" s="2"/>
      <c r="I652" s="38"/>
      <c r="J652" s="38"/>
      <c r="K652" s="38"/>
      <c r="S652" s="81"/>
      <c r="T652" s="81"/>
    </row>
    <row r="653" spans="1:20" ht="13">
      <c r="A653" s="3"/>
      <c r="B653" s="126"/>
      <c r="C653" s="81"/>
      <c r="D653" s="81"/>
      <c r="E653" s="2"/>
      <c r="F653" s="81"/>
      <c r="G653" s="81"/>
      <c r="H653" s="2"/>
      <c r="I653" s="38"/>
      <c r="J653" s="38"/>
      <c r="K653" s="38"/>
      <c r="S653" s="81"/>
      <c r="T653" s="81"/>
    </row>
    <row r="654" spans="1:20" ht="13">
      <c r="A654" s="3"/>
      <c r="B654" s="126"/>
      <c r="C654" s="81"/>
      <c r="D654" s="81"/>
      <c r="E654" s="2"/>
      <c r="F654" s="81"/>
      <c r="G654" s="81"/>
      <c r="H654" s="2"/>
      <c r="I654" s="38"/>
      <c r="J654" s="38"/>
      <c r="K654" s="38"/>
      <c r="S654" s="81"/>
      <c r="T654" s="81"/>
    </row>
    <row r="655" spans="1:20" ht="13">
      <c r="A655" s="3"/>
      <c r="B655" s="126"/>
      <c r="C655" s="81"/>
      <c r="D655" s="81"/>
      <c r="E655" s="2"/>
      <c r="F655" s="81"/>
      <c r="G655" s="81"/>
      <c r="H655" s="2"/>
      <c r="I655" s="38"/>
      <c r="J655" s="38"/>
      <c r="K655" s="38"/>
      <c r="S655" s="81"/>
      <c r="T655" s="81"/>
    </row>
    <row r="656" spans="1:20" ht="13">
      <c r="A656" s="3"/>
      <c r="B656" s="126"/>
      <c r="C656" s="81"/>
      <c r="D656" s="81"/>
      <c r="E656" s="2"/>
      <c r="F656" s="81"/>
      <c r="G656" s="81"/>
      <c r="H656" s="2"/>
      <c r="I656" s="38"/>
      <c r="J656" s="38"/>
      <c r="K656" s="38"/>
      <c r="S656" s="81"/>
      <c r="T656" s="81"/>
    </row>
    <row r="657" spans="1:20" ht="13">
      <c r="A657" s="3"/>
      <c r="B657" s="126"/>
      <c r="C657" s="81"/>
      <c r="D657" s="81"/>
      <c r="E657" s="2"/>
      <c r="F657" s="81"/>
      <c r="G657" s="81"/>
      <c r="H657" s="2"/>
      <c r="I657" s="38"/>
      <c r="J657" s="38"/>
      <c r="K657" s="38"/>
      <c r="S657" s="81"/>
      <c r="T657" s="81"/>
    </row>
    <row r="658" spans="1:20" ht="13">
      <c r="A658" s="3"/>
      <c r="B658" s="126"/>
      <c r="C658" s="81"/>
      <c r="D658" s="81"/>
      <c r="E658" s="2"/>
      <c r="F658" s="81"/>
      <c r="G658" s="81"/>
      <c r="H658" s="2"/>
      <c r="I658" s="38"/>
      <c r="J658" s="38"/>
      <c r="K658" s="38"/>
      <c r="S658" s="81"/>
      <c r="T658" s="81"/>
    </row>
    <row r="659" spans="1:20" ht="13">
      <c r="A659" s="3"/>
      <c r="B659" s="126"/>
      <c r="C659" s="81"/>
      <c r="D659" s="81"/>
      <c r="E659" s="2"/>
      <c r="F659" s="81"/>
      <c r="G659" s="81"/>
      <c r="H659" s="2"/>
      <c r="I659" s="38"/>
      <c r="J659" s="38"/>
      <c r="K659" s="38"/>
      <c r="S659" s="81"/>
      <c r="T659" s="81"/>
    </row>
    <row r="660" spans="1:20" ht="13">
      <c r="A660" s="3"/>
      <c r="B660" s="126"/>
      <c r="C660" s="81"/>
      <c r="D660" s="81"/>
      <c r="E660" s="2"/>
      <c r="F660" s="81"/>
      <c r="G660" s="81"/>
      <c r="H660" s="2"/>
      <c r="I660" s="38"/>
      <c r="J660" s="38"/>
      <c r="K660" s="38"/>
      <c r="S660" s="81"/>
      <c r="T660" s="81"/>
    </row>
    <row r="661" spans="1:20" ht="13">
      <c r="A661" s="3"/>
      <c r="B661" s="126"/>
      <c r="C661" s="81"/>
      <c r="D661" s="81"/>
      <c r="E661" s="2"/>
      <c r="F661" s="81"/>
      <c r="G661" s="81"/>
      <c r="H661" s="2"/>
      <c r="I661" s="38"/>
      <c r="J661" s="38"/>
      <c r="K661" s="38"/>
      <c r="S661" s="81"/>
      <c r="T661" s="81"/>
    </row>
    <row r="662" spans="1:20" ht="13">
      <c r="A662" s="3"/>
      <c r="B662" s="126"/>
      <c r="C662" s="81"/>
      <c r="D662" s="81"/>
      <c r="E662" s="2"/>
      <c r="F662" s="81"/>
      <c r="G662" s="81"/>
      <c r="H662" s="2"/>
      <c r="I662" s="38"/>
      <c r="J662" s="38"/>
      <c r="K662" s="38"/>
      <c r="S662" s="81"/>
      <c r="T662" s="81"/>
    </row>
    <row r="663" spans="1:20" ht="13">
      <c r="A663" s="3"/>
      <c r="B663" s="126"/>
      <c r="C663" s="81"/>
      <c r="D663" s="81"/>
      <c r="E663" s="2"/>
      <c r="F663" s="81"/>
      <c r="G663" s="81"/>
      <c r="H663" s="2"/>
      <c r="I663" s="38"/>
      <c r="J663" s="38"/>
      <c r="K663" s="38"/>
      <c r="S663" s="81"/>
      <c r="T663" s="81"/>
    </row>
    <row r="664" spans="1:20" ht="13">
      <c r="A664" s="3"/>
      <c r="B664" s="126"/>
      <c r="C664" s="81"/>
      <c r="D664" s="81"/>
      <c r="E664" s="2"/>
      <c r="F664" s="81"/>
      <c r="G664" s="81"/>
      <c r="H664" s="2"/>
      <c r="I664" s="38"/>
      <c r="J664" s="38"/>
      <c r="K664" s="38"/>
      <c r="S664" s="81"/>
      <c r="T664" s="81"/>
    </row>
    <row r="665" spans="1:20" ht="13">
      <c r="A665" s="3"/>
      <c r="B665" s="126"/>
      <c r="C665" s="81"/>
      <c r="D665" s="81"/>
      <c r="E665" s="2"/>
      <c r="F665" s="81"/>
      <c r="G665" s="81"/>
      <c r="H665" s="2"/>
      <c r="I665" s="38"/>
      <c r="J665" s="38"/>
      <c r="K665" s="38"/>
      <c r="S665" s="81"/>
      <c r="T665" s="81"/>
    </row>
    <row r="666" spans="1:20" ht="13">
      <c r="A666" s="3"/>
      <c r="B666" s="126"/>
      <c r="C666" s="81"/>
      <c r="D666" s="81"/>
      <c r="E666" s="2"/>
      <c r="F666" s="81"/>
      <c r="G666" s="81"/>
      <c r="H666" s="2"/>
      <c r="I666" s="38"/>
      <c r="J666" s="38"/>
      <c r="K666" s="38"/>
      <c r="S666" s="81"/>
      <c r="T666" s="81"/>
    </row>
    <row r="667" spans="1:20" ht="13">
      <c r="A667" s="3"/>
      <c r="B667" s="126"/>
      <c r="C667" s="81"/>
      <c r="D667" s="81"/>
      <c r="E667" s="2"/>
      <c r="F667" s="81"/>
      <c r="G667" s="81"/>
      <c r="H667" s="2"/>
      <c r="I667" s="38"/>
      <c r="J667" s="38"/>
      <c r="K667" s="38"/>
      <c r="S667" s="81"/>
      <c r="T667" s="81"/>
    </row>
    <row r="668" spans="1:20" ht="13">
      <c r="A668" s="3"/>
      <c r="B668" s="126"/>
      <c r="C668" s="81"/>
      <c r="D668" s="81"/>
      <c r="E668" s="2"/>
      <c r="F668" s="81"/>
      <c r="G668" s="81"/>
      <c r="H668" s="2"/>
      <c r="I668" s="38"/>
      <c r="J668" s="38"/>
      <c r="K668" s="38"/>
      <c r="S668" s="81"/>
      <c r="T668" s="81"/>
    </row>
    <row r="669" spans="1:20" ht="13">
      <c r="A669" s="3"/>
      <c r="B669" s="126"/>
      <c r="C669" s="81"/>
      <c r="D669" s="81"/>
      <c r="E669" s="2"/>
      <c r="F669" s="81"/>
      <c r="G669" s="81"/>
      <c r="H669" s="2"/>
      <c r="I669" s="38"/>
      <c r="J669" s="38"/>
      <c r="K669" s="38"/>
      <c r="S669" s="81"/>
      <c r="T669" s="81"/>
    </row>
    <row r="670" spans="1:20" ht="13">
      <c r="A670" s="3"/>
      <c r="B670" s="126"/>
      <c r="C670" s="81"/>
      <c r="D670" s="81"/>
      <c r="E670" s="2"/>
      <c r="F670" s="81"/>
      <c r="G670" s="81"/>
      <c r="H670" s="2"/>
      <c r="I670" s="38"/>
      <c r="J670" s="38"/>
      <c r="K670" s="38"/>
      <c r="S670" s="81"/>
      <c r="T670" s="81"/>
    </row>
    <row r="671" spans="1:20" ht="13">
      <c r="A671" s="3"/>
      <c r="B671" s="126"/>
      <c r="C671" s="81"/>
      <c r="D671" s="81"/>
      <c r="E671" s="2"/>
      <c r="F671" s="81"/>
      <c r="G671" s="81"/>
      <c r="H671" s="2"/>
      <c r="I671" s="38"/>
      <c r="J671" s="38"/>
      <c r="K671" s="38"/>
      <c r="S671" s="81"/>
      <c r="T671" s="81"/>
    </row>
    <row r="672" spans="1:20" ht="13">
      <c r="A672" s="3"/>
      <c r="B672" s="126"/>
      <c r="C672" s="81"/>
      <c r="D672" s="81"/>
      <c r="E672" s="2"/>
      <c r="F672" s="81"/>
      <c r="G672" s="81"/>
      <c r="H672" s="2"/>
      <c r="I672" s="38"/>
      <c r="J672" s="38"/>
      <c r="K672" s="38"/>
      <c r="S672" s="81"/>
      <c r="T672" s="81"/>
    </row>
    <row r="673" spans="1:20" ht="13">
      <c r="A673" s="3"/>
      <c r="B673" s="126"/>
      <c r="C673" s="81"/>
      <c r="D673" s="81"/>
      <c r="E673" s="2"/>
      <c r="F673" s="81"/>
      <c r="G673" s="81"/>
      <c r="H673" s="2"/>
      <c r="I673" s="38"/>
      <c r="J673" s="38"/>
      <c r="K673" s="38"/>
      <c r="S673" s="81"/>
      <c r="T673" s="81"/>
    </row>
    <row r="674" spans="1:20" ht="13">
      <c r="A674" s="3"/>
      <c r="B674" s="126"/>
      <c r="C674" s="81"/>
      <c r="D674" s="81"/>
      <c r="E674" s="2"/>
      <c r="F674" s="81"/>
      <c r="G674" s="81"/>
      <c r="H674" s="2"/>
      <c r="I674" s="38"/>
      <c r="J674" s="38"/>
      <c r="K674" s="38"/>
      <c r="S674" s="81"/>
      <c r="T674" s="81"/>
    </row>
    <row r="675" spans="1:20" ht="13">
      <c r="A675" s="3"/>
      <c r="B675" s="126"/>
      <c r="C675" s="81"/>
      <c r="D675" s="81"/>
      <c r="E675" s="2"/>
      <c r="F675" s="81"/>
      <c r="G675" s="81"/>
      <c r="H675" s="2"/>
      <c r="I675" s="38"/>
      <c r="J675" s="38"/>
      <c r="K675" s="38"/>
      <c r="S675" s="81"/>
      <c r="T675" s="81"/>
    </row>
    <row r="676" spans="1:20" ht="13">
      <c r="A676" s="3"/>
      <c r="B676" s="126"/>
      <c r="C676" s="81"/>
      <c r="D676" s="81"/>
      <c r="E676" s="2"/>
      <c r="F676" s="81"/>
      <c r="G676" s="81"/>
      <c r="H676" s="2"/>
      <c r="I676" s="38"/>
      <c r="J676" s="38"/>
      <c r="K676" s="38"/>
      <c r="S676" s="81"/>
      <c r="T676" s="81"/>
    </row>
    <row r="677" spans="1:20" ht="13">
      <c r="A677" s="3"/>
      <c r="B677" s="126"/>
      <c r="C677" s="81"/>
      <c r="D677" s="81"/>
      <c r="E677" s="2"/>
      <c r="F677" s="81"/>
      <c r="G677" s="81"/>
      <c r="H677" s="2"/>
      <c r="I677" s="38"/>
      <c r="J677" s="38"/>
      <c r="K677" s="38"/>
      <c r="S677" s="81"/>
      <c r="T677" s="81"/>
    </row>
    <row r="678" spans="1:20" ht="13">
      <c r="A678" s="3"/>
      <c r="B678" s="126"/>
      <c r="C678" s="81"/>
      <c r="D678" s="81"/>
      <c r="E678" s="2"/>
      <c r="F678" s="81"/>
      <c r="G678" s="81"/>
      <c r="H678" s="2"/>
      <c r="I678" s="38"/>
      <c r="J678" s="38"/>
      <c r="K678" s="38"/>
      <c r="S678" s="81"/>
      <c r="T678" s="81"/>
    </row>
    <row r="679" spans="1:20" ht="13">
      <c r="A679" s="3"/>
      <c r="B679" s="126"/>
      <c r="C679" s="81"/>
      <c r="D679" s="81"/>
      <c r="E679" s="2"/>
      <c r="F679" s="81"/>
      <c r="G679" s="81"/>
      <c r="H679" s="2"/>
      <c r="I679" s="38"/>
      <c r="J679" s="38"/>
      <c r="K679" s="38"/>
      <c r="S679" s="81"/>
      <c r="T679" s="81"/>
    </row>
    <row r="680" spans="1:20" ht="13">
      <c r="A680" s="3"/>
      <c r="B680" s="126"/>
      <c r="C680" s="81"/>
      <c r="D680" s="81"/>
      <c r="E680" s="2"/>
      <c r="F680" s="81"/>
      <c r="G680" s="81"/>
      <c r="H680" s="2"/>
      <c r="I680" s="38"/>
      <c r="J680" s="38"/>
      <c r="K680" s="38"/>
      <c r="S680" s="81"/>
      <c r="T680" s="81"/>
    </row>
    <row r="681" spans="1:20" ht="13">
      <c r="A681" s="3"/>
      <c r="B681" s="126"/>
      <c r="C681" s="81"/>
      <c r="D681" s="81"/>
      <c r="E681" s="2"/>
      <c r="F681" s="81"/>
      <c r="G681" s="81"/>
      <c r="H681" s="2"/>
      <c r="I681" s="38"/>
      <c r="J681" s="38"/>
      <c r="K681" s="38"/>
      <c r="S681" s="81"/>
      <c r="T681" s="81"/>
    </row>
    <row r="682" spans="1:20" ht="13">
      <c r="A682" s="3"/>
      <c r="B682" s="126"/>
      <c r="C682" s="81"/>
      <c r="D682" s="81"/>
      <c r="E682" s="2"/>
      <c r="F682" s="81"/>
      <c r="G682" s="81"/>
      <c r="H682" s="2"/>
      <c r="I682" s="38"/>
      <c r="J682" s="38"/>
      <c r="K682" s="38"/>
      <c r="S682" s="81"/>
      <c r="T682" s="81"/>
    </row>
    <row r="683" spans="1:20" ht="13">
      <c r="A683" s="3"/>
      <c r="B683" s="126"/>
      <c r="C683" s="81"/>
      <c r="D683" s="81"/>
      <c r="E683" s="2"/>
      <c r="F683" s="81"/>
      <c r="G683" s="81"/>
      <c r="H683" s="2"/>
      <c r="I683" s="38"/>
      <c r="J683" s="38"/>
      <c r="K683" s="38"/>
      <c r="S683" s="81"/>
      <c r="T683" s="81"/>
    </row>
    <row r="684" spans="1:20" ht="13">
      <c r="A684" s="3"/>
      <c r="B684" s="126"/>
      <c r="C684" s="81"/>
      <c r="D684" s="81"/>
      <c r="E684" s="2"/>
      <c r="F684" s="81"/>
      <c r="G684" s="81"/>
      <c r="H684" s="2"/>
      <c r="I684" s="38"/>
      <c r="J684" s="38"/>
      <c r="K684" s="38"/>
      <c r="S684" s="81"/>
      <c r="T684" s="81"/>
    </row>
    <row r="685" spans="1:20" ht="13">
      <c r="A685" s="3"/>
      <c r="B685" s="126"/>
      <c r="C685" s="81"/>
      <c r="D685" s="81"/>
      <c r="E685" s="2"/>
      <c r="F685" s="81"/>
      <c r="G685" s="81"/>
      <c r="H685" s="2"/>
      <c r="I685" s="38"/>
      <c r="J685" s="38"/>
      <c r="K685" s="38"/>
      <c r="S685" s="81"/>
      <c r="T685" s="81"/>
    </row>
    <row r="686" spans="1:20" ht="13">
      <c r="A686" s="3"/>
      <c r="B686" s="126"/>
      <c r="C686" s="81"/>
      <c r="D686" s="81"/>
      <c r="E686" s="2"/>
      <c r="F686" s="81"/>
      <c r="G686" s="81"/>
      <c r="H686" s="2"/>
      <c r="I686" s="38"/>
      <c r="J686" s="38"/>
      <c r="K686" s="38"/>
      <c r="S686" s="81"/>
      <c r="T686" s="81"/>
    </row>
    <row r="687" spans="1:20" ht="13">
      <c r="A687" s="3"/>
      <c r="B687" s="126"/>
      <c r="C687" s="81"/>
      <c r="D687" s="81"/>
      <c r="E687" s="2"/>
      <c r="F687" s="81"/>
      <c r="G687" s="81"/>
      <c r="H687" s="2"/>
      <c r="I687" s="38"/>
      <c r="J687" s="38"/>
      <c r="K687" s="38"/>
      <c r="S687" s="81"/>
      <c r="T687" s="81"/>
    </row>
    <row r="688" spans="1:20" ht="13">
      <c r="A688" s="3"/>
      <c r="B688" s="126"/>
      <c r="C688" s="81"/>
      <c r="D688" s="81"/>
      <c r="E688" s="2"/>
      <c r="F688" s="81"/>
      <c r="G688" s="81"/>
      <c r="H688" s="2"/>
      <c r="I688" s="38"/>
      <c r="J688" s="38"/>
      <c r="K688" s="38"/>
      <c r="S688" s="81"/>
      <c r="T688" s="81"/>
    </row>
    <row r="689" spans="1:20" ht="13">
      <c r="A689" s="3"/>
      <c r="B689" s="126"/>
      <c r="C689" s="81"/>
      <c r="D689" s="81"/>
      <c r="E689" s="2"/>
      <c r="F689" s="81"/>
      <c r="G689" s="81"/>
      <c r="H689" s="2"/>
      <c r="I689" s="38"/>
      <c r="J689" s="38"/>
      <c r="K689" s="38"/>
      <c r="S689" s="81"/>
      <c r="T689" s="81"/>
    </row>
    <row r="690" spans="1:20" ht="13">
      <c r="A690" s="3"/>
      <c r="B690" s="126"/>
      <c r="C690" s="81"/>
      <c r="D690" s="81"/>
      <c r="E690" s="2"/>
      <c r="F690" s="81"/>
      <c r="G690" s="81"/>
      <c r="H690" s="2"/>
      <c r="I690" s="38"/>
      <c r="J690" s="38"/>
      <c r="K690" s="38"/>
      <c r="S690" s="81"/>
      <c r="T690" s="81"/>
    </row>
    <row r="691" spans="1:20" ht="13">
      <c r="A691" s="3"/>
      <c r="B691" s="126"/>
      <c r="C691" s="81"/>
      <c r="D691" s="81"/>
      <c r="E691" s="2"/>
      <c r="F691" s="81"/>
      <c r="G691" s="81"/>
      <c r="H691" s="2"/>
      <c r="I691" s="38"/>
      <c r="J691" s="38"/>
      <c r="K691" s="38"/>
      <c r="S691" s="81"/>
      <c r="T691" s="81"/>
    </row>
    <row r="692" spans="1:20" ht="13">
      <c r="A692" s="3"/>
      <c r="B692" s="126"/>
      <c r="C692" s="81"/>
      <c r="D692" s="81"/>
      <c r="E692" s="2"/>
      <c r="F692" s="81"/>
      <c r="G692" s="81"/>
      <c r="H692" s="2"/>
      <c r="I692" s="38"/>
      <c r="J692" s="38"/>
      <c r="K692" s="38"/>
      <c r="S692" s="81"/>
      <c r="T692" s="81"/>
    </row>
    <row r="693" spans="1:20" ht="13">
      <c r="A693" s="3"/>
      <c r="B693" s="126"/>
      <c r="C693" s="81"/>
      <c r="D693" s="81"/>
      <c r="E693" s="2"/>
      <c r="F693" s="81"/>
      <c r="G693" s="81"/>
      <c r="H693" s="2"/>
      <c r="I693" s="38"/>
      <c r="J693" s="38"/>
      <c r="K693" s="38"/>
      <c r="S693" s="81"/>
      <c r="T693" s="81"/>
    </row>
    <row r="694" spans="1:20" ht="13">
      <c r="A694" s="3"/>
      <c r="B694" s="126"/>
      <c r="C694" s="81"/>
      <c r="D694" s="81"/>
      <c r="E694" s="2"/>
      <c r="F694" s="81"/>
      <c r="G694" s="81"/>
      <c r="H694" s="2"/>
      <c r="I694" s="38"/>
      <c r="J694" s="38"/>
      <c r="K694" s="38"/>
      <c r="S694" s="81"/>
      <c r="T694" s="81"/>
    </row>
    <row r="695" spans="1:20" ht="13">
      <c r="A695" s="3"/>
      <c r="B695" s="126"/>
      <c r="C695" s="81"/>
      <c r="D695" s="81"/>
      <c r="E695" s="2"/>
      <c r="F695" s="81"/>
      <c r="G695" s="81"/>
      <c r="H695" s="2"/>
      <c r="I695" s="38"/>
      <c r="J695" s="38"/>
      <c r="K695" s="38"/>
      <c r="S695" s="81"/>
      <c r="T695" s="81"/>
    </row>
    <row r="696" spans="1:20" ht="13">
      <c r="A696" s="3"/>
      <c r="B696" s="126"/>
      <c r="C696" s="81"/>
      <c r="D696" s="81"/>
      <c r="E696" s="2"/>
      <c r="F696" s="81"/>
      <c r="G696" s="81"/>
      <c r="H696" s="2"/>
      <c r="I696" s="38"/>
      <c r="J696" s="38"/>
      <c r="K696" s="38"/>
      <c r="S696" s="81"/>
      <c r="T696" s="81"/>
    </row>
    <row r="697" spans="1:20" ht="13">
      <c r="A697" s="3"/>
      <c r="B697" s="126"/>
      <c r="C697" s="81"/>
      <c r="D697" s="81"/>
      <c r="E697" s="2"/>
      <c r="F697" s="81"/>
      <c r="G697" s="81"/>
      <c r="H697" s="2"/>
      <c r="I697" s="38"/>
      <c r="J697" s="38"/>
      <c r="K697" s="38"/>
      <c r="S697" s="81"/>
      <c r="T697" s="81"/>
    </row>
    <row r="698" spans="1:20" ht="13">
      <c r="A698" s="3"/>
      <c r="B698" s="126"/>
      <c r="C698" s="81"/>
      <c r="D698" s="81"/>
      <c r="E698" s="2"/>
      <c r="F698" s="81"/>
      <c r="G698" s="81"/>
      <c r="H698" s="2"/>
      <c r="I698" s="38"/>
      <c r="J698" s="38"/>
      <c r="K698" s="38"/>
      <c r="S698" s="81"/>
      <c r="T698" s="81"/>
    </row>
    <row r="699" spans="1:20" ht="13">
      <c r="A699" s="3"/>
      <c r="B699" s="126"/>
      <c r="C699" s="81"/>
      <c r="D699" s="81"/>
      <c r="E699" s="2"/>
      <c r="F699" s="81"/>
      <c r="G699" s="81"/>
      <c r="H699" s="2"/>
      <c r="I699" s="38"/>
      <c r="J699" s="38"/>
      <c r="K699" s="38"/>
      <c r="S699" s="81"/>
      <c r="T699" s="81"/>
    </row>
    <row r="700" spans="1:20" ht="13">
      <c r="A700" s="3"/>
      <c r="B700" s="126"/>
      <c r="C700" s="81"/>
      <c r="D700" s="81"/>
      <c r="E700" s="2"/>
      <c r="F700" s="81"/>
      <c r="G700" s="81"/>
      <c r="H700" s="2"/>
      <c r="I700" s="38"/>
      <c r="J700" s="38"/>
      <c r="K700" s="38"/>
      <c r="S700" s="81"/>
      <c r="T700" s="81"/>
    </row>
    <row r="701" spans="1:20" ht="13">
      <c r="A701" s="3"/>
      <c r="B701" s="126"/>
      <c r="C701" s="81"/>
      <c r="D701" s="81"/>
      <c r="E701" s="2"/>
      <c r="F701" s="81"/>
      <c r="G701" s="81"/>
      <c r="H701" s="2"/>
      <c r="I701" s="38"/>
      <c r="J701" s="38"/>
      <c r="K701" s="38"/>
      <c r="S701" s="81"/>
      <c r="T701" s="81"/>
    </row>
    <row r="702" spans="1:20" ht="13">
      <c r="A702" s="3"/>
      <c r="B702" s="126"/>
      <c r="C702" s="81"/>
      <c r="D702" s="81"/>
      <c r="E702" s="2"/>
      <c r="F702" s="81"/>
      <c r="G702" s="81"/>
      <c r="H702" s="2"/>
      <c r="I702" s="38"/>
      <c r="J702" s="38"/>
      <c r="K702" s="38"/>
      <c r="S702" s="81"/>
      <c r="T702" s="81"/>
    </row>
    <row r="703" spans="1:20" ht="13">
      <c r="A703" s="3"/>
      <c r="B703" s="126"/>
      <c r="C703" s="81"/>
      <c r="D703" s="81"/>
      <c r="E703" s="2"/>
      <c r="F703" s="81"/>
      <c r="G703" s="81"/>
      <c r="H703" s="2"/>
      <c r="I703" s="38"/>
      <c r="J703" s="38"/>
      <c r="K703" s="38"/>
      <c r="S703" s="81"/>
      <c r="T703" s="81"/>
    </row>
    <row r="704" spans="1:20" ht="13">
      <c r="A704" s="3"/>
      <c r="B704" s="126"/>
      <c r="C704" s="81"/>
      <c r="D704" s="81"/>
      <c r="E704" s="2"/>
      <c r="F704" s="81"/>
      <c r="G704" s="81"/>
      <c r="H704" s="2"/>
      <c r="I704" s="38"/>
      <c r="J704" s="38"/>
      <c r="K704" s="38"/>
      <c r="S704" s="81"/>
      <c r="T704" s="81"/>
    </row>
    <row r="705" spans="1:20" ht="13">
      <c r="A705" s="3"/>
      <c r="B705" s="126"/>
      <c r="C705" s="81"/>
      <c r="D705" s="81"/>
      <c r="E705" s="2"/>
      <c r="F705" s="81"/>
      <c r="G705" s="81"/>
      <c r="H705" s="2"/>
      <c r="I705" s="38"/>
      <c r="J705" s="38"/>
      <c r="K705" s="38"/>
      <c r="S705" s="81"/>
      <c r="T705" s="81"/>
    </row>
    <row r="706" spans="1:20" ht="13">
      <c r="A706" s="3"/>
      <c r="B706" s="126"/>
      <c r="C706" s="81"/>
      <c r="D706" s="81"/>
      <c r="E706" s="2"/>
      <c r="F706" s="81"/>
      <c r="G706" s="81"/>
      <c r="H706" s="2"/>
      <c r="I706" s="38"/>
      <c r="J706" s="38"/>
      <c r="K706" s="38"/>
      <c r="S706" s="81"/>
      <c r="T706" s="81"/>
    </row>
    <row r="707" spans="1:20" ht="13">
      <c r="A707" s="3"/>
      <c r="B707" s="126"/>
      <c r="C707" s="81"/>
      <c r="D707" s="81"/>
      <c r="E707" s="2"/>
      <c r="F707" s="81"/>
      <c r="G707" s="81"/>
      <c r="H707" s="2"/>
      <c r="I707" s="38"/>
      <c r="J707" s="38"/>
      <c r="K707" s="38"/>
      <c r="S707" s="81"/>
      <c r="T707" s="81"/>
    </row>
    <row r="708" spans="1:20" ht="13">
      <c r="A708" s="3"/>
      <c r="B708" s="126"/>
      <c r="C708" s="81"/>
      <c r="D708" s="81"/>
      <c r="E708" s="2"/>
      <c r="F708" s="81"/>
      <c r="G708" s="81"/>
      <c r="H708" s="2"/>
      <c r="I708" s="38"/>
      <c r="J708" s="38"/>
      <c r="K708" s="38"/>
      <c r="S708" s="81"/>
      <c r="T708" s="81"/>
    </row>
    <row r="709" spans="1:20" ht="13">
      <c r="A709" s="3"/>
      <c r="B709" s="126"/>
      <c r="C709" s="81"/>
      <c r="D709" s="81"/>
      <c r="E709" s="2"/>
      <c r="F709" s="81"/>
      <c r="G709" s="81"/>
      <c r="H709" s="2"/>
      <c r="I709" s="38"/>
      <c r="J709" s="38"/>
      <c r="K709" s="38"/>
      <c r="S709" s="81"/>
      <c r="T709" s="81"/>
    </row>
    <row r="710" spans="1:20" ht="13">
      <c r="A710" s="3"/>
      <c r="B710" s="126"/>
      <c r="C710" s="81"/>
      <c r="D710" s="81"/>
      <c r="E710" s="2"/>
      <c r="F710" s="81"/>
      <c r="G710" s="81"/>
      <c r="H710" s="2"/>
      <c r="I710" s="38"/>
      <c r="J710" s="38"/>
      <c r="K710" s="38"/>
      <c r="S710" s="81"/>
      <c r="T710" s="81"/>
    </row>
    <row r="711" spans="1:20" ht="13">
      <c r="A711" s="3"/>
      <c r="B711" s="126"/>
      <c r="C711" s="81"/>
      <c r="D711" s="81"/>
      <c r="E711" s="2"/>
      <c r="F711" s="81"/>
      <c r="G711" s="81"/>
      <c r="H711" s="2"/>
      <c r="I711" s="38"/>
      <c r="J711" s="38"/>
      <c r="K711" s="38"/>
      <c r="S711" s="81"/>
      <c r="T711" s="81"/>
    </row>
    <row r="712" spans="1:20" ht="13">
      <c r="A712" s="3"/>
      <c r="B712" s="126"/>
      <c r="C712" s="81"/>
      <c r="D712" s="81"/>
      <c r="E712" s="2"/>
      <c r="F712" s="81"/>
      <c r="G712" s="81"/>
      <c r="H712" s="2"/>
      <c r="I712" s="38"/>
      <c r="J712" s="38"/>
      <c r="K712" s="38"/>
      <c r="S712" s="81"/>
      <c r="T712" s="81"/>
    </row>
    <row r="713" spans="1:20" ht="13">
      <c r="A713" s="3"/>
      <c r="B713" s="126"/>
      <c r="C713" s="81"/>
      <c r="D713" s="81"/>
      <c r="E713" s="2"/>
      <c r="F713" s="81"/>
      <c r="G713" s="81"/>
      <c r="H713" s="2"/>
      <c r="I713" s="38"/>
      <c r="J713" s="38"/>
      <c r="K713" s="38"/>
      <c r="S713" s="81"/>
      <c r="T713" s="81"/>
    </row>
    <row r="714" spans="1:20" ht="13">
      <c r="A714" s="3"/>
      <c r="B714" s="126"/>
      <c r="C714" s="81"/>
      <c r="D714" s="81"/>
      <c r="E714" s="2"/>
      <c r="F714" s="81"/>
      <c r="G714" s="81"/>
      <c r="H714" s="2"/>
      <c r="I714" s="38"/>
      <c r="J714" s="38"/>
      <c r="K714" s="38"/>
      <c r="S714" s="81"/>
      <c r="T714" s="81"/>
    </row>
    <row r="715" spans="1:20" ht="13">
      <c r="A715" s="3"/>
      <c r="B715" s="126"/>
      <c r="C715" s="81"/>
      <c r="D715" s="81"/>
      <c r="E715" s="2"/>
      <c r="F715" s="81"/>
      <c r="G715" s="81"/>
      <c r="H715" s="2"/>
      <c r="I715" s="38"/>
      <c r="J715" s="38"/>
      <c r="K715" s="38"/>
      <c r="S715" s="81"/>
      <c r="T715" s="81"/>
    </row>
    <row r="716" spans="1:20" ht="13">
      <c r="A716" s="3"/>
      <c r="B716" s="126"/>
      <c r="C716" s="81"/>
      <c r="D716" s="81"/>
      <c r="E716" s="2"/>
      <c r="F716" s="81"/>
      <c r="G716" s="81"/>
      <c r="H716" s="2"/>
      <c r="I716" s="38"/>
      <c r="J716" s="38"/>
      <c r="K716" s="38"/>
      <c r="S716" s="81"/>
      <c r="T716" s="81"/>
    </row>
    <row r="717" spans="1:20" ht="13">
      <c r="A717" s="3"/>
      <c r="B717" s="126"/>
      <c r="C717" s="81"/>
      <c r="D717" s="81"/>
      <c r="E717" s="2"/>
      <c r="F717" s="81"/>
      <c r="G717" s="81"/>
      <c r="H717" s="2"/>
      <c r="I717" s="38"/>
      <c r="J717" s="38"/>
      <c r="K717" s="38"/>
      <c r="S717" s="81"/>
      <c r="T717" s="81"/>
    </row>
    <row r="718" spans="1:20" ht="13">
      <c r="A718" s="3"/>
      <c r="B718" s="126"/>
      <c r="C718" s="81"/>
      <c r="D718" s="81"/>
      <c r="E718" s="2"/>
      <c r="F718" s="81"/>
      <c r="G718" s="81"/>
      <c r="H718" s="2"/>
      <c r="I718" s="38"/>
      <c r="J718" s="38"/>
      <c r="K718" s="38"/>
      <c r="S718" s="81"/>
      <c r="T718" s="81"/>
    </row>
    <row r="719" spans="1:20" ht="13">
      <c r="A719" s="3"/>
      <c r="B719" s="126"/>
      <c r="C719" s="81"/>
      <c r="D719" s="81"/>
      <c r="E719" s="2"/>
      <c r="F719" s="81"/>
      <c r="G719" s="81"/>
      <c r="H719" s="2"/>
      <c r="I719" s="38"/>
      <c r="J719" s="38"/>
      <c r="K719" s="38"/>
      <c r="S719" s="81"/>
      <c r="T719" s="81"/>
    </row>
    <row r="720" spans="1:20" ht="13">
      <c r="A720" s="3"/>
      <c r="B720" s="126"/>
      <c r="C720" s="81"/>
      <c r="D720" s="81"/>
      <c r="E720" s="2"/>
      <c r="F720" s="81"/>
      <c r="G720" s="81"/>
      <c r="H720" s="2"/>
      <c r="I720" s="38"/>
      <c r="J720" s="38"/>
      <c r="K720" s="38"/>
      <c r="S720" s="81"/>
      <c r="T720" s="81"/>
    </row>
    <row r="721" spans="1:20" ht="13">
      <c r="A721" s="3"/>
      <c r="B721" s="126"/>
      <c r="C721" s="81"/>
      <c r="D721" s="81"/>
      <c r="E721" s="2"/>
      <c r="F721" s="81"/>
      <c r="G721" s="81"/>
      <c r="H721" s="2"/>
      <c r="I721" s="38"/>
      <c r="J721" s="38"/>
      <c r="K721" s="38"/>
      <c r="S721" s="81"/>
      <c r="T721" s="81"/>
    </row>
    <row r="722" spans="1:20" ht="13">
      <c r="A722" s="3"/>
      <c r="B722" s="126"/>
      <c r="C722" s="81"/>
      <c r="D722" s="81"/>
      <c r="E722" s="2"/>
      <c r="F722" s="81"/>
      <c r="G722" s="81"/>
      <c r="H722" s="2"/>
      <c r="I722" s="38"/>
      <c r="J722" s="38"/>
      <c r="K722" s="38"/>
      <c r="S722" s="81"/>
      <c r="T722" s="81"/>
    </row>
    <row r="723" spans="1:20" ht="13">
      <c r="A723" s="3"/>
      <c r="B723" s="126"/>
      <c r="C723" s="81"/>
      <c r="D723" s="81"/>
      <c r="E723" s="2"/>
      <c r="F723" s="81"/>
      <c r="G723" s="81"/>
      <c r="H723" s="2"/>
      <c r="I723" s="38"/>
      <c r="J723" s="38"/>
      <c r="K723" s="38"/>
      <c r="S723" s="81"/>
      <c r="T723" s="81"/>
    </row>
    <row r="724" spans="1:20" ht="13">
      <c r="A724" s="3"/>
      <c r="B724" s="126"/>
      <c r="C724" s="81"/>
      <c r="D724" s="81"/>
      <c r="E724" s="2"/>
      <c r="F724" s="81"/>
      <c r="G724" s="81"/>
      <c r="H724" s="2"/>
      <c r="I724" s="38"/>
      <c r="J724" s="38"/>
      <c r="K724" s="38"/>
      <c r="S724" s="81"/>
      <c r="T724" s="81"/>
    </row>
    <row r="725" spans="1:20" ht="13">
      <c r="A725" s="3"/>
      <c r="B725" s="126"/>
      <c r="C725" s="81"/>
      <c r="D725" s="81"/>
      <c r="E725" s="2"/>
      <c r="F725" s="81"/>
      <c r="G725" s="81"/>
      <c r="H725" s="2"/>
      <c r="I725" s="38"/>
      <c r="J725" s="38"/>
      <c r="K725" s="38"/>
      <c r="S725" s="81"/>
      <c r="T725" s="81"/>
    </row>
    <row r="726" spans="1:20" ht="13">
      <c r="A726" s="3"/>
      <c r="B726" s="126"/>
      <c r="C726" s="81"/>
      <c r="D726" s="81"/>
      <c r="E726" s="2"/>
      <c r="F726" s="81"/>
      <c r="G726" s="81"/>
      <c r="H726" s="2"/>
      <c r="I726" s="38"/>
      <c r="J726" s="38"/>
      <c r="K726" s="38"/>
      <c r="S726" s="81"/>
      <c r="T726" s="81"/>
    </row>
    <row r="727" spans="1:20" ht="13">
      <c r="A727" s="3"/>
      <c r="B727" s="126"/>
      <c r="C727" s="81"/>
      <c r="D727" s="81"/>
      <c r="E727" s="2"/>
      <c r="F727" s="81"/>
      <c r="G727" s="81"/>
      <c r="H727" s="2"/>
      <c r="I727" s="38"/>
      <c r="J727" s="38"/>
      <c r="K727" s="38"/>
      <c r="S727" s="81"/>
      <c r="T727" s="81"/>
    </row>
    <row r="728" spans="1:20" ht="13">
      <c r="A728" s="3"/>
      <c r="B728" s="126"/>
      <c r="C728" s="81"/>
      <c r="D728" s="81"/>
      <c r="E728" s="2"/>
      <c r="F728" s="81"/>
      <c r="G728" s="81"/>
      <c r="H728" s="2"/>
      <c r="I728" s="38"/>
      <c r="J728" s="38"/>
      <c r="K728" s="38"/>
      <c r="S728" s="81"/>
      <c r="T728" s="81"/>
    </row>
    <row r="729" spans="1:20" ht="13">
      <c r="A729" s="3"/>
      <c r="B729" s="126"/>
      <c r="C729" s="81"/>
      <c r="D729" s="81"/>
      <c r="E729" s="2"/>
      <c r="F729" s="81"/>
      <c r="G729" s="81"/>
      <c r="H729" s="2"/>
      <c r="I729" s="38"/>
      <c r="J729" s="38"/>
      <c r="K729" s="38"/>
      <c r="S729" s="81"/>
      <c r="T729" s="81"/>
    </row>
    <row r="730" spans="1:20" ht="13">
      <c r="A730" s="3"/>
      <c r="B730" s="126"/>
      <c r="C730" s="81"/>
      <c r="D730" s="81"/>
      <c r="E730" s="2"/>
      <c r="F730" s="81"/>
      <c r="G730" s="81"/>
      <c r="H730" s="2"/>
      <c r="I730" s="38"/>
      <c r="J730" s="38"/>
      <c r="K730" s="38"/>
      <c r="S730" s="81"/>
      <c r="T730" s="81"/>
    </row>
    <row r="731" spans="1:20" ht="13">
      <c r="A731" s="3"/>
      <c r="B731" s="126"/>
      <c r="C731" s="81"/>
      <c r="D731" s="81"/>
      <c r="E731" s="2"/>
      <c r="F731" s="81"/>
      <c r="G731" s="81"/>
      <c r="H731" s="2"/>
      <c r="I731" s="38"/>
      <c r="J731" s="38"/>
      <c r="K731" s="38"/>
      <c r="S731" s="81"/>
      <c r="T731" s="81"/>
    </row>
    <row r="732" spans="1:20" ht="13">
      <c r="A732" s="3"/>
      <c r="B732" s="126"/>
      <c r="C732" s="81"/>
      <c r="D732" s="81"/>
      <c r="E732" s="2"/>
      <c r="F732" s="81"/>
      <c r="G732" s="81"/>
      <c r="H732" s="2"/>
      <c r="I732" s="38"/>
      <c r="J732" s="38"/>
      <c r="K732" s="38"/>
      <c r="S732" s="81"/>
      <c r="T732" s="81"/>
    </row>
    <row r="733" spans="1:20" ht="13">
      <c r="A733" s="3"/>
      <c r="B733" s="126"/>
      <c r="C733" s="81"/>
      <c r="D733" s="81"/>
      <c r="E733" s="2"/>
      <c r="F733" s="81"/>
      <c r="G733" s="81"/>
      <c r="H733" s="2"/>
      <c r="I733" s="38"/>
      <c r="J733" s="38"/>
      <c r="K733" s="38"/>
      <c r="S733" s="81"/>
      <c r="T733" s="81"/>
    </row>
    <row r="734" spans="1:20" ht="13">
      <c r="A734" s="3"/>
      <c r="B734" s="126"/>
      <c r="C734" s="81"/>
      <c r="D734" s="81"/>
      <c r="E734" s="2"/>
      <c r="F734" s="81"/>
      <c r="G734" s="81"/>
      <c r="H734" s="2"/>
      <c r="I734" s="38"/>
      <c r="J734" s="38"/>
      <c r="K734" s="38"/>
      <c r="S734" s="81"/>
      <c r="T734" s="81"/>
    </row>
    <row r="735" spans="1:20" ht="13">
      <c r="A735" s="3"/>
      <c r="B735" s="126"/>
      <c r="C735" s="81"/>
      <c r="D735" s="81"/>
      <c r="E735" s="2"/>
      <c r="F735" s="81"/>
      <c r="G735" s="81"/>
      <c r="H735" s="2"/>
      <c r="I735" s="38"/>
      <c r="J735" s="38"/>
      <c r="K735" s="38"/>
      <c r="S735" s="81"/>
      <c r="T735" s="81"/>
    </row>
    <row r="736" spans="1:20" ht="13">
      <c r="A736" s="3"/>
      <c r="B736" s="126"/>
      <c r="C736" s="81"/>
      <c r="D736" s="81"/>
      <c r="E736" s="2"/>
      <c r="F736" s="81"/>
      <c r="G736" s="81"/>
      <c r="H736" s="2"/>
      <c r="I736" s="38"/>
      <c r="J736" s="38"/>
      <c r="K736" s="38"/>
      <c r="S736" s="81"/>
      <c r="T736" s="81"/>
    </row>
    <row r="737" spans="1:20" ht="13">
      <c r="A737" s="3"/>
      <c r="B737" s="126"/>
      <c r="C737" s="81"/>
      <c r="D737" s="81"/>
      <c r="E737" s="2"/>
      <c r="F737" s="81"/>
      <c r="G737" s="81"/>
      <c r="H737" s="2"/>
      <c r="I737" s="38"/>
      <c r="J737" s="38"/>
      <c r="K737" s="38"/>
      <c r="S737" s="81"/>
      <c r="T737" s="81"/>
    </row>
    <row r="738" spans="1:20" ht="13">
      <c r="A738" s="3"/>
      <c r="B738" s="126"/>
      <c r="C738" s="81"/>
      <c r="D738" s="81"/>
      <c r="E738" s="2"/>
      <c r="F738" s="81"/>
      <c r="G738" s="81"/>
      <c r="H738" s="2"/>
      <c r="I738" s="38"/>
      <c r="J738" s="38"/>
      <c r="K738" s="38"/>
      <c r="S738" s="81"/>
      <c r="T738" s="81"/>
    </row>
    <row r="739" spans="1:20" ht="13">
      <c r="A739" s="3"/>
      <c r="B739" s="126"/>
      <c r="C739" s="81"/>
      <c r="D739" s="81"/>
      <c r="E739" s="2"/>
      <c r="F739" s="81"/>
      <c r="G739" s="81"/>
      <c r="H739" s="2"/>
      <c r="I739" s="38"/>
      <c r="J739" s="38"/>
      <c r="K739" s="38"/>
      <c r="S739" s="81"/>
      <c r="T739" s="81"/>
    </row>
    <row r="740" spans="1:20" ht="13">
      <c r="A740" s="3"/>
      <c r="B740" s="126"/>
      <c r="C740" s="81"/>
      <c r="D740" s="81"/>
      <c r="E740" s="2"/>
      <c r="F740" s="81"/>
      <c r="G740" s="81"/>
      <c r="H740" s="2"/>
      <c r="I740" s="38"/>
      <c r="J740" s="38"/>
      <c r="K740" s="38"/>
      <c r="S740" s="81"/>
      <c r="T740" s="81"/>
    </row>
    <row r="741" spans="1:20" ht="13">
      <c r="A741" s="3"/>
      <c r="B741" s="126"/>
      <c r="C741" s="81"/>
      <c r="D741" s="81"/>
      <c r="E741" s="2"/>
      <c r="F741" s="81"/>
      <c r="G741" s="81"/>
      <c r="H741" s="2"/>
      <c r="I741" s="38"/>
      <c r="J741" s="38"/>
      <c r="K741" s="38"/>
      <c r="S741" s="81"/>
      <c r="T741" s="81"/>
    </row>
    <row r="742" spans="1:20" ht="13">
      <c r="A742" s="3"/>
      <c r="B742" s="126"/>
      <c r="C742" s="81"/>
      <c r="D742" s="81"/>
      <c r="E742" s="2"/>
      <c r="F742" s="81"/>
      <c r="G742" s="81"/>
      <c r="H742" s="2"/>
      <c r="I742" s="38"/>
      <c r="J742" s="38"/>
      <c r="K742" s="38"/>
      <c r="S742" s="81"/>
      <c r="T742" s="81"/>
    </row>
    <row r="743" spans="1:20" ht="13">
      <c r="A743" s="3"/>
      <c r="B743" s="126"/>
      <c r="C743" s="81"/>
      <c r="D743" s="81"/>
      <c r="E743" s="2"/>
      <c r="F743" s="81"/>
      <c r="G743" s="81"/>
      <c r="H743" s="2"/>
      <c r="I743" s="38"/>
      <c r="J743" s="38"/>
      <c r="K743" s="38"/>
      <c r="S743" s="81"/>
      <c r="T743" s="81"/>
    </row>
    <row r="744" spans="1:20" ht="13">
      <c r="A744" s="3"/>
      <c r="B744" s="126"/>
      <c r="C744" s="81"/>
      <c r="D744" s="81"/>
      <c r="E744" s="2"/>
      <c r="F744" s="81"/>
      <c r="G744" s="81"/>
      <c r="H744" s="2"/>
      <c r="I744" s="38"/>
      <c r="J744" s="38"/>
      <c r="K744" s="38"/>
      <c r="S744" s="81"/>
      <c r="T744" s="81"/>
    </row>
    <row r="745" spans="1:20" ht="13">
      <c r="A745" s="3"/>
      <c r="B745" s="126"/>
      <c r="C745" s="81"/>
      <c r="D745" s="81"/>
      <c r="E745" s="2"/>
      <c r="F745" s="81"/>
      <c r="G745" s="81"/>
      <c r="H745" s="2"/>
      <c r="I745" s="38"/>
      <c r="J745" s="38"/>
      <c r="K745" s="38"/>
      <c r="S745" s="81"/>
      <c r="T745" s="81"/>
    </row>
    <row r="746" spans="1:20" ht="13">
      <c r="A746" s="3"/>
      <c r="B746" s="126"/>
      <c r="C746" s="81"/>
      <c r="D746" s="81"/>
      <c r="E746" s="2"/>
      <c r="F746" s="81"/>
      <c r="G746" s="81"/>
      <c r="H746" s="2"/>
      <c r="I746" s="38"/>
      <c r="J746" s="38"/>
      <c r="K746" s="38"/>
      <c r="S746" s="81"/>
      <c r="T746" s="81"/>
    </row>
    <row r="747" spans="1:20" ht="13">
      <c r="A747" s="3"/>
      <c r="B747" s="126"/>
      <c r="C747" s="81"/>
      <c r="D747" s="81"/>
      <c r="E747" s="2"/>
      <c r="F747" s="81"/>
      <c r="G747" s="81"/>
      <c r="H747" s="2"/>
      <c r="I747" s="38"/>
      <c r="J747" s="38"/>
      <c r="K747" s="38"/>
      <c r="S747" s="81"/>
      <c r="T747" s="81"/>
    </row>
    <row r="748" spans="1:20" ht="13">
      <c r="A748" s="3"/>
      <c r="B748" s="126"/>
      <c r="C748" s="81"/>
      <c r="D748" s="81"/>
      <c r="E748" s="2"/>
      <c r="F748" s="81"/>
      <c r="G748" s="81"/>
      <c r="H748" s="2"/>
      <c r="I748" s="38"/>
      <c r="J748" s="38"/>
      <c r="K748" s="38"/>
      <c r="S748" s="81"/>
      <c r="T748" s="81"/>
    </row>
    <row r="749" spans="1:20" ht="13">
      <c r="A749" s="3"/>
      <c r="B749" s="126"/>
      <c r="C749" s="81"/>
      <c r="D749" s="81"/>
      <c r="E749" s="2"/>
      <c r="F749" s="81"/>
      <c r="G749" s="81"/>
      <c r="H749" s="2"/>
      <c r="I749" s="38"/>
      <c r="J749" s="38"/>
      <c r="K749" s="38"/>
      <c r="S749" s="81"/>
      <c r="T749" s="81"/>
    </row>
    <row r="750" spans="1:20" ht="13">
      <c r="A750" s="3"/>
      <c r="B750" s="126"/>
      <c r="C750" s="81"/>
      <c r="D750" s="81"/>
      <c r="E750" s="2"/>
      <c r="F750" s="81"/>
      <c r="G750" s="81"/>
      <c r="H750" s="2"/>
      <c r="I750" s="38"/>
      <c r="J750" s="38"/>
      <c r="K750" s="38"/>
      <c r="S750" s="81"/>
      <c r="T750" s="81"/>
    </row>
    <row r="751" spans="1:20" ht="13">
      <c r="A751" s="3"/>
      <c r="B751" s="126"/>
      <c r="C751" s="81"/>
      <c r="D751" s="81"/>
      <c r="E751" s="2"/>
      <c r="F751" s="81"/>
      <c r="G751" s="81"/>
      <c r="H751" s="2"/>
      <c r="I751" s="38"/>
      <c r="J751" s="38"/>
      <c r="K751" s="38"/>
      <c r="S751" s="81"/>
      <c r="T751" s="81"/>
    </row>
    <row r="752" spans="1:20" ht="13">
      <c r="A752" s="3"/>
      <c r="B752" s="126"/>
      <c r="C752" s="81"/>
      <c r="D752" s="81"/>
      <c r="E752" s="2"/>
      <c r="F752" s="81"/>
      <c r="G752" s="81"/>
      <c r="H752" s="2"/>
      <c r="I752" s="38"/>
      <c r="J752" s="38"/>
      <c r="K752" s="38"/>
      <c r="S752" s="81"/>
      <c r="T752" s="81"/>
    </row>
    <row r="753" spans="1:20" ht="13">
      <c r="A753" s="3"/>
      <c r="B753" s="126"/>
      <c r="C753" s="81"/>
      <c r="D753" s="81"/>
      <c r="E753" s="2"/>
      <c r="F753" s="81"/>
      <c r="G753" s="81"/>
      <c r="H753" s="2"/>
      <c r="I753" s="38"/>
      <c r="J753" s="38"/>
      <c r="K753" s="38"/>
      <c r="S753" s="81"/>
      <c r="T753" s="81"/>
    </row>
    <row r="754" spans="1:20" ht="13">
      <c r="A754" s="3"/>
      <c r="B754" s="126"/>
      <c r="C754" s="81"/>
      <c r="D754" s="81"/>
      <c r="E754" s="2"/>
      <c r="F754" s="81"/>
      <c r="G754" s="81"/>
      <c r="H754" s="2"/>
      <c r="I754" s="38"/>
      <c r="J754" s="38"/>
      <c r="K754" s="38"/>
      <c r="S754" s="81"/>
      <c r="T754" s="81"/>
    </row>
    <row r="755" spans="1:20" ht="13">
      <c r="A755" s="3"/>
      <c r="B755" s="126"/>
      <c r="C755" s="81"/>
      <c r="D755" s="81"/>
      <c r="E755" s="2"/>
      <c r="F755" s="81"/>
      <c r="G755" s="81"/>
      <c r="H755" s="2"/>
      <c r="I755" s="38"/>
      <c r="J755" s="38"/>
      <c r="K755" s="38"/>
      <c r="S755" s="81"/>
      <c r="T755" s="81"/>
    </row>
    <row r="756" spans="1:20" ht="13">
      <c r="A756" s="3"/>
      <c r="B756" s="126"/>
      <c r="C756" s="81"/>
      <c r="D756" s="81"/>
      <c r="E756" s="2"/>
      <c r="F756" s="81"/>
      <c r="G756" s="81"/>
      <c r="H756" s="2"/>
      <c r="I756" s="38"/>
      <c r="J756" s="38"/>
      <c r="K756" s="38"/>
      <c r="S756" s="81"/>
      <c r="T756" s="81"/>
    </row>
    <row r="757" spans="1:20" ht="13">
      <c r="A757" s="3"/>
      <c r="B757" s="126"/>
      <c r="C757" s="81"/>
      <c r="D757" s="81"/>
      <c r="E757" s="2"/>
      <c r="F757" s="81"/>
      <c r="G757" s="81"/>
      <c r="H757" s="2"/>
      <c r="I757" s="38"/>
      <c r="J757" s="38"/>
      <c r="K757" s="38"/>
      <c r="S757" s="81"/>
      <c r="T757" s="81"/>
    </row>
    <row r="758" spans="1:20" ht="13">
      <c r="A758" s="3"/>
      <c r="B758" s="126"/>
      <c r="C758" s="81"/>
      <c r="D758" s="81"/>
      <c r="E758" s="2"/>
      <c r="F758" s="81"/>
      <c r="G758" s="81"/>
      <c r="H758" s="2"/>
      <c r="I758" s="38"/>
      <c r="J758" s="38"/>
      <c r="K758" s="38"/>
      <c r="S758" s="81"/>
      <c r="T758" s="81"/>
    </row>
    <row r="759" spans="1:20" ht="13">
      <c r="A759" s="3"/>
      <c r="B759" s="126"/>
      <c r="C759" s="81"/>
      <c r="D759" s="81"/>
      <c r="E759" s="2"/>
      <c r="F759" s="81"/>
      <c r="G759" s="81"/>
      <c r="H759" s="2"/>
      <c r="I759" s="38"/>
      <c r="J759" s="38"/>
      <c r="K759" s="38"/>
      <c r="S759" s="81"/>
      <c r="T759" s="81"/>
    </row>
    <row r="760" spans="1:20" ht="13">
      <c r="A760" s="3"/>
      <c r="B760" s="126"/>
      <c r="C760" s="81"/>
      <c r="D760" s="81"/>
      <c r="E760" s="2"/>
      <c r="F760" s="81"/>
      <c r="G760" s="81"/>
      <c r="H760" s="2"/>
      <c r="I760" s="38"/>
      <c r="J760" s="38"/>
      <c r="K760" s="38"/>
      <c r="S760" s="81"/>
      <c r="T760" s="81"/>
    </row>
    <row r="761" spans="1:20" ht="13">
      <c r="A761" s="3"/>
      <c r="B761" s="126"/>
      <c r="C761" s="81"/>
      <c r="D761" s="81"/>
      <c r="E761" s="2"/>
      <c r="F761" s="81"/>
      <c r="G761" s="81"/>
      <c r="H761" s="2"/>
      <c r="I761" s="38"/>
      <c r="J761" s="38"/>
      <c r="K761" s="38"/>
      <c r="S761" s="81"/>
      <c r="T761" s="81"/>
    </row>
    <row r="762" spans="1:20" ht="13">
      <c r="A762" s="3"/>
      <c r="B762" s="126"/>
      <c r="C762" s="81"/>
      <c r="D762" s="81"/>
      <c r="E762" s="2"/>
      <c r="F762" s="81"/>
      <c r="G762" s="81"/>
      <c r="H762" s="2"/>
      <c r="I762" s="38"/>
      <c r="J762" s="38"/>
      <c r="K762" s="38"/>
      <c r="S762" s="81"/>
      <c r="T762" s="81"/>
    </row>
    <row r="763" spans="1:20" ht="13">
      <c r="A763" s="3"/>
      <c r="B763" s="126"/>
      <c r="C763" s="81"/>
      <c r="D763" s="81"/>
      <c r="E763" s="2"/>
      <c r="F763" s="81"/>
      <c r="G763" s="81"/>
      <c r="H763" s="2"/>
      <c r="I763" s="38"/>
      <c r="J763" s="38"/>
      <c r="K763" s="38"/>
      <c r="S763" s="81"/>
      <c r="T763" s="81"/>
    </row>
    <row r="764" spans="1:20" ht="13">
      <c r="A764" s="3"/>
      <c r="B764" s="126"/>
      <c r="C764" s="81"/>
      <c r="D764" s="81"/>
      <c r="E764" s="2"/>
      <c r="F764" s="81"/>
      <c r="G764" s="81"/>
      <c r="H764" s="2"/>
      <c r="I764" s="38"/>
      <c r="J764" s="38"/>
      <c r="K764" s="38"/>
      <c r="S764" s="81"/>
      <c r="T764" s="81"/>
    </row>
    <row r="765" spans="1:20" ht="13">
      <c r="A765" s="3"/>
      <c r="B765" s="126"/>
      <c r="C765" s="81"/>
      <c r="D765" s="81"/>
      <c r="E765" s="2"/>
      <c r="F765" s="81"/>
      <c r="G765" s="81"/>
      <c r="H765" s="2"/>
      <c r="I765" s="38"/>
      <c r="J765" s="38"/>
      <c r="K765" s="38"/>
      <c r="S765" s="81"/>
      <c r="T765" s="81"/>
    </row>
    <row r="766" spans="1:20" ht="13">
      <c r="A766" s="3"/>
      <c r="B766" s="126"/>
      <c r="C766" s="81"/>
      <c r="D766" s="81"/>
      <c r="E766" s="2"/>
      <c r="F766" s="81"/>
      <c r="G766" s="81"/>
      <c r="H766" s="2"/>
      <c r="I766" s="38"/>
      <c r="J766" s="38"/>
      <c r="K766" s="38"/>
      <c r="S766" s="81"/>
      <c r="T766" s="81"/>
    </row>
    <row r="767" spans="1:20" ht="13">
      <c r="A767" s="3"/>
      <c r="B767" s="126"/>
      <c r="C767" s="81"/>
      <c r="D767" s="81"/>
      <c r="E767" s="2"/>
      <c r="F767" s="81"/>
      <c r="G767" s="81"/>
      <c r="H767" s="2"/>
      <c r="I767" s="38"/>
      <c r="J767" s="38"/>
      <c r="K767" s="38"/>
      <c r="S767" s="81"/>
      <c r="T767" s="81"/>
    </row>
    <row r="768" spans="1:20" ht="13">
      <c r="A768" s="3"/>
      <c r="B768" s="126"/>
      <c r="C768" s="81"/>
      <c r="D768" s="81"/>
      <c r="E768" s="2"/>
      <c r="F768" s="81"/>
      <c r="G768" s="81"/>
      <c r="H768" s="2"/>
      <c r="I768" s="38"/>
      <c r="J768" s="38"/>
      <c r="K768" s="38"/>
      <c r="S768" s="81"/>
      <c r="T768" s="81"/>
    </row>
    <row r="769" spans="1:20" ht="13">
      <c r="A769" s="3"/>
      <c r="B769" s="126"/>
      <c r="C769" s="81"/>
      <c r="D769" s="81"/>
      <c r="E769" s="2"/>
      <c r="F769" s="81"/>
      <c r="G769" s="81"/>
      <c r="H769" s="2"/>
      <c r="I769" s="38"/>
      <c r="J769" s="38"/>
      <c r="K769" s="38"/>
      <c r="S769" s="81"/>
      <c r="T769" s="81"/>
    </row>
    <row r="770" spans="1:20" ht="13">
      <c r="A770" s="3"/>
      <c r="B770" s="126"/>
      <c r="C770" s="81"/>
      <c r="D770" s="81"/>
      <c r="E770" s="2"/>
      <c r="F770" s="81"/>
      <c r="G770" s="81"/>
      <c r="H770" s="2"/>
      <c r="I770" s="38"/>
      <c r="J770" s="38"/>
      <c r="K770" s="38"/>
      <c r="S770" s="81"/>
      <c r="T770" s="81"/>
    </row>
    <row r="771" spans="1:20" ht="13">
      <c r="A771" s="3"/>
      <c r="B771" s="126"/>
      <c r="C771" s="81"/>
      <c r="D771" s="81"/>
      <c r="E771" s="2"/>
      <c r="F771" s="81"/>
      <c r="G771" s="81"/>
      <c r="H771" s="2"/>
      <c r="I771" s="38"/>
      <c r="J771" s="38"/>
      <c r="K771" s="38"/>
      <c r="S771" s="81"/>
      <c r="T771" s="81"/>
    </row>
    <row r="772" spans="1:20" ht="13">
      <c r="A772" s="3"/>
      <c r="B772" s="126"/>
      <c r="C772" s="81"/>
      <c r="D772" s="81"/>
      <c r="E772" s="2"/>
      <c r="F772" s="81"/>
      <c r="G772" s="81"/>
      <c r="H772" s="2"/>
      <c r="I772" s="38"/>
      <c r="J772" s="38"/>
      <c r="K772" s="38"/>
      <c r="S772" s="81"/>
      <c r="T772" s="81"/>
    </row>
    <row r="773" spans="1:20" ht="13">
      <c r="A773" s="3"/>
      <c r="B773" s="126"/>
      <c r="C773" s="81"/>
      <c r="D773" s="81"/>
      <c r="E773" s="2"/>
      <c r="F773" s="81"/>
      <c r="G773" s="81"/>
      <c r="H773" s="2"/>
      <c r="I773" s="38"/>
      <c r="J773" s="38"/>
      <c r="K773" s="38"/>
      <c r="S773" s="81"/>
      <c r="T773" s="81"/>
    </row>
    <row r="774" spans="1:20" ht="13">
      <c r="A774" s="3"/>
      <c r="B774" s="126"/>
      <c r="C774" s="81"/>
      <c r="D774" s="81"/>
      <c r="E774" s="2"/>
      <c r="F774" s="81"/>
      <c r="G774" s="81"/>
      <c r="H774" s="2"/>
      <c r="I774" s="38"/>
      <c r="J774" s="38"/>
      <c r="K774" s="38"/>
      <c r="S774" s="81"/>
      <c r="T774" s="81"/>
    </row>
    <row r="775" spans="1:20" ht="13">
      <c r="A775" s="3"/>
      <c r="B775" s="126"/>
      <c r="C775" s="81"/>
      <c r="D775" s="81"/>
      <c r="E775" s="2"/>
      <c r="F775" s="81"/>
      <c r="G775" s="81"/>
      <c r="H775" s="2"/>
      <c r="I775" s="38"/>
      <c r="J775" s="38"/>
      <c r="K775" s="38"/>
      <c r="S775" s="81"/>
      <c r="T775" s="81"/>
    </row>
    <row r="776" spans="1:20" ht="13">
      <c r="A776" s="3"/>
      <c r="B776" s="126"/>
      <c r="C776" s="81"/>
      <c r="D776" s="81"/>
      <c r="E776" s="2"/>
      <c r="F776" s="81"/>
      <c r="G776" s="81"/>
      <c r="H776" s="2"/>
      <c r="I776" s="38"/>
      <c r="J776" s="38"/>
      <c r="K776" s="38"/>
      <c r="S776" s="81"/>
      <c r="T776" s="81"/>
    </row>
    <row r="777" spans="1:20" ht="13">
      <c r="A777" s="3"/>
      <c r="B777" s="126"/>
      <c r="C777" s="81"/>
      <c r="D777" s="81"/>
      <c r="E777" s="2"/>
      <c r="F777" s="81"/>
      <c r="G777" s="81"/>
      <c r="H777" s="2"/>
      <c r="I777" s="38"/>
      <c r="J777" s="38"/>
      <c r="K777" s="38"/>
      <c r="S777" s="81"/>
      <c r="T777" s="81"/>
    </row>
    <row r="778" spans="1:20" ht="13">
      <c r="A778" s="3"/>
      <c r="B778" s="126"/>
      <c r="C778" s="81"/>
      <c r="D778" s="81"/>
      <c r="E778" s="2"/>
      <c r="F778" s="81"/>
      <c r="G778" s="81"/>
      <c r="H778" s="2"/>
      <c r="I778" s="38"/>
      <c r="J778" s="38"/>
      <c r="K778" s="38"/>
      <c r="S778" s="81"/>
      <c r="T778" s="81"/>
    </row>
    <row r="779" spans="1:20" ht="13">
      <c r="A779" s="3"/>
      <c r="B779" s="126"/>
      <c r="C779" s="81"/>
      <c r="D779" s="81"/>
      <c r="E779" s="2"/>
      <c r="F779" s="81"/>
      <c r="G779" s="81"/>
      <c r="H779" s="2"/>
      <c r="I779" s="38"/>
      <c r="J779" s="38"/>
      <c r="K779" s="38"/>
      <c r="S779" s="81"/>
      <c r="T779" s="81"/>
    </row>
    <row r="780" spans="1:20" ht="13">
      <c r="A780" s="3"/>
      <c r="B780" s="126"/>
      <c r="C780" s="81"/>
      <c r="D780" s="81"/>
      <c r="E780" s="2"/>
      <c r="F780" s="81"/>
      <c r="G780" s="81"/>
      <c r="H780" s="2"/>
      <c r="I780" s="38"/>
      <c r="J780" s="38"/>
      <c r="K780" s="38"/>
      <c r="S780" s="81"/>
      <c r="T780" s="81"/>
    </row>
    <row r="781" spans="1:20" ht="13">
      <c r="A781" s="3"/>
      <c r="B781" s="126"/>
      <c r="C781" s="81"/>
      <c r="D781" s="81"/>
      <c r="E781" s="2"/>
      <c r="F781" s="81"/>
      <c r="G781" s="81"/>
      <c r="H781" s="2"/>
      <c r="I781" s="38"/>
      <c r="J781" s="38"/>
      <c r="K781" s="38"/>
      <c r="S781" s="81"/>
      <c r="T781" s="81"/>
    </row>
    <row r="782" spans="1:20" ht="13">
      <c r="A782" s="3"/>
      <c r="B782" s="126"/>
      <c r="C782" s="81"/>
      <c r="D782" s="81"/>
      <c r="E782" s="2"/>
      <c r="F782" s="81"/>
      <c r="G782" s="81"/>
      <c r="H782" s="2"/>
      <c r="I782" s="38"/>
      <c r="J782" s="38"/>
      <c r="K782" s="38"/>
      <c r="S782" s="81"/>
      <c r="T782" s="81"/>
    </row>
    <row r="783" spans="1:20" ht="13">
      <c r="A783" s="3"/>
      <c r="B783" s="126"/>
      <c r="C783" s="81"/>
      <c r="D783" s="81"/>
      <c r="E783" s="2"/>
      <c r="F783" s="81"/>
      <c r="G783" s="81"/>
      <c r="H783" s="2"/>
      <c r="I783" s="38"/>
      <c r="J783" s="38"/>
      <c r="K783" s="38"/>
      <c r="S783" s="81"/>
      <c r="T783" s="81"/>
    </row>
    <row r="784" spans="1:20" ht="13">
      <c r="A784" s="3"/>
      <c r="B784" s="126"/>
      <c r="C784" s="81"/>
      <c r="D784" s="81"/>
      <c r="E784" s="2"/>
      <c r="F784" s="81"/>
      <c r="G784" s="81"/>
      <c r="H784" s="2"/>
      <c r="I784" s="38"/>
      <c r="J784" s="38"/>
      <c r="K784" s="38"/>
      <c r="S784" s="81"/>
      <c r="T784" s="81"/>
    </row>
    <row r="785" spans="1:20" ht="13">
      <c r="A785" s="3"/>
      <c r="B785" s="126"/>
      <c r="C785" s="81"/>
      <c r="D785" s="81"/>
      <c r="E785" s="2"/>
      <c r="F785" s="81"/>
      <c r="G785" s="81"/>
      <c r="H785" s="2"/>
      <c r="I785" s="38"/>
      <c r="J785" s="38"/>
      <c r="K785" s="38"/>
      <c r="S785" s="81"/>
      <c r="T785" s="81"/>
    </row>
    <row r="786" spans="1:20" ht="13">
      <c r="A786" s="3"/>
      <c r="B786" s="126"/>
      <c r="C786" s="81"/>
      <c r="D786" s="81"/>
      <c r="E786" s="2"/>
      <c r="F786" s="81"/>
      <c r="G786" s="81"/>
      <c r="H786" s="2"/>
      <c r="I786" s="38"/>
      <c r="J786" s="38"/>
      <c r="K786" s="38"/>
      <c r="S786" s="81"/>
      <c r="T786" s="81"/>
    </row>
    <row r="787" spans="1:20" ht="13">
      <c r="A787" s="3"/>
      <c r="B787" s="126"/>
      <c r="C787" s="81"/>
      <c r="D787" s="81"/>
      <c r="E787" s="2"/>
      <c r="F787" s="81"/>
      <c r="G787" s="81"/>
      <c r="H787" s="2"/>
      <c r="I787" s="38"/>
      <c r="J787" s="38"/>
      <c r="K787" s="38"/>
      <c r="S787" s="81"/>
      <c r="T787" s="81"/>
    </row>
    <row r="788" spans="1:20" ht="13">
      <c r="A788" s="3"/>
      <c r="B788" s="126"/>
      <c r="C788" s="81"/>
      <c r="D788" s="81"/>
      <c r="E788" s="2"/>
      <c r="F788" s="81"/>
      <c r="G788" s="81"/>
      <c r="H788" s="2"/>
      <c r="I788" s="38"/>
      <c r="J788" s="38"/>
      <c r="K788" s="38"/>
      <c r="S788" s="81"/>
      <c r="T788" s="81"/>
    </row>
    <row r="789" spans="1:20" ht="13">
      <c r="A789" s="3"/>
      <c r="B789" s="126"/>
      <c r="C789" s="81"/>
      <c r="D789" s="81"/>
      <c r="E789" s="2"/>
      <c r="F789" s="81"/>
      <c r="G789" s="81"/>
      <c r="H789" s="2"/>
      <c r="I789" s="38"/>
      <c r="J789" s="38"/>
      <c r="K789" s="38"/>
      <c r="S789" s="81"/>
      <c r="T789" s="81"/>
    </row>
    <row r="790" spans="1:20" ht="13">
      <c r="A790" s="3"/>
      <c r="B790" s="126"/>
      <c r="C790" s="81"/>
      <c r="D790" s="81"/>
      <c r="E790" s="2"/>
      <c r="F790" s="81"/>
      <c r="G790" s="81"/>
      <c r="H790" s="2"/>
      <c r="I790" s="38"/>
      <c r="J790" s="38"/>
      <c r="K790" s="38"/>
      <c r="S790" s="81"/>
      <c r="T790" s="81"/>
    </row>
    <row r="791" spans="1:20" ht="13">
      <c r="A791" s="3"/>
      <c r="B791" s="126"/>
      <c r="C791" s="81"/>
      <c r="D791" s="81"/>
      <c r="E791" s="2"/>
      <c r="F791" s="81"/>
      <c r="G791" s="81"/>
      <c r="H791" s="2"/>
      <c r="I791" s="38"/>
      <c r="J791" s="38"/>
      <c r="K791" s="38"/>
      <c r="S791" s="81"/>
      <c r="T791" s="81"/>
    </row>
    <row r="792" spans="1:20" ht="13">
      <c r="A792" s="3"/>
      <c r="B792" s="126"/>
      <c r="C792" s="81"/>
      <c r="D792" s="81"/>
      <c r="E792" s="2"/>
      <c r="F792" s="81"/>
      <c r="G792" s="81"/>
      <c r="H792" s="2"/>
      <c r="I792" s="38"/>
      <c r="J792" s="38"/>
      <c r="K792" s="38"/>
      <c r="S792" s="81"/>
      <c r="T792" s="81"/>
    </row>
    <row r="793" spans="1:20" ht="13">
      <c r="A793" s="3"/>
      <c r="B793" s="126"/>
      <c r="C793" s="81"/>
      <c r="D793" s="81"/>
      <c r="E793" s="2"/>
      <c r="F793" s="81"/>
      <c r="G793" s="81"/>
      <c r="H793" s="2"/>
      <c r="I793" s="38"/>
      <c r="J793" s="38"/>
      <c r="K793" s="38"/>
      <c r="S793" s="81"/>
      <c r="T793" s="81"/>
    </row>
    <row r="794" spans="1:20" ht="13">
      <c r="A794" s="3"/>
      <c r="B794" s="126"/>
      <c r="C794" s="81"/>
      <c r="D794" s="81"/>
      <c r="E794" s="2"/>
      <c r="F794" s="81"/>
      <c r="G794" s="81"/>
      <c r="H794" s="2"/>
      <c r="I794" s="38"/>
      <c r="J794" s="38"/>
      <c r="K794" s="38"/>
      <c r="S794" s="81"/>
      <c r="T794" s="81"/>
    </row>
    <row r="795" spans="1:20" ht="13">
      <c r="A795" s="3"/>
      <c r="B795" s="126"/>
      <c r="C795" s="81"/>
      <c r="D795" s="81"/>
      <c r="E795" s="2"/>
      <c r="F795" s="81"/>
      <c r="G795" s="81"/>
      <c r="H795" s="2"/>
      <c r="I795" s="38"/>
      <c r="J795" s="38"/>
      <c r="K795" s="38"/>
      <c r="S795" s="81"/>
      <c r="T795" s="81"/>
    </row>
    <row r="796" spans="1:20" ht="13">
      <c r="A796" s="3"/>
      <c r="B796" s="126"/>
      <c r="C796" s="81"/>
      <c r="D796" s="81"/>
      <c r="E796" s="2"/>
      <c r="F796" s="81"/>
      <c r="G796" s="81"/>
      <c r="H796" s="2"/>
      <c r="I796" s="38"/>
      <c r="J796" s="38"/>
      <c r="K796" s="38"/>
      <c r="S796" s="81"/>
      <c r="T796" s="81"/>
    </row>
    <row r="797" spans="1:20" ht="13">
      <c r="A797" s="3"/>
      <c r="B797" s="126"/>
      <c r="C797" s="81"/>
      <c r="D797" s="81"/>
      <c r="E797" s="2"/>
      <c r="F797" s="81"/>
      <c r="G797" s="81"/>
      <c r="H797" s="2"/>
      <c r="I797" s="38"/>
      <c r="J797" s="38"/>
      <c r="K797" s="38"/>
      <c r="S797" s="81"/>
      <c r="T797" s="81"/>
    </row>
    <row r="798" spans="1:20" ht="13">
      <c r="A798" s="3"/>
      <c r="B798" s="126"/>
      <c r="C798" s="81"/>
      <c r="D798" s="81"/>
      <c r="E798" s="2"/>
      <c r="F798" s="81"/>
      <c r="G798" s="81"/>
      <c r="H798" s="2"/>
      <c r="I798" s="38"/>
      <c r="J798" s="38"/>
      <c r="K798" s="38"/>
      <c r="S798" s="81"/>
      <c r="T798" s="81"/>
    </row>
    <row r="799" spans="1:20" ht="13">
      <c r="A799" s="3"/>
      <c r="B799" s="126"/>
      <c r="C799" s="81"/>
      <c r="D799" s="81"/>
      <c r="E799" s="2"/>
      <c r="F799" s="81"/>
      <c r="G799" s="81"/>
      <c r="H799" s="2"/>
      <c r="I799" s="38"/>
      <c r="J799" s="38"/>
      <c r="K799" s="38"/>
      <c r="S799" s="81"/>
      <c r="T799" s="81"/>
    </row>
    <row r="800" spans="1:20" ht="13">
      <c r="A800" s="3"/>
      <c r="B800" s="126"/>
      <c r="C800" s="81"/>
      <c r="D800" s="81"/>
      <c r="E800" s="2"/>
      <c r="F800" s="81"/>
      <c r="G800" s="81"/>
      <c r="H800" s="2"/>
      <c r="I800" s="38"/>
      <c r="J800" s="38"/>
      <c r="K800" s="38"/>
      <c r="S800" s="81"/>
      <c r="T800" s="81"/>
    </row>
    <row r="801" spans="1:20" ht="13">
      <c r="A801" s="3"/>
      <c r="B801" s="126"/>
      <c r="C801" s="81"/>
      <c r="D801" s="81"/>
      <c r="E801" s="2"/>
      <c r="F801" s="81"/>
      <c r="G801" s="81"/>
      <c r="H801" s="2"/>
      <c r="I801" s="38"/>
      <c r="J801" s="38"/>
      <c r="K801" s="38"/>
      <c r="S801" s="81"/>
      <c r="T801" s="81"/>
    </row>
    <row r="802" spans="1:20" ht="13">
      <c r="A802" s="3"/>
      <c r="B802" s="126"/>
      <c r="C802" s="81"/>
      <c r="D802" s="81"/>
      <c r="E802" s="2"/>
      <c r="F802" s="81"/>
      <c r="G802" s="81"/>
      <c r="H802" s="2"/>
      <c r="I802" s="38"/>
      <c r="J802" s="38"/>
      <c r="K802" s="38"/>
      <c r="S802" s="81"/>
      <c r="T802" s="81"/>
    </row>
    <row r="803" spans="1:20" ht="13">
      <c r="A803" s="3"/>
      <c r="B803" s="126"/>
      <c r="C803" s="81"/>
      <c r="D803" s="81"/>
      <c r="E803" s="2"/>
      <c r="F803" s="81"/>
      <c r="G803" s="81"/>
      <c r="H803" s="2"/>
      <c r="I803" s="38"/>
      <c r="J803" s="38"/>
      <c r="K803" s="38"/>
      <c r="S803" s="81"/>
      <c r="T803" s="81"/>
    </row>
    <row r="804" spans="1:20" ht="13">
      <c r="A804" s="3"/>
      <c r="B804" s="126"/>
      <c r="C804" s="81"/>
      <c r="D804" s="81"/>
      <c r="E804" s="2"/>
      <c r="F804" s="81"/>
      <c r="G804" s="81"/>
      <c r="H804" s="2"/>
      <c r="I804" s="38"/>
      <c r="J804" s="38"/>
      <c r="K804" s="38"/>
      <c r="S804" s="81"/>
      <c r="T804" s="81"/>
    </row>
    <row r="805" spans="1:20" ht="13">
      <c r="A805" s="3"/>
      <c r="B805" s="126"/>
      <c r="C805" s="81"/>
      <c r="D805" s="81"/>
      <c r="E805" s="2"/>
      <c r="F805" s="81"/>
      <c r="G805" s="81"/>
      <c r="H805" s="2"/>
      <c r="I805" s="38"/>
      <c r="J805" s="38"/>
      <c r="K805" s="38"/>
      <c r="S805" s="81"/>
      <c r="T805" s="81"/>
    </row>
    <row r="806" spans="1:20" ht="13">
      <c r="A806" s="3"/>
      <c r="B806" s="126"/>
      <c r="C806" s="81"/>
      <c r="D806" s="81"/>
      <c r="E806" s="2"/>
      <c r="F806" s="81"/>
      <c r="G806" s="81"/>
      <c r="H806" s="2"/>
      <c r="I806" s="38"/>
      <c r="J806" s="38"/>
      <c r="K806" s="38"/>
      <c r="S806" s="81"/>
      <c r="T806" s="81"/>
    </row>
    <row r="807" spans="1:20" ht="13">
      <c r="A807" s="3"/>
      <c r="B807" s="126"/>
      <c r="C807" s="81"/>
      <c r="D807" s="81"/>
      <c r="E807" s="2"/>
      <c r="F807" s="81"/>
      <c r="G807" s="81"/>
      <c r="H807" s="2"/>
      <c r="I807" s="38"/>
      <c r="J807" s="38"/>
      <c r="K807" s="38"/>
      <c r="S807" s="81"/>
      <c r="T807" s="81"/>
    </row>
    <row r="808" spans="1:20" ht="13">
      <c r="A808" s="3"/>
      <c r="B808" s="126"/>
      <c r="C808" s="81"/>
      <c r="D808" s="81"/>
      <c r="E808" s="2"/>
      <c r="F808" s="81"/>
      <c r="G808" s="81"/>
      <c r="H808" s="2"/>
      <c r="I808" s="38"/>
      <c r="J808" s="38"/>
      <c r="K808" s="38"/>
      <c r="S808" s="81"/>
      <c r="T808" s="81"/>
    </row>
    <row r="809" spans="1:20" ht="13">
      <c r="A809" s="3"/>
      <c r="B809" s="126"/>
      <c r="C809" s="81"/>
      <c r="D809" s="81"/>
      <c r="E809" s="2"/>
      <c r="F809" s="81"/>
      <c r="G809" s="81"/>
      <c r="H809" s="2"/>
      <c r="I809" s="38"/>
      <c r="J809" s="38"/>
      <c r="K809" s="38"/>
      <c r="S809" s="81"/>
      <c r="T809" s="81"/>
    </row>
    <row r="810" spans="1:20" ht="13">
      <c r="A810" s="3"/>
      <c r="B810" s="126"/>
      <c r="C810" s="81"/>
      <c r="D810" s="81"/>
      <c r="E810" s="2"/>
      <c r="F810" s="81"/>
      <c r="G810" s="81"/>
      <c r="H810" s="2"/>
      <c r="I810" s="38"/>
      <c r="J810" s="38"/>
      <c r="K810" s="38"/>
      <c r="S810" s="81"/>
      <c r="T810" s="81"/>
    </row>
    <row r="811" spans="1:20" ht="13">
      <c r="A811" s="3"/>
      <c r="B811" s="126"/>
      <c r="C811" s="81"/>
      <c r="D811" s="81"/>
      <c r="E811" s="2"/>
      <c r="F811" s="81"/>
      <c r="G811" s="81"/>
      <c r="H811" s="2"/>
      <c r="I811" s="38"/>
      <c r="J811" s="38"/>
      <c r="K811" s="38"/>
      <c r="S811" s="81"/>
      <c r="T811" s="81"/>
    </row>
    <row r="812" spans="1:20" ht="13">
      <c r="A812" s="3"/>
      <c r="B812" s="126"/>
      <c r="C812" s="81"/>
      <c r="D812" s="81"/>
      <c r="E812" s="2"/>
      <c r="F812" s="81"/>
      <c r="G812" s="81"/>
      <c r="H812" s="2"/>
      <c r="I812" s="38"/>
      <c r="J812" s="38"/>
      <c r="K812" s="38"/>
      <c r="S812" s="81"/>
      <c r="T812" s="81"/>
    </row>
    <row r="813" spans="1:20" ht="13">
      <c r="A813" s="3"/>
      <c r="B813" s="126"/>
      <c r="C813" s="81"/>
      <c r="D813" s="81"/>
      <c r="E813" s="2"/>
      <c r="F813" s="81"/>
      <c r="G813" s="81"/>
      <c r="H813" s="2"/>
      <c r="I813" s="38"/>
      <c r="J813" s="38"/>
      <c r="K813" s="38"/>
      <c r="S813" s="81"/>
      <c r="T813" s="81"/>
    </row>
    <row r="814" spans="1:20" ht="13">
      <c r="A814" s="3"/>
      <c r="B814" s="126"/>
      <c r="C814" s="81"/>
      <c r="D814" s="81"/>
      <c r="E814" s="2"/>
      <c r="F814" s="81"/>
      <c r="G814" s="81"/>
      <c r="H814" s="2"/>
      <c r="I814" s="38"/>
      <c r="J814" s="38"/>
      <c r="K814" s="38"/>
      <c r="S814" s="81"/>
      <c r="T814" s="81"/>
    </row>
    <row r="815" spans="1:20" ht="13">
      <c r="A815" s="3"/>
      <c r="B815" s="126"/>
      <c r="C815" s="81"/>
      <c r="D815" s="81"/>
      <c r="E815" s="2"/>
      <c r="F815" s="81"/>
      <c r="G815" s="81"/>
      <c r="H815" s="2"/>
      <c r="I815" s="38"/>
      <c r="J815" s="38"/>
      <c r="K815" s="38"/>
      <c r="S815" s="81"/>
      <c r="T815" s="81"/>
    </row>
    <row r="816" spans="1:20" ht="13">
      <c r="A816" s="3"/>
      <c r="B816" s="126"/>
      <c r="C816" s="81"/>
      <c r="D816" s="81"/>
      <c r="E816" s="2"/>
      <c r="F816" s="81"/>
      <c r="G816" s="81"/>
      <c r="H816" s="2"/>
      <c r="I816" s="38"/>
      <c r="J816" s="38"/>
      <c r="K816" s="38"/>
      <c r="S816" s="81"/>
      <c r="T816" s="81"/>
    </row>
    <row r="817" spans="1:20" ht="13">
      <c r="A817" s="3"/>
      <c r="B817" s="126"/>
      <c r="C817" s="81"/>
      <c r="D817" s="81"/>
      <c r="E817" s="2"/>
      <c r="F817" s="81"/>
      <c r="G817" s="81"/>
      <c r="H817" s="2"/>
      <c r="I817" s="38"/>
      <c r="J817" s="38"/>
      <c r="K817" s="38"/>
      <c r="S817" s="81"/>
      <c r="T817" s="81"/>
    </row>
    <row r="818" spans="1:20" ht="13">
      <c r="A818" s="3"/>
      <c r="B818" s="126"/>
      <c r="C818" s="81"/>
      <c r="D818" s="81"/>
      <c r="E818" s="2"/>
      <c r="F818" s="81"/>
      <c r="G818" s="81"/>
      <c r="H818" s="2"/>
      <c r="I818" s="38"/>
      <c r="J818" s="38"/>
      <c r="K818" s="38"/>
      <c r="S818" s="81"/>
      <c r="T818" s="81"/>
    </row>
    <row r="819" spans="1:20" ht="13">
      <c r="A819" s="3"/>
      <c r="B819" s="126"/>
      <c r="C819" s="81"/>
      <c r="D819" s="81"/>
      <c r="E819" s="2"/>
      <c r="F819" s="81"/>
      <c r="G819" s="81"/>
      <c r="H819" s="2"/>
      <c r="I819" s="38"/>
      <c r="J819" s="38"/>
      <c r="K819" s="38"/>
      <c r="S819" s="81"/>
      <c r="T819" s="81"/>
    </row>
    <row r="820" spans="1:20" ht="13">
      <c r="A820" s="3"/>
      <c r="B820" s="126"/>
      <c r="C820" s="81"/>
      <c r="D820" s="81"/>
      <c r="E820" s="2"/>
      <c r="F820" s="81"/>
      <c r="G820" s="81"/>
      <c r="H820" s="2"/>
      <c r="I820" s="38"/>
      <c r="J820" s="38"/>
      <c r="K820" s="38"/>
      <c r="S820" s="81"/>
      <c r="T820" s="81"/>
    </row>
    <row r="821" spans="1:20" ht="13">
      <c r="A821" s="3"/>
      <c r="B821" s="126"/>
      <c r="C821" s="81"/>
      <c r="D821" s="81"/>
      <c r="E821" s="2"/>
      <c r="F821" s="81"/>
      <c r="G821" s="81"/>
      <c r="H821" s="2"/>
      <c r="I821" s="38"/>
      <c r="J821" s="38"/>
      <c r="K821" s="38"/>
      <c r="S821" s="81"/>
      <c r="T821" s="81"/>
    </row>
    <row r="822" spans="1:20" ht="13">
      <c r="A822" s="3"/>
      <c r="B822" s="126"/>
      <c r="C822" s="81"/>
      <c r="D822" s="81"/>
      <c r="E822" s="2"/>
      <c r="F822" s="81"/>
      <c r="G822" s="81"/>
      <c r="H822" s="2"/>
      <c r="I822" s="38"/>
      <c r="J822" s="38"/>
      <c r="K822" s="38"/>
      <c r="S822" s="81"/>
      <c r="T822" s="81"/>
    </row>
    <row r="823" spans="1:20" ht="13">
      <c r="A823" s="3"/>
      <c r="B823" s="126"/>
      <c r="C823" s="81"/>
      <c r="D823" s="81"/>
      <c r="E823" s="2"/>
      <c r="F823" s="81"/>
      <c r="G823" s="81"/>
      <c r="H823" s="2"/>
      <c r="I823" s="38"/>
      <c r="J823" s="38"/>
      <c r="K823" s="38"/>
      <c r="S823" s="81"/>
      <c r="T823" s="81"/>
    </row>
    <row r="824" spans="1:20" ht="13">
      <c r="A824" s="3"/>
      <c r="B824" s="126"/>
      <c r="C824" s="81"/>
      <c r="D824" s="81"/>
      <c r="E824" s="2"/>
      <c r="F824" s="81"/>
      <c r="G824" s="81"/>
      <c r="H824" s="2"/>
      <c r="I824" s="38"/>
      <c r="J824" s="38"/>
      <c r="K824" s="38"/>
      <c r="S824" s="81"/>
      <c r="T824" s="81"/>
    </row>
    <row r="825" spans="1:20" ht="13">
      <c r="A825" s="3"/>
      <c r="B825" s="126"/>
      <c r="C825" s="81"/>
      <c r="D825" s="81"/>
      <c r="E825" s="2"/>
      <c r="F825" s="81"/>
      <c r="G825" s="81"/>
      <c r="H825" s="2"/>
      <c r="I825" s="38"/>
      <c r="J825" s="38"/>
      <c r="K825" s="38"/>
      <c r="S825" s="81"/>
      <c r="T825" s="81"/>
    </row>
    <row r="826" spans="1:20" ht="13">
      <c r="A826" s="3"/>
      <c r="B826" s="126"/>
      <c r="C826" s="81"/>
      <c r="D826" s="81"/>
      <c r="E826" s="2"/>
      <c r="F826" s="81"/>
      <c r="G826" s="81"/>
      <c r="H826" s="2"/>
      <c r="I826" s="38"/>
      <c r="J826" s="38"/>
      <c r="K826" s="38"/>
      <c r="S826" s="81"/>
      <c r="T826" s="81"/>
    </row>
    <row r="827" spans="1:20" ht="13">
      <c r="A827" s="3"/>
      <c r="B827" s="126"/>
      <c r="C827" s="81"/>
      <c r="D827" s="81"/>
      <c r="E827" s="2"/>
      <c r="F827" s="81"/>
      <c r="G827" s="81"/>
      <c r="H827" s="2"/>
      <c r="I827" s="38"/>
      <c r="J827" s="38"/>
      <c r="K827" s="38"/>
      <c r="S827" s="81"/>
      <c r="T827" s="81"/>
    </row>
    <row r="828" spans="1:20" ht="13">
      <c r="A828" s="3"/>
      <c r="B828" s="126"/>
      <c r="C828" s="81"/>
      <c r="D828" s="81"/>
      <c r="E828" s="2"/>
      <c r="F828" s="81"/>
      <c r="G828" s="81"/>
      <c r="H828" s="2"/>
      <c r="I828" s="38"/>
      <c r="J828" s="38"/>
      <c r="K828" s="38"/>
      <c r="S828" s="81"/>
      <c r="T828" s="81"/>
    </row>
    <row r="829" spans="1:20" ht="13">
      <c r="A829" s="3"/>
      <c r="B829" s="126"/>
      <c r="C829" s="81"/>
      <c r="D829" s="81"/>
      <c r="E829" s="2"/>
      <c r="F829" s="81"/>
      <c r="G829" s="81"/>
      <c r="H829" s="2"/>
      <c r="I829" s="38"/>
      <c r="J829" s="38"/>
      <c r="K829" s="38"/>
      <c r="S829" s="81"/>
      <c r="T829" s="81"/>
    </row>
    <row r="830" spans="1:20" ht="13">
      <c r="A830" s="3"/>
      <c r="B830" s="126"/>
      <c r="C830" s="81"/>
      <c r="D830" s="81"/>
      <c r="E830" s="2"/>
      <c r="F830" s="81"/>
      <c r="G830" s="81"/>
      <c r="H830" s="2"/>
      <c r="I830" s="38"/>
      <c r="J830" s="38"/>
      <c r="K830" s="38"/>
      <c r="S830" s="81"/>
      <c r="T830" s="81"/>
    </row>
    <row r="831" spans="1:20" ht="13">
      <c r="A831" s="3"/>
      <c r="B831" s="126"/>
      <c r="C831" s="81"/>
      <c r="D831" s="81"/>
      <c r="E831" s="2"/>
      <c r="F831" s="81"/>
      <c r="G831" s="81"/>
      <c r="H831" s="2"/>
      <c r="I831" s="38"/>
      <c r="J831" s="38"/>
      <c r="K831" s="38"/>
      <c r="S831" s="81"/>
      <c r="T831" s="81"/>
    </row>
    <row r="832" spans="1:20" ht="13">
      <c r="A832" s="3"/>
      <c r="B832" s="126"/>
      <c r="C832" s="81"/>
      <c r="D832" s="81"/>
      <c r="E832" s="2"/>
      <c r="F832" s="81"/>
      <c r="G832" s="81"/>
      <c r="H832" s="2"/>
      <c r="I832" s="38"/>
      <c r="J832" s="38"/>
      <c r="K832" s="38"/>
      <c r="S832" s="81"/>
      <c r="T832" s="81"/>
    </row>
    <row r="833" spans="1:20" ht="13">
      <c r="A833" s="3"/>
      <c r="B833" s="126"/>
      <c r="C833" s="81"/>
      <c r="D833" s="81"/>
      <c r="E833" s="2"/>
      <c r="F833" s="81"/>
      <c r="G833" s="81"/>
      <c r="H833" s="2"/>
      <c r="I833" s="38"/>
      <c r="J833" s="38"/>
      <c r="K833" s="38"/>
      <c r="S833" s="81"/>
      <c r="T833" s="81"/>
    </row>
    <row r="834" spans="1:20" ht="13">
      <c r="A834" s="3"/>
      <c r="B834" s="126"/>
      <c r="C834" s="81"/>
      <c r="D834" s="81"/>
      <c r="E834" s="2"/>
      <c r="F834" s="81"/>
      <c r="G834" s="81"/>
      <c r="H834" s="2"/>
      <c r="I834" s="38"/>
      <c r="J834" s="38"/>
      <c r="K834" s="38"/>
      <c r="S834" s="81"/>
      <c r="T834" s="81"/>
    </row>
    <row r="835" spans="1:20" ht="13">
      <c r="A835" s="3"/>
      <c r="B835" s="126"/>
      <c r="C835" s="81"/>
      <c r="D835" s="81"/>
      <c r="E835" s="2"/>
      <c r="F835" s="81"/>
      <c r="G835" s="81"/>
      <c r="H835" s="2"/>
      <c r="I835" s="38"/>
      <c r="J835" s="38"/>
      <c r="K835" s="38"/>
      <c r="S835" s="81"/>
      <c r="T835" s="81"/>
    </row>
    <row r="836" spans="1:20" ht="13">
      <c r="A836" s="3"/>
      <c r="B836" s="126"/>
      <c r="C836" s="81"/>
      <c r="D836" s="81"/>
      <c r="E836" s="2"/>
      <c r="F836" s="81"/>
      <c r="G836" s="81"/>
      <c r="H836" s="2"/>
      <c r="I836" s="38"/>
      <c r="J836" s="38"/>
      <c r="K836" s="38"/>
      <c r="S836" s="81"/>
      <c r="T836" s="81"/>
    </row>
    <row r="837" spans="1:20" ht="13">
      <c r="A837" s="3"/>
      <c r="B837" s="126"/>
      <c r="C837" s="81"/>
      <c r="D837" s="81"/>
      <c r="E837" s="2"/>
      <c r="F837" s="81"/>
      <c r="G837" s="81"/>
      <c r="H837" s="2"/>
      <c r="I837" s="38"/>
      <c r="J837" s="38"/>
      <c r="K837" s="38"/>
      <c r="S837" s="81"/>
      <c r="T837" s="81"/>
    </row>
    <row r="838" spans="1:20" ht="13">
      <c r="A838" s="3"/>
      <c r="B838" s="126"/>
      <c r="C838" s="81"/>
      <c r="D838" s="81"/>
      <c r="E838" s="2"/>
      <c r="F838" s="81"/>
      <c r="G838" s="81"/>
      <c r="H838" s="2"/>
      <c r="I838" s="38"/>
      <c r="J838" s="38"/>
      <c r="K838" s="38"/>
      <c r="S838" s="81"/>
      <c r="T838" s="81"/>
    </row>
    <row r="839" spans="1:20" ht="13">
      <c r="A839" s="3"/>
      <c r="B839" s="126"/>
      <c r="C839" s="81"/>
      <c r="D839" s="81"/>
      <c r="E839" s="2"/>
      <c r="F839" s="81"/>
      <c r="G839" s="81"/>
      <c r="H839" s="2"/>
      <c r="I839" s="38"/>
      <c r="J839" s="38"/>
      <c r="K839" s="38"/>
      <c r="S839" s="81"/>
      <c r="T839" s="81"/>
    </row>
    <row r="840" spans="1:20" ht="13">
      <c r="A840" s="3"/>
      <c r="B840" s="126"/>
      <c r="C840" s="81"/>
      <c r="D840" s="81"/>
      <c r="E840" s="2"/>
      <c r="F840" s="81"/>
      <c r="G840" s="81"/>
      <c r="H840" s="2"/>
      <c r="I840" s="38"/>
      <c r="J840" s="38"/>
      <c r="K840" s="38"/>
      <c r="S840" s="81"/>
      <c r="T840" s="81"/>
    </row>
    <row r="841" spans="1:20" ht="13">
      <c r="A841" s="3"/>
      <c r="B841" s="126"/>
      <c r="C841" s="81"/>
      <c r="D841" s="81"/>
      <c r="E841" s="2"/>
      <c r="F841" s="81"/>
      <c r="G841" s="81"/>
      <c r="H841" s="2"/>
      <c r="I841" s="38"/>
      <c r="J841" s="38"/>
      <c r="K841" s="38"/>
      <c r="S841" s="81"/>
      <c r="T841" s="81"/>
    </row>
    <row r="842" spans="1:20" ht="13">
      <c r="A842" s="3"/>
      <c r="B842" s="126"/>
      <c r="C842" s="81"/>
      <c r="D842" s="81"/>
      <c r="E842" s="2"/>
      <c r="F842" s="81"/>
      <c r="G842" s="81"/>
      <c r="H842" s="2"/>
      <c r="I842" s="38"/>
      <c r="J842" s="38"/>
      <c r="K842" s="38"/>
      <c r="S842" s="81"/>
      <c r="T842" s="81"/>
    </row>
    <row r="843" spans="1:20" ht="13">
      <c r="A843" s="3"/>
      <c r="B843" s="126"/>
      <c r="C843" s="81"/>
      <c r="D843" s="81"/>
      <c r="E843" s="2"/>
      <c r="F843" s="81"/>
      <c r="G843" s="81"/>
      <c r="H843" s="2"/>
      <c r="I843" s="38"/>
      <c r="J843" s="38"/>
      <c r="K843" s="38"/>
      <c r="S843" s="81"/>
      <c r="T843" s="81"/>
    </row>
    <row r="844" spans="1:20" ht="13">
      <c r="A844" s="3"/>
      <c r="B844" s="126"/>
      <c r="C844" s="81"/>
      <c r="D844" s="81"/>
      <c r="E844" s="2"/>
      <c r="F844" s="81"/>
      <c r="G844" s="81"/>
      <c r="H844" s="2"/>
      <c r="I844" s="38"/>
      <c r="J844" s="38"/>
      <c r="K844" s="38"/>
      <c r="S844" s="81"/>
      <c r="T844" s="81"/>
    </row>
    <row r="845" spans="1:20" ht="13">
      <c r="A845" s="3"/>
      <c r="B845" s="126"/>
      <c r="C845" s="81"/>
      <c r="D845" s="81"/>
      <c r="E845" s="2"/>
      <c r="F845" s="81"/>
      <c r="G845" s="81"/>
      <c r="H845" s="2"/>
      <c r="I845" s="38"/>
      <c r="J845" s="38"/>
      <c r="K845" s="38"/>
      <c r="S845" s="81"/>
      <c r="T845" s="81"/>
    </row>
    <row r="846" spans="1:20" ht="13">
      <c r="A846" s="3"/>
      <c r="B846" s="126"/>
      <c r="C846" s="81"/>
      <c r="D846" s="81"/>
      <c r="E846" s="2"/>
      <c r="F846" s="81"/>
      <c r="G846" s="81"/>
      <c r="H846" s="2"/>
      <c r="I846" s="38"/>
      <c r="J846" s="38"/>
      <c r="K846" s="38"/>
      <c r="S846" s="81"/>
      <c r="T846" s="81"/>
    </row>
    <row r="847" spans="1:20" ht="13">
      <c r="A847" s="3"/>
      <c r="B847" s="126"/>
      <c r="C847" s="81"/>
      <c r="D847" s="81"/>
      <c r="E847" s="2"/>
      <c r="F847" s="81"/>
      <c r="G847" s="81"/>
      <c r="H847" s="2"/>
      <c r="I847" s="38"/>
      <c r="J847" s="38"/>
      <c r="K847" s="38"/>
      <c r="S847" s="81"/>
      <c r="T847" s="81"/>
    </row>
    <row r="848" spans="1:20" ht="13">
      <c r="A848" s="3"/>
      <c r="B848" s="126"/>
      <c r="C848" s="81"/>
      <c r="D848" s="81"/>
      <c r="E848" s="2"/>
      <c r="F848" s="81"/>
      <c r="G848" s="81"/>
      <c r="H848" s="2"/>
      <c r="I848" s="38"/>
      <c r="J848" s="38"/>
      <c r="K848" s="38"/>
      <c r="S848" s="81"/>
      <c r="T848" s="81"/>
    </row>
    <row r="849" spans="1:20" ht="13">
      <c r="A849" s="3"/>
      <c r="B849" s="126"/>
      <c r="C849" s="81"/>
      <c r="D849" s="81"/>
      <c r="E849" s="2"/>
      <c r="F849" s="81"/>
      <c r="G849" s="81"/>
      <c r="H849" s="2"/>
      <c r="I849" s="38"/>
      <c r="J849" s="38"/>
      <c r="K849" s="38"/>
      <c r="S849" s="81"/>
      <c r="T849" s="81"/>
    </row>
    <row r="850" spans="1:20" ht="13">
      <c r="A850" s="3"/>
      <c r="B850" s="126"/>
      <c r="C850" s="81"/>
      <c r="D850" s="81"/>
      <c r="E850" s="2"/>
      <c r="F850" s="81"/>
      <c r="G850" s="81"/>
      <c r="H850" s="2"/>
      <c r="I850" s="38"/>
      <c r="J850" s="38"/>
      <c r="K850" s="38"/>
      <c r="S850" s="81"/>
      <c r="T850" s="81"/>
    </row>
    <row r="851" spans="1:20" ht="13">
      <c r="A851" s="3"/>
      <c r="B851" s="126"/>
      <c r="C851" s="81"/>
      <c r="D851" s="81"/>
      <c r="E851" s="2"/>
      <c r="F851" s="81"/>
      <c r="G851" s="81"/>
      <c r="H851" s="2"/>
      <c r="I851" s="38"/>
      <c r="J851" s="38"/>
      <c r="K851" s="38"/>
      <c r="S851" s="81"/>
      <c r="T851" s="81"/>
    </row>
    <row r="852" spans="1:20" ht="13">
      <c r="A852" s="3"/>
      <c r="B852" s="126"/>
      <c r="C852" s="81"/>
      <c r="D852" s="81"/>
      <c r="E852" s="2"/>
      <c r="F852" s="81"/>
      <c r="G852" s="81"/>
      <c r="H852" s="2"/>
      <c r="I852" s="38"/>
      <c r="J852" s="38"/>
      <c r="K852" s="38"/>
      <c r="S852" s="81"/>
      <c r="T852" s="81"/>
    </row>
    <row r="853" spans="1:20" ht="13">
      <c r="A853" s="3"/>
      <c r="B853" s="126"/>
      <c r="C853" s="81"/>
      <c r="D853" s="81"/>
      <c r="E853" s="2"/>
      <c r="F853" s="81"/>
      <c r="G853" s="81"/>
      <c r="H853" s="2"/>
      <c r="I853" s="38"/>
      <c r="J853" s="38"/>
      <c r="K853" s="38"/>
      <c r="S853" s="81"/>
      <c r="T853" s="81"/>
    </row>
    <row r="854" spans="1:20" ht="13">
      <c r="A854" s="3"/>
      <c r="B854" s="126"/>
      <c r="C854" s="81"/>
      <c r="D854" s="81"/>
      <c r="E854" s="2"/>
      <c r="F854" s="81"/>
      <c r="G854" s="81"/>
      <c r="H854" s="2"/>
      <c r="I854" s="38"/>
      <c r="J854" s="38"/>
      <c r="K854" s="38"/>
      <c r="S854" s="81"/>
      <c r="T854" s="81"/>
    </row>
    <row r="855" spans="1:20" ht="13">
      <c r="A855" s="3"/>
      <c r="B855" s="126"/>
      <c r="C855" s="81"/>
      <c r="D855" s="81"/>
      <c r="E855" s="2"/>
      <c r="F855" s="81"/>
      <c r="G855" s="81"/>
      <c r="H855" s="2"/>
      <c r="I855" s="38"/>
      <c r="J855" s="38"/>
      <c r="K855" s="38"/>
      <c r="S855" s="81"/>
      <c r="T855" s="81"/>
    </row>
    <row r="856" spans="1:20" ht="13">
      <c r="A856" s="3"/>
      <c r="B856" s="126"/>
      <c r="C856" s="81"/>
      <c r="D856" s="81"/>
      <c r="E856" s="2"/>
      <c r="F856" s="81"/>
      <c r="G856" s="81"/>
      <c r="H856" s="2"/>
      <c r="I856" s="38"/>
      <c r="J856" s="38"/>
      <c r="K856" s="38"/>
      <c r="S856" s="81"/>
      <c r="T856" s="81"/>
    </row>
    <row r="857" spans="1:20" ht="13">
      <c r="A857" s="3"/>
      <c r="B857" s="126"/>
      <c r="C857" s="81"/>
      <c r="D857" s="81"/>
      <c r="E857" s="2"/>
      <c r="F857" s="81"/>
      <c r="G857" s="81"/>
      <c r="H857" s="2"/>
      <c r="I857" s="38"/>
      <c r="J857" s="38"/>
      <c r="K857" s="38"/>
      <c r="S857" s="81"/>
      <c r="T857" s="81"/>
    </row>
    <row r="858" spans="1:20" ht="13">
      <c r="A858" s="3"/>
      <c r="B858" s="126"/>
      <c r="C858" s="81"/>
      <c r="D858" s="81"/>
      <c r="E858" s="2"/>
      <c r="F858" s="81"/>
      <c r="G858" s="81"/>
      <c r="H858" s="2"/>
      <c r="I858" s="38"/>
      <c r="J858" s="38"/>
      <c r="K858" s="38"/>
      <c r="S858" s="81"/>
      <c r="T858" s="81"/>
    </row>
    <row r="859" spans="1:20" ht="13">
      <c r="A859" s="3"/>
      <c r="B859" s="126"/>
      <c r="C859" s="81"/>
      <c r="D859" s="81"/>
      <c r="E859" s="2"/>
      <c r="F859" s="81"/>
      <c r="G859" s="81"/>
      <c r="H859" s="2"/>
      <c r="I859" s="38"/>
      <c r="J859" s="38"/>
      <c r="K859" s="38"/>
      <c r="S859" s="81"/>
      <c r="T859" s="81"/>
    </row>
    <row r="860" spans="1:20" ht="13">
      <c r="A860" s="3"/>
      <c r="B860" s="126"/>
      <c r="C860" s="81"/>
      <c r="D860" s="81"/>
      <c r="E860" s="2"/>
      <c r="F860" s="81"/>
      <c r="G860" s="81"/>
      <c r="H860" s="2"/>
      <c r="I860" s="38"/>
      <c r="J860" s="38"/>
      <c r="K860" s="38"/>
      <c r="S860" s="81"/>
      <c r="T860" s="81"/>
    </row>
    <row r="861" spans="1:20" ht="13">
      <c r="A861" s="3"/>
      <c r="B861" s="126"/>
      <c r="C861" s="81"/>
      <c r="D861" s="81"/>
      <c r="E861" s="2"/>
      <c r="F861" s="81"/>
      <c r="G861" s="81"/>
      <c r="H861" s="2"/>
      <c r="I861" s="38"/>
      <c r="J861" s="38"/>
      <c r="K861" s="38"/>
      <c r="S861" s="81"/>
      <c r="T861" s="81"/>
    </row>
    <row r="862" spans="1:20" ht="13">
      <c r="A862" s="3"/>
      <c r="B862" s="126"/>
      <c r="C862" s="81"/>
      <c r="D862" s="81"/>
      <c r="E862" s="2"/>
      <c r="F862" s="81"/>
      <c r="G862" s="81"/>
      <c r="H862" s="2"/>
      <c r="I862" s="38"/>
      <c r="J862" s="38"/>
      <c r="K862" s="38"/>
      <c r="S862" s="81"/>
      <c r="T862" s="81"/>
    </row>
    <row r="863" spans="1:20" ht="13">
      <c r="A863" s="3"/>
      <c r="B863" s="126"/>
      <c r="C863" s="81"/>
      <c r="D863" s="81"/>
      <c r="E863" s="2"/>
      <c r="F863" s="81"/>
      <c r="G863" s="81"/>
      <c r="H863" s="2"/>
      <c r="I863" s="38"/>
      <c r="J863" s="38"/>
      <c r="K863" s="38"/>
      <c r="S863" s="81"/>
      <c r="T863" s="81"/>
    </row>
    <row r="864" spans="1:20" ht="13">
      <c r="A864" s="3"/>
      <c r="B864" s="126"/>
      <c r="C864" s="81"/>
      <c r="D864" s="81"/>
      <c r="E864" s="2"/>
      <c r="F864" s="81"/>
      <c r="G864" s="81"/>
      <c r="H864" s="2"/>
      <c r="I864" s="38"/>
      <c r="J864" s="38"/>
      <c r="K864" s="38"/>
      <c r="S864" s="81"/>
      <c r="T864" s="81"/>
    </row>
    <row r="865" spans="1:20" ht="13">
      <c r="A865" s="3"/>
      <c r="B865" s="126"/>
      <c r="C865" s="81"/>
      <c r="D865" s="81"/>
      <c r="E865" s="2"/>
      <c r="F865" s="81"/>
      <c r="G865" s="81"/>
      <c r="H865" s="2"/>
      <c r="I865" s="38"/>
      <c r="J865" s="38"/>
      <c r="K865" s="38"/>
      <c r="S865" s="81"/>
      <c r="T865" s="81"/>
    </row>
    <row r="866" spans="1:20" ht="13">
      <c r="A866" s="3"/>
      <c r="B866" s="126"/>
      <c r="C866" s="81"/>
      <c r="D866" s="81"/>
      <c r="E866" s="2"/>
      <c r="F866" s="81"/>
      <c r="G866" s="81"/>
      <c r="H866" s="2"/>
      <c r="I866" s="38"/>
      <c r="J866" s="38"/>
      <c r="K866" s="38"/>
      <c r="S866" s="81"/>
      <c r="T866" s="81"/>
    </row>
    <row r="867" spans="1:20" ht="13">
      <c r="A867" s="3"/>
      <c r="B867" s="126"/>
      <c r="C867" s="81"/>
      <c r="D867" s="81"/>
      <c r="E867" s="2"/>
      <c r="F867" s="81"/>
      <c r="G867" s="81"/>
      <c r="H867" s="2"/>
      <c r="I867" s="38"/>
      <c r="J867" s="38"/>
      <c r="K867" s="38"/>
      <c r="S867" s="81"/>
      <c r="T867" s="81"/>
    </row>
    <row r="868" spans="1:20" ht="13">
      <c r="A868" s="3"/>
      <c r="B868" s="126"/>
      <c r="C868" s="81"/>
      <c r="D868" s="81"/>
      <c r="E868" s="2"/>
      <c r="F868" s="81"/>
      <c r="G868" s="81"/>
      <c r="H868" s="2"/>
      <c r="I868" s="38"/>
      <c r="J868" s="38"/>
      <c r="K868" s="38"/>
      <c r="S868" s="81"/>
      <c r="T868" s="81"/>
    </row>
    <row r="869" spans="1:20" ht="13">
      <c r="A869" s="3"/>
      <c r="B869" s="126"/>
      <c r="C869" s="81"/>
      <c r="D869" s="81"/>
      <c r="E869" s="2"/>
      <c r="F869" s="81"/>
      <c r="G869" s="81"/>
      <c r="H869" s="2"/>
      <c r="I869" s="38"/>
      <c r="J869" s="38"/>
      <c r="K869" s="38"/>
      <c r="S869" s="81"/>
      <c r="T869" s="81"/>
    </row>
    <row r="870" spans="1:20" ht="13">
      <c r="A870" s="3"/>
      <c r="B870" s="126"/>
      <c r="C870" s="81"/>
      <c r="D870" s="81"/>
      <c r="E870" s="2"/>
      <c r="F870" s="81"/>
      <c r="G870" s="81"/>
      <c r="H870" s="2"/>
      <c r="I870" s="38"/>
      <c r="J870" s="38"/>
      <c r="K870" s="38"/>
      <c r="S870" s="81"/>
      <c r="T870" s="81"/>
    </row>
    <row r="871" spans="1:20" ht="13">
      <c r="A871" s="3"/>
      <c r="B871" s="126"/>
      <c r="C871" s="81"/>
      <c r="D871" s="81"/>
      <c r="E871" s="2"/>
      <c r="F871" s="81"/>
      <c r="G871" s="81"/>
      <c r="H871" s="2"/>
      <c r="I871" s="38"/>
      <c r="J871" s="38"/>
      <c r="K871" s="38"/>
      <c r="S871" s="81"/>
      <c r="T871" s="81"/>
    </row>
    <row r="872" spans="1:20" ht="13">
      <c r="A872" s="3"/>
      <c r="B872" s="126"/>
      <c r="C872" s="81"/>
      <c r="D872" s="81"/>
      <c r="E872" s="2"/>
      <c r="F872" s="81"/>
      <c r="G872" s="81"/>
      <c r="H872" s="2"/>
      <c r="I872" s="38"/>
      <c r="J872" s="38"/>
      <c r="K872" s="38"/>
      <c r="S872" s="81"/>
      <c r="T872" s="81"/>
    </row>
    <row r="873" spans="1:20" ht="13">
      <c r="A873" s="3"/>
      <c r="B873" s="126"/>
      <c r="C873" s="81"/>
      <c r="D873" s="81"/>
      <c r="E873" s="2"/>
      <c r="F873" s="81"/>
      <c r="G873" s="81"/>
      <c r="H873" s="2"/>
      <c r="I873" s="38"/>
      <c r="J873" s="38"/>
      <c r="K873" s="38"/>
      <c r="S873" s="81"/>
      <c r="T873" s="81"/>
    </row>
    <row r="874" spans="1:20" ht="13">
      <c r="A874" s="3"/>
      <c r="B874" s="126"/>
      <c r="C874" s="81"/>
      <c r="D874" s="81"/>
      <c r="E874" s="2"/>
      <c r="F874" s="81"/>
      <c r="G874" s="81"/>
      <c r="H874" s="2"/>
      <c r="I874" s="38"/>
      <c r="J874" s="38"/>
      <c r="K874" s="38"/>
      <c r="S874" s="81"/>
      <c r="T874" s="81"/>
    </row>
    <row r="875" spans="1:20" ht="13">
      <c r="A875" s="3"/>
      <c r="B875" s="126"/>
      <c r="C875" s="81"/>
      <c r="D875" s="81"/>
      <c r="E875" s="2"/>
      <c r="F875" s="81"/>
      <c r="G875" s="81"/>
      <c r="H875" s="2"/>
      <c r="I875" s="38"/>
      <c r="J875" s="38"/>
      <c r="K875" s="38"/>
      <c r="S875" s="81"/>
      <c r="T875" s="81"/>
    </row>
    <row r="876" spans="1:20" ht="13">
      <c r="A876" s="3"/>
      <c r="B876" s="126"/>
      <c r="C876" s="81"/>
      <c r="D876" s="81"/>
      <c r="E876" s="2"/>
      <c r="F876" s="81"/>
      <c r="G876" s="81"/>
      <c r="H876" s="2"/>
      <c r="I876" s="38"/>
      <c r="J876" s="38"/>
      <c r="K876" s="38"/>
      <c r="S876" s="81"/>
      <c r="T876" s="81"/>
    </row>
    <row r="877" spans="1:20" ht="13">
      <c r="A877" s="3"/>
      <c r="B877" s="126"/>
      <c r="C877" s="81"/>
      <c r="D877" s="81"/>
      <c r="E877" s="2"/>
      <c r="F877" s="81"/>
      <c r="G877" s="81"/>
      <c r="H877" s="2"/>
      <c r="I877" s="38"/>
      <c r="J877" s="38"/>
      <c r="K877" s="38"/>
      <c r="S877" s="81"/>
      <c r="T877" s="81"/>
    </row>
    <row r="878" spans="1:20" ht="13">
      <c r="A878" s="3"/>
      <c r="B878" s="126"/>
      <c r="C878" s="81"/>
      <c r="D878" s="81"/>
      <c r="E878" s="2"/>
      <c r="F878" s="81"/>
      <c r="G878" s="81"/>
      <c r="H878" s="2"/>
      <c r="I878" s="38"/>
      <c r="J878" s="38"/>
      <c r="K878" s="38"/>
      <c r="S878" s="81"/>
      <c r="T878" s="81"/>
    </row>
    <row r="879" spans="1:20" ht="13">
      <c r="A879" s="3"/>
      <c r="B879" s="126"/>
      <c r="C879" s="81"/>
      <c r="D879" s="81"/>
      <c r="E879" s="2"/>
      <c r="F879" s="81"/>
      <c r="G879" s="81"/>
      <c r="H879" s="2"/>
      <c r="I879" s="38"/>
      <c r="J879" s="38"/>
      <c r="K879" s="38"/>
      <c r="S879" s="81"/>
      <c r="T879" s="81"/>
    </row>
    <row r="880" spans="1:20" ht="13">
      <c r="A880" s="3"/>
      <c r="B880" s="126"/>
      <c r="C880" s="81"/>
      <c r="D880" s="81"/>
      <c r="E880" s="2"/>
      <c r="F880" s="81"/>
      <c r="G880" s="81"/>
      <c r="H880" s="2"/>
      <c r="I880" s="38"/>
      <c r="J880" s="38"/>
      <c r="K880" s="38"/>
      <c r="S880" s="81"/>
      <c r="T880" s="81"/>
    </row>
    <row r="881" spans="1:20" ht="13">
      <c r="A881" s="3"/>
      <c r="B881" s="126"/>
      <c r="C881" s="81"/>
      <c r="D881" s="81"/>
      <c r="E881" s="2"/>
      <c r="F881" s="81"/>
      <c r="G881" s="81"/>
      <c r="H881" s="2"/>
      <c r="I881" s="38"/>
      <c r="J881" s="38"/>
      <c r="K881" s="38"/>
      <c r="S881" s="81"/>
      <c r="T881" s="81"/>
    </row>
    <row r="882" spans="1:20" ht="13">
      <c r="A882" s="3"/>
      <c r="B882" s="126"/>
      <c r="C882" s="81"/>
      <c r="D882" s="81"/>
      <c r="E882" s="2"/>
      <c r="F882" s="81"/>
      <c r="G882" s="81"/>
      <c r="H882" s="2"/>
      <c r="I882" s="38"/>
      <c r="J882" s="38"/>
      <c r="K882" s="38"/>
      <c r="S882" s="81"/>
      <c r="T882" s="81"/>
    </row>
    <row r="883" spans="1:20" ht="13">
      <c r="A883" s="3"/>
      <c r="B883" s="126"/>
      <c r="C883" s="81"/>
      <c r="D883" s="81"/>
      <c r="E883" s="2"/>
      <c r="F883" s="81"/>
      <c r="G883" s="81"/>
      <c r="H883" s="2"/>
      <c r="I883" s="38"/>
      <c r="J883" s="38"/>
      <c r="K883" s="38"/>
      <c r="S883" s="81"/>
      <c r="T883" s="81"/>
    </row>
    <row r="884" spans="1:20" ht="13">
      <c r="A884" s="3"/>
      <c r="B884" s="126"/>
      <c r="C884" s="81"/>
      <c r="D884" s="81"/>
      <c r="E884" s="2"/>
      <c r="F884" s="81"/>
      <c r="G884" s="81"/>
      <c r="H884" s="2"/>
      <c r="I884" s="38"/>
      <c r="J884" s="38"/>
      <c r="K884" s="38"/>
      <c r="S884" s="81"/>
      <c r="T884" s="81"/>
    </row>
    <row r="885" spans="1:20" ht="13">
      <c r="A885" s="3"/>
      <c r="B885" s="126"/>
      <c r="C885" s="81"/>
      <c r="D885" s="81"/>
      <c r="E885" s="2"/>
      <c r="F885" s="81"/>
      <c r="G885" s="81"/>
      <c r="H885" s="2"/>
      <c r="I885" s="38"/>
      <c r="J885" s="38"/>
      <c r="K885" s="38"/>
      <c r="S885" s="81"/>
      <c r="T885" s="81"/>
    </row>
    <row r="886" spans="1:20" ht="13">
      <c r="A886" s="3"/>
      <c r="B886" s="126"/>
      <c r="C886" s="81"/>
      <c r="D886" s="81"/>
      <c r="E886" s="2"/>
      <c r="F886" s="81"/>
      <c r="G886" s="81"/>
      <c r="H886" s="2"/>
      <c r="I886" s="38"/>
      <c r="J886" s="38"/>
      <c r="K886" s="38"/>
      <c r="S886" s="81"/>
      <c r="T886" s="81"/>
    </row>
    <row r="887" spans="1:20" ht="13">
      <c r="A887" s="3"/>
      <c r="B887" s="126"/>
      <c r="C887" s="81"/>
      <c r="D887" s="81"/>
      <c r="E887" s="2"/>
      <c r="F887" s="81"/>
      <c r="G887" s="81"/>
      <c r="H887" s="2"/>
      <c r="I887" s="38"/>
      <c r="J887" s="38"/>
      <c r="K887" s="38"/>
      <c r="S887" s="81"/>
      <c r="T887" s="81"/>
    </row>
    <row r="888" spans="1:20" ht="13">
      <c r="A888" s="3"/>
      <c r="B888" s="126"/>
      <c r="C888" s="81"/>
      <c r="D888" s="81"/>
      <c r="E888" s="2"/>
      <c r="F888" s="81"/>
      <c r="G888" s="81"/>
      <c r="H888" s="2"/>
      <c r="I888" s="38"/>
      <c r="J888" s="38"/>
      <c r="K888" s="38"/>
      <c r="S888" s="81"/>
      <c r="T888" s="81"/>
    </row>
    <row r="889" spans="1:20" ht="13">
      <c r="A889" s="3"/>
      <c r="B889" s="126"/>
      <c r="C889" s="81"/>
      <c r="D889" s="81"/>
      <c r="E889" s="2"/>
      <c r="F889" s="81"/>
      <c r="G889" s="81"/>
      <c r="H889" s="2"/>
      <c r="I889" s="38"/>
      <c r="J889" s="38"/>
      <c r="K889" s="38"/>
      <c r="S889" s="81"/>
      <c r="T889" s="81"/>
    </row>
    <row r="890" spans="1:20" ht="13">
      <c r="A890" s="3"/>
      <c r="B890" s="126"/>
      <c r="C890" s="81"/>
      <c r="D890" s="81"/>
      <c r="E890" s="2"/>
      <c r="F890" s="81"/>
      <c r="G890" s="81"/>
      <c r="H890" s="2"/>
      <c r="I890" s="38"/>
      <c r="J890" s="38"/>
      <c r="K890" s="38"/>
      <c r="S890" s="81"/>
      <c r="T890" s="81"/>
    </row>
    <row r="891" spans="1:20" ht="13">
      <c r="A891" s="3"/>
      <c r="B891" s="126"/>
      <c r="C891" s="81"/>
      <c r="D891" s="81"/>
      <c r="E891" s="2"/>
      <c r="F891" s="81"/>
      <c r="G891" s="81"/>
      <c r="H891" s="2"/>
      <c r="I891" s="38"/>
      <c r="J891" s="38"/>
      <c r="K891" s="38"/>
      <c r="S891" s="81"/>
      <c r="T891" s="81"/>
    </row>
    <row r="892" spans="1:20" ht="13">
      <c r="A892" s="3"/>
      <c r="B892" s="126"/>
      <c r="C892" s="81"/>
      <c r="D892" s="81"/>
      <c r="E892" s="2"/>
      <c r="F892" s="81"/>
      <c r="G892" s="81"/>
      <c r="H892" s="2"/>
      <c r="I892" s="38"/>
      <c r="J892" s="38"/>
      <c r="K892" s="38"/>
      <c r="S892" s="81"/>
      <c r="T892" s="81"/>
    </row>
    <row r="893" spans="1:20" ht="13">
      <c r="A893" s="3"/>
      <c r="B893" s="126"/>
      <c r="C893" s="81"/>
      <c r="D893" s="81"/>
      <c r="E893" s="2"/>
      <c r="F893" s="81"/>
      <c r="G893" s="81"/>
      <c r="H893" s="2"/>
      <c r="I893" s="38"/>
      <c r="J893" s="38"/>
      <c r="K893" s="38"/>
      <c r="S893" s="81"/>
      <c r="T893" s="81"/>
    </row>
    <row r="894" spans="1:20" ht="13">
      <c r="A894" s="3"/>
      <c r="B894" s="126"/>
      <c r="C894" s="81"/>
      <c r="D894" s="81"/>
      <c r="E894" s="2"/>
      <c r="F894" s="81"/>
      <c r="G894" s="81"/>
      <c r="H894" s="2"/>
      <c r="I894" s="38"/>
      <c r="J894" s="38"/>
      <c r="K894" s="38"/>
      <c r="S894" s="81"/>
      <c r="T894" s="81"/>
    </row>
    <row r="895" spans="1:20" ht="13">
      <c r="A895" s="3"/>
      <c r="B895" s="126"/>
      <c r="C895" s="81"/>
      <c r="D895" s="81"/>
      <c r="E895" s="2"/>
      <c r="F895" s="81"/>
      <c r="G895" s="81"/>
      <c r="H895" s="2"/>
      <c r="I895" s="38"/>
      <c r="J895" s="38"/>
      <c r="K895" s="38"/>
      <c r="S895" s="81"/>
      <c r="T895" s="81"/>
    </row>
    <row r="896" spans="1:20" ht="13">
      <c r="A896" s="3"/>
      <c r="B896" s="126"/>
      <c r="C896" s="81"/>
      <c r="D896" s="81"/>
      <c r="E896" s="2"/>
      <c r="F896" s="81"/>
      <c r="G896" s="81"/>
      <c r="H896" s="2"/>
      <c r="I896" s="38"/>
      <c r="J896" s="38"/>
      <c r="K896" s="38"/>
      <c r="S896" s="81"/>
      <c r="T896" s="81"/>
    </row>
    <row r="897" spans="1:20" ht="13">
      <c r="A897" s="3"/>
      <c r="B897" s="126"/>
      <c r="C897" s="81"/>
      <c r="D897" s="81"/>
      <c r="E897" s="2"/>
      <c r="F897" s="81"/>
      <c r="G897" s="81"/>
      <c r="H897" s="2"/>
      <c r="I897" s="38"/>
      <c r="J897" s="38"/>
      <c r="K897" s="38"/>
      <c r="S897" s="81"/>
      <c r="T897" s="81"/>
    </row>
    <row r="898" spans="1:20" ht="13">
      <c r="A898" s="3"/>
      <c r="B898" s="126"/>
      <c r="C898" s="81"/>
      <c r="D898" s="81"/>
      <c r="E898" s="2"/>
      <c r="F898" s="81"/>
      <c r="G898" s="81"/>
      <c r="H898" s="2"/>
      <c r="I898" s="38"/>
      <c r="J898" s="38"/>
      <c r="K898" s="38"/>
      <c r="S898" s="81"/>
      <c r="T898" s="81"/>
    </row>
    <row r="899" spans="1:20" ht="13">
      <c r="A899" s="3"/>
      <c r="B899" s="126"/>
      <c r="C899" s="81"/>
      <c r="D899" s="81"/>
      <c r="E899" s="2"/>
      <c r="F899" s="81"/>
      <c r="G899" s="81"/>
      <c r="H899" s="2"/>
      <c r="I899" s="38"/>
      <c r="J899" s="38"/>
      <c r="K899" s="38"/>
      <c r="S899" s="81"/>
      <c r="T899" s="81"/>
    </row>
    <row r="900" spans="1:20" ht="13">
      <c r="A900" s="3"/>
      <c r="B900" s="126"/>
      <c r="C900" s="81"/>
      <c r="D900" s="81"/>
      <c r="E900" s="2"/>
      <c r="F900" s="81"/>
      <c r="G900" s="81"/>
      <c r="H900" s="2"/>
      <c r="I900" s="38"/>
      <c r="J900" s="38"/>
      <c r="K900" s="38"/>
      <c r="S900" s="81"/>
      <c r="T900" s="81"/>
    </row>
    <row r="901" spans="1:20" ht="13">
      <c r="A901" s="3"/>
      <c r="B901" s="126"/>
      <c r="C901" s="81"/>
      <c r="D901" s="81"/>
      <c r="E901" s="2"/>
      <c r="F901" s="81"/>
      <c r="G901" s="81"/>
      <c r="H901" s="2"/>
      <c r="I901" s="38"/>
      <c r="J901" s="38"/>
      <c r="K901" s="38"/>
      <c r="S901" s="81"/>
      <c r="T901" s="81"/>
    </row>
    <row r="902" spans="1:20" ht="13">
      <c r="A902" s="3"/>
      <c r="B902" s="126"/>
      <c r="C902" s="81"/>
      <c r="D902" s="81"/>
      <c r="E902" s="2"/>
      <c r="F902" s="81"/>
      <c r="G902" s="81"/>
      <c r="H902" s="2"/>
      <c r="I902" s="38"/>
      <c r="J902" s="38"/>
      <c r="K902" s="38"/>
      <c r="S902" s="81"/>
      <c r="T902" s="81"/>
    </row>
    <row r="903" spans="1:20" ht="13">
      <c r="A903" s="3"/>
      <c r="B903" s="126"/>
      <c r="C903" s="81"/>
      <c r="D903" s="81"/>
      <c r="E903" s="2"/>
      <c r="F903" s="81"/>
      <c r="G903" s="81"/>
      <c r="H903" s="2"/>
      <c r="I903" s="38"/>
      <c r="J903" s="38"/>
      <c r="K903" s="38"/>
      <c r="S903" s="81"/>
      <c r="T903" s="81"/>
    </row>
    <row r="904" spans="1:20" ht="13">
      <c r="A904" s="3"/>
      <c r="B904" s="126"/>
      <c r="C904" s="81"/>
      <c r="D904" s="81"/>
      <c r="E904" s="2"/>
      <c r="F904" s="81"/>
      <c r="G904" s="81"/>
      <c r="H904" s="2"/>
      <c r="I904" s="38"/>
      <c r="J904" s="38"/>
      <c r="K904" s="38"/>
      <c r="S904" s="81"/>
      <c r="T904" s="81"/>
    </row>
    <row r="905" spans="1:20" ht="13">
      <c r="A905" s="3"/>
      <c r="B905" s="126"/>
      <c r="C905" s="81"/>
      <c r="D905" s="81"/>
      <c r="E905" s="2"/>
      <c r="F905" s="81"/>
      <c r="G905" s="81"/>
      <c r="H905" s="2"/>
      <c r="I905" s="38"/>
      <c r="J905" s="38"/>
      <c r="K905" s="38"/>
      <c r="S905" s="81"/>
      <c r="T905" s="81"/>
    </row>
    <row r="906" spans="1:20" ht="13">
      <c r="A906" s="3"/>
      <c r="B906" s="126"/>
      <c r="C906" s="81"/>
      <c r="D906" s="81"/>
      <c r="E906" s="2"/>
      <c r="F906" s="81"/>
      <c r="G906" s="81"/>
      <c r="H906" s="2"/>
      <c r="I906" s="38"/>
      <c r="J906" s="38"/>
      <c r="K906" s="38"/>
      <c r="S906" s="81"/>
      <c r="T906" s="81"/>
    </row>
    <row r="907" spans="1:20" ht="13">
      <c r="A907" s="3"/>
      <c r="B907" s="126"/>
      <c r="C907" s="81"/>
      <c r="D907" s="81"/>
      <c r="E907" s="2"/>
      <c r="F907" s="81"/>
      <c r="G907" s="81"/>
      <c r="H907" s="2"/>
      <c r="I907" s="38"/>
      <c r="J907" s="38"/>
      <c r="K907" s="38"/>
      <c r="S907" s="81"/>
      <c r="T907" s="81"/>
    </row>
    <row r="908" spans="1:20" ht="13">
      <c r="A908" s="3"/>
      <c r="B908" s="126"/>
      <c r="C908" s="81"/>
      <c r="D908" s="81"/>
      <c r="E908" s="2"/>
      <c r="F908" s="81"/>
      <c r="G908" s="81"/>
      <c r="H908" s="2"/>
      <c r="I908" s="38"/>
      <c r="J908" s="38"/>
      <c r="K908" s="38"/>
      <c r="S908" s="81"/>
      <c r="T908" s="81"/>
    </row>
    <row r="909" spans="1:20" ht="13">
      <c r="A909" s="3"/>
      <c r="B909" s="126"/>
      <c r="C909" s="81"/>
      <c r="D909" s="81"/>
      <c r="E909" s="2"/>
      <c r="F909" s="81"/>
      <c r="G909" s="81"/>
      <c r="H909" s="2"/>
      <c r="I909" s="38"/>
      <c r="J909" s="38"/>
      <c r="K909" s="38"/>
      <c r="S909" s="81"/>
      <c r="T909" s="81"/>
    </row>
    <row r="910" spans="1:20" ht="13">
      <c r="A910" s="3"/>
      <c r="B910" s="126"/>
      <c r="C910" s="81"/>
      <c r="D910" s="81"/>
      <c r="E910" s="2"/>
      <c r="F910" s="81"/>
      <c r="G910" s="81"/>
      <c r="H910" s="2"/>
      <c r="I910" s="38"/>
      <c r="J910" s="38"/>
      <c r="K910" s="38"/>
      <c r="S910" s="81"/>
      <c r="T910" s="81"/>
    </row>
    <row r="911" spans="1:20" ht="13">
      <c r="A911" s="3"/>
      <c r="B911" s="126"/>
      <c r="C911" s="81"/>
      <c r="D911" s="81"/>
      <c r="E911" s="2"/>
      <c r="F911" s="81"/>
      <c r="G911" s="81"/>
      <c r="H911" s="2"/>
      <c r="I911" s="38"/>
      <c r="J911" s="38"/>
      <c r="K911" s="38"/>
      <c r="S911" s="81"/>
      <c r="T911" s="81"/>
    </row>
    <row r="912" spans="1:20" ht="13">
      <c r="A912" s="3"/>
      <c r="B912" s="126"/>
      <c r="C912" s="81"/>
      <c r="D912" s="81"/>
      <c r="E912" s="2"/>
      <c r="F912" s="81"/>
      <c r="G912" s="81"/>
      <c r="H912" s="2"/>
      <c r="I912" s="38"/>
      <c r="J912" s="38"/>
      <c r="K912" s="38"/>
      <c r="S912" s="81"/>
      <c r="T912" s="81"/>
    </row>
    <row r="913" spans="1:20" ht="13">
      <c r="A913" s="3"/>
      <c r="B913" s="126"/>
      <c r="C913" s="81"/>
      <c r="D913" s="81"/>
      <c r="E913" s="2"/>
      <c r="F913" s="81"/>
      <c r="G913" s="81"/>
      <c r="H913" s="2"/>
      <c r="I913" s="38"/>
      <c r="J913" s="38"/>
      <c r="K913" s="38"/>
      <c r="S913" s="81"/>
      <c r="T913" s="81"/>
    </row>
    <row r="914" spans="1:20" ht="13">
      <c r="A914" s="3"/>
      <c r="B914" s="126"/>
      <c r="C914" s="81"/>
      <c r="D914" s="81"/>
      <c r="E914" s="2"/>
      <c r="F914" s="81"/>
      <c r="G914" s="81"/>
      <c r="H914" s="2"/>
      <c r="I914" s="38"/>
      <c r="J914" s="38"/>
      <c r="K914" s="38"/>
      <c r="S914" s="81"/>
      <c r="T914" s="81"/>
    </row>
    <row r="915" spans="1:20" ht="13">
      <c r="A915" s="3"/>
      <c r="B915" s="126"/>
      <c r="C915" s="81"/>
      <c r="D915" s="81"/>
      <c r="E915" s="2"/>
      <c r="F915" s="81"/>
      <c r="G915" s="81"/>
      <c r="H915" s="2"/>
      <c r="I915" s="38"/>
      <c r="J915" s="38"/>
      <c r="K915" s="38"/>
      <c r="S915" s="81"/>
      <c r="T915" s="81"/>
    </row>
    <row r="916" spans="1:20" ht="13">
      <c r="A916" s="3"/>
      <c r="B916" s="126"/>
      <c r="C916" s="81"/>
      <c r="D916" s="81"/>
      <c r="E916" s="2"/>
      <c r="F916" s="81"/>
      <c r="G916" s="81"/>
      <c r="H916" s="2"/>
      <c r="I916" s="38"/>
      <c r="J916" s="38"/>
      <c r="K916" s="38"/>
      <c r="S916" s="81"/>
      <c r="T916" s="81"/>
    </row>
    <row r="917" spans="1:20" ht="13">
      <c r="A917" s="3"/>
      <c r="B917" s="126"/>
      <c r="C917" s="81"/>
      <c r="D917" s="81"/>
      <c r="E917" s="2"/>
      <c r="F917" s="81"/>
      <c r="G917" s="81"/>
      <c r="H917" s="2"/>
      <c r="I917" s="38"/>
      <c r="J917" s="38"/>
      <c r="K917" s="38"/>
      <c r="S917" s="81"/>
      <c r="T917" s="81"/>
    </row>
    <row r="918" spans="1:20" ht="13">
      <c r="A918" s="3"/>
      <c r="B918" s="126"/>
      <c r="C918" s="81"/>
      <c r="D918" s="81"/>
      <c r="E918" s="2"/>
      <c r="F918" s="81"/>
      <c r="G918" s="81"/>
      <c r="H918" s="2"/>
      <c r="I918" s="38"/>
      <c r="J918" s="38"/>
      <c r="K918" s="38"/>
      <c r="S918" s="81"/>
      <c r="T918" s="81"/>
    </row>
    <row r="919" spans="1:20" ht="13">
      <c r="A919" s="3"/>
      <c r="B919" s="126"/>
      <c r="C919" s="81"/>
      <c r="D919" s="81"/>
      <c r="E919" s="2"/>
      <c r="F919" s="81"/>
      <c r="G919" s="81"/>
      <c r="H919" s="2"/>
      <c r="I919" s="38"/>
      <c r="J919" s="38"/>
      <c r="K919" s="38"/>
      <c r="S919" s="81"/>
      <c r="T919" s="81"/>
    </row>
    <row r="920" spans="1:20" ht="13">
      <c r="A920" s="3"/>
      <c r="B920" s="126"/>
      <c r="C920" s="81"/>
      <c r="D920" s="81"/>
      <c r="E920" s="2"/>
      <c r="F920" s="81"/>
      <c r="G920" s="81"/>
      <c r="H920" s="2"/>
      <c r="I920" s="38"/>
      <c r="J920" s="38"/>
      <c r="K920" s="38"/>
      <c r="S920" s="81"/>
      <c r="T920" s="81"/>
    </row>
    <row r="921" spans="1:20" ht="13">
      <c r="A921" s="3"/>
      <c r="B921" s="126"/>
      <c r="C921" s="81"/>
      <c r="D921" s="81"/>
      <c r="E921" s="2"/>
      <c r="F921" s="81"/>
      <c r="G921" s="81"/>
      <c r="H921" s="2"/>
      <c r="I921" s="38"/>
      <c r="J921" s="38"/>
      <c r="K921" s="38"/>
      <c r="S921" s="81"/>
      <c r="T921" s="81"/>
    </row>
    <row r="922" spans="1:20" ht="13">
      <c r="A922" s="3"/>
      <c r="B922" s="126"/>
      <c r="C922" s="81"/>
      <c r="D922" s="81"/>
      <c r="E922" s="2"/>
      <c r="F922" s="81"/>
      <c r="G922" s="81"/>
      <c r="H922" s="2"/>
      <c r="I922" s="38"/>
      <c r="J922" s="38"/>
      <c r="K922" s="38"/>
      <c r="S922" s="81"/>
      <c r="T922" s="81"/>
    </row>
    <row r="923" spans="1:20" ht="13">
      <c r="A923" s="3"/>
      <c r="B923" s="126"/>
      <c r="C923" s="81"/>
      <c r="D923" s="81"/>
      <c r="E923" s="2"/>
      <c r="F923" s="81"/>
      <c r="G923" s="81"/>
      <c r="H923" s="2"/>
      <c r="I923" s="38"/>
      <c r="J923" s="38"/>
      <c r="K923" s="38"/>
      <c r="S923" s="81"/>
      <c r="T923" s="81"/>
    </row>
    <row r="924" spans="1:20" ht="13">
      <c r="A924" s="3"/>
      <c r="B924" s="126"/>
      <c r="C924" s="81"/>
      <c r="D924" s="81"/>
      <c r="E924" s="2"/>
      <c r="F924" s="81"/>
      <c r="G924" s="81"/>
      <c r="H924" s="2"/>
      <c r="I924" s="38"/>
      <c r="J924" s="38"/>
      <c r="K924" s="38"/>
      <c r="S924" s="81"/>
      <c r="T924" s="81"/>
    </row>
    <row r="925" spans="1:20" ht="13">
      <c r="A925" s="3"/>
      <c r="B925" s="126"/>
      <c r="C925" s="81"/>
      <c r="D925" s="81"/>
      <c r="E925" s="2"/>
      <c r="F925" s="81"/>
      <c r="G925" s="81"/>
      <c r="H925" s="2"/>
      <c r="I925" s="38"/>
      <c r="J925" s="38"/>
      <c r="K925" s="38"/>
      <c r="S925" s="81"/>
      <c r="T925" s="81"/>
    </row>
    <row r="926" spans="1:20" ht="13">
      <c r="A926" s="3"/>
      <c r="B926" s="126"/>
      <c r="C926" s="81"/>
      <c r="D926" s="81"/>
      <c r="E926" s="2"/>
      <c r="F926" s="81"/>
      <c r="G926" s="81"/>
      <c r="H926" s="2"/>
      <c r="I926" s="38"/>
      <c r="J926" s="38"/>
      <c r="K926" s="38"/>
      <c r="S926" s="81"/>
      <c r="T926" s="81"/>
    </row>
    <row r="927" spans="1:20" ht="13">
      <c r="A927" s="3"/>
      <c r="B927" s="126"/>
      <c r="C927" s="81"/>
      <c r="D927" s="81"/>
      <c r="E927" s="2"/>
      <c r="F927" s="81"/>
      <c r="G927" s="81"/>
      <c r="H927" s="2"/>
      <c r="I927" s="38"/>
      <c r="J927" s="38"/>
      <c r="K927" s="38"/>
      <c r="S927" s="81"/>
      <c r="T927" s="81"/>
    </row>
    <row r="928" spans="1:20" ht="13">
      <c r="A928" s="3"/>
      <c r="B928" s="126"/>
      <c r="C928" s="81"/>
      <c r="D928" s="81"/>
      <c r="E928" s="2"/>
      <c r="F928" s="81"/>
      <c r="G928" s="81"/>
      <c r="H928" s="2"/>
      <c r="I928" s="38"/>
      <c r="J928" s="38"/>
      <c r="K928" s="38"/>
      <c r="S928" s="81"/>
      <c r="T928" s="81"/>
    </row>
    <row r="929" spans="1:20" ht="13">
      <c r="A929" s="3"/>
      <c r="B929" s="126"/>
      <c r="C929" s="81"/>
      <c r="D929" s="81"/>
      <c r="E929" s="2"/>
      <c r="F929" s="81"/>
      <c r="G929" s="81"/>
      <c r="H929" s="2"/>
      <c r="I929" s="38"/>
      <c r="J929" s="38"/>
      <c r="K929" s="38"/>
      <c r="S929" s="81"/>
      <c r="T929" s="81"/>
    </row>
    <row r="930" spans="1:20" ht="13">
      <c r="A930" s="3"/>
      <c r="B930" s="126"/>
      <c r="C930" s="81"/>
      <c r="D930" s="81"/>
      <c r="E930" s="2"/>
      <c r="F930" s="81"/>
      <c r="G930" s="81"/>
      <c r="H930" s="2"/>
      <c r="I930" s="38"/>
      <c r="J930" s="38"/>
      <c r="K930" s="38"/>
      <c r="S930" s="81"/>
      <c r="T930" s="81"/>
    </row>
    <row r="931" spans="1:20" ht="13">
      <c r="A931" s="3"/>
      <c r="B931" s="126"/>
      <c r="C931" s="81"/>
      <c r="D931" s="81"/>
      <c r="E931" s="2"/>
      <c r="F931" s="81"/>
      <c r="G931" s="81"/>
      <c r="H931" s="2"/>
      <c r="I931" s="38"/>
      <c r="J931" s="38"/>
      <c r="K931" s="38"/>
      <c r="S931" s="81"/>
      <c r="T931" s="81"/>
    </row>
    <row r="932" spans="1:20" ht="13">
      <c r="A932" s="3"/>
      <c r="B932" s="126"/>
      <c r="C932" s="81"/>
      <c r="D932" s="81"/>
      <c r="E932" s="2"/>
      <c r="F932" s="81"/>
      <c r="G932" s="81"/>
      <c r="H932" s="2"/>
      <c r="I932" s="38"/>
      <c r="J932" s="38"/>
      <c r="K932" s="38"/>
      <c r="S932" s="81"/>
      <c r="T932" s="81"/>
    </row>
    <row r="933" spans="1:20" ht="13">
      <c r="A933" s="3"/>
      <c r="B933" s="126"/>
      <c r="C933" s="81"/>
      <c r="D933" s="81"/>
      <c r="E933" s="2"/>
      <c r="F933" s="81"/>
      <c r="G933" s="81"/>
      <c r="H933" s="2"/>
      <c r="I933" s="38"/>
      <c r="J933" s="38"/>
      <c r="K933" s="38"/>
      <c r="S933" s="81"/>
      <c r="T933" s="81"/>
    </row>
    <row r="934" spans="1:20" ht="13">
      <c r="A934" s="3"/>
      <c r="B934" s="126"/>
      <c r="C934" s="81"/>
      <c r="D934" s="81"/>
      <c r="E934" s="2"/>
      <c r="F934" s="81"/>
      <c r="G934" s="81"/>
      <c r="H934" s="2"/>
      <c r="I934" s="38"/>
      <c r="J934" s="38"/>
      <c r="K934" s="38"/>
      <c r="S934" s="81"/>
      <c r="T934" s="81"/>
    </row>
    <row r="935" spans="1:20" ht="13">
      <c r="A935" s="3"/>
      <c r="B935" s="126"/>
      <c r="C935" s="81"/>
      <c r="D935" s="81"/>
      <c r="E935" s="2"/>
      <c r="F935" s="81"/>
      <c r="G935" s="81"/>
      <c r="H935" s="2"/>
      <c r="I935" s="38"/>
      <c r="J935" s="38"/>
      <c r="K935" s="38"/>
      <c r="S935" s="81"/>
      <c r="T935" s="81"/>
    </row>
    <row r="936" spans="1:20" ht="13">
      <c r="A936" s="3"/>
      <c r="B936" s="126"/>
      <c r="C936" s="81"/>
      <c r="D936" s="81"/>
      <c r="E936" s="2"/>
      <c r="F936" s="81"/>
      <c r="G936" s="81"/>
      <c r="H936" s="2"/>
      <c r="I936" s="38"/>
      <c r="J936" s="38"/>
      <c r="K936" s="38"/>
      <c r="S936" s="81"/>
      <c r="T936" s="81"/>
    </row>
    <row r="937" spans="1:20" ht="13">
      <c r="A937" s="3"/>
      <c r="B937" s="126"/>
      <c r="C937" s="81"/>
      <c r="D937" s="81"/>
      <c r="E937" s="2"/>
      <c r="F937" s="81"/>
      <c r="G937" s="81"/>
      <c r="H937" s="2"/>
      <c r="I937" s="38"/>
      <c r="J937" s="38"/>
      <c r="K937" s="38"/>
      <c r="S937" s="81"/>
      <c r="T937" s="81"/>
    </row>
    <row r="938" spans="1:20" ht="13">
      <c r="A938" s="3"/>
      <c r="B938" s="126"/>
      <c r="C938" s="81"/>
      <c r="D938" s="81"/>
      <c r="E938" s="2"/>
      <c r="F938" s="81"/>
      <c r="G938" s="81"/>
      <c r="H938" s="2"/>
      <c r="I938" s="38"/>
      <c r="J938" s="38"/>
      <c r="K938" s="38"/>
      <c r="S938" s="81"/>
      <c r="T938" s="81"/>
    </row>
    <row r="939" spans="1:20" ht="13">
      <c r="A939" s="3"/>
      <c r="B939" s="126"/>
      <c r="C939" s="81"/>
      <c r="D939" s="81"/>
      <c r="E939" s="2"/>
      <c r="F939" s="81"/>
      <c r="G939" s="81"/>
      <c r="H939" s="2"/>
      <c r="I939" s="38"/>
      <c r="J939" s="38"/>
      <c r="K939" s="38"/>
      <c r="S939" s="81"/>
      <c r="T939" s="81"/>
    </row>
    <row r="940" spans="1:20" ht="13">
      <c r="A940" s="3"/>
      <c r="B940" s="126"/>
      <c r="C940" s="81"/>
      <c r="D940" s="81"/>
      <c r="E940" s="2"/>
      <c r="F940" s="81"/>
      <c r="G940" s="81"/>
      <c r="H940" s="2"/>
      <c r="I940" s="38"/>
      <c r="J940" s="38"/>
      <c r="K940" s="38"/>
      <c r="S940" s="81"/>
      <c r="T940" s="81"/>
    </row>
    <row r="941" spans="1:20" ht="13">
      <c r="A941" s="3"/>
      <c r="B941" s="126"/>
      <c r="C941" s="81"/>
      <c r="D941" s="81"/>
      <c r="E941" s="2"/>
      <c r="F941" s="81"/>
      <c r="G941" s="81"/>
      <c r="H941" s="2"/>
      <c r="I941" s="38"/>
      <c r="J941" s="38"/>
      <c r="K941" s="38"/>
      <c r="S941" s="81"/>
      <c r="T941" s="81"/>
    </row>
    <row r="942" spans="1:20" ht="13">
      <c r="A942" s="3"/>
      <c r="B942" s="126"/>
      <c r="C942" s="81"/>
      <c r="D942" s="81"/>
      <c r="E942" s="2"/>
      <c r="F942" s="81"/>
      <c r="G942" s="81"/>
      <c r="H942" s="2"/>
      <c r="I942" s="38"/>
      <c r="J942" s="38"/>
      <c r="K942" s="38"/>
      <c r="S942" s="81"/>
      <c r="T942" s="81"/>
    </row>
    <row r="943" spans="1:20" ht="13">
      <c r="A943" s="3"/>
      <c r="B943" s="126"/>
      <c r="C943" s="81"/>
      <c r="D943" s="81"/>
      <c r="E943" s="2"/>
      <c r="F943" s="81"/>
      <c r="G943" s="81"/>
      <c r="H943" s="2"/>
      <c r="I943" s="38"/>
      <c r="J943" s="38"/>
      <c r="K943" s="38"/>
      <c r="S943" s="81"/>
      <c r="T943" s="81"/>
    </row>
    <row r="944" spans="1:20" ht="13">
      <c r="A944" s="3"/>
      <c r="B944" s="126"/>
      <c r="C944" s="81"/>
      <c r="D944" s="81"/>
      <c r="E944" s="2"/>
      <c r="F944" s="81"/>
      <c r="G944" s="81"/>
      <c r="H944" s="2"/>
      <c r="I944" s="38"/>
      <c r="J944" s="38"/>
      <c r="K944" s="38"/>
      <c r="S944" s="81"/>
      <c r="T944" s="81"/>
    </row>
    <row r="945" spans="1:20" ht="13">
      <c r="A945" s="3"/>
      <c r="B945" s="126"/>
      <c r="C945" s="81"/>
      <c r="D945" s="81"/>
      <c r="E945" s="2"/>
      <c r="F945" s="81"/>
      <c r="G945" s="81"/>
      <c r="H945" s="2"/>
      <c r="I945" s="38"/>
      <c r="J945" s="38"/>
      <c r="K945" s="38"/>
      <c r="S945" s="81"/>
      <c r="T945" s="81"/>
    </row>
    <row r="946" spans="1:20" ht="13">
      <c r="A946" s="3"/>
      <c r="B946" s="126"/>
      <c r="C946" s="81"/>
      <c r="D946" s="81"/>
      <c r="E946" s="2"/>
      <c r="F946" s="81"/>
      <c r="G946" s="81"/>
      <c r="H946" s="2"/>
      <c r="I946" s="38"/>
      <c r="J946" s="38"/>
      <c r="K946" s="38"/>
      <c r="S946" s="81"/>
      <c r="T946" s="81"/>
    </row>
    <row r="947" spans="1:20" ht="13">
      <c r="A947" s="3"/>
      <c r="B947" s="126"/>
      <c r="C947" s="81"/>
      <c r="D947" s="81"/>
      <c r="E947" s="2"/>
      <c r="F947" s="81"/>
      <c r="G947" s="81"/>
      <c r="H947" s="2"/>
      <c r="I947" s="38"/>
      <c r="J947" s="38"/>
      <c r="K947" s="38"/>
      <c r="S947" s="81"/>
      <c r="T947" s="81"/>
    </row>
    <row r="948" spans="1:20" ht="13">
      <c r="A948" s="3"/>
      <c r="B948" s="126"/>
      <c r="C948" s="81"/>
      <c r="D948" s="81"/>
      <c r="E948" s="2"/>
      <c r="F948" s="81"/>
      <c r="G948" s="81"/>
      <c r="H948" s="2"/>
      <c r="I948" s="38"/>
      <c r="J948" s="38"/>
      <c r="K948" s="38"/>
      <c r="S948" s="81"/>
      <c r="T948" s="81"/>
    </row>
    <row r="949" spans="1:20" ht="13">
      <c r="A949" s="3"/>
      <c r="B949" s="126"/>
      <c r="C949" s="81"/>
      <c r="D949" s="81"/>
      <c r="E949" s="2"/>
      <c r="F949" s="81"/>
      <c r="G949" s="81"/>
      <c r="H949" s="2"/>
      <c r="I949" s="38"/>
      <c r="J949" s="38"/>
      <c r="K949" s="38"/>
      <c r="S949" s="81"/>
      <c r="T949" s="81"/>
    </row>
    <row r="950" spans="1:20" ht="13">
      <c r="A950" s="3"/>
      <c r="B950" s="126"/>
      <c r="C950" s="81"/>
      <c r="D950" s="81"/>
      <c r="E950" s="2"/>
      <c r="F950" s="81"/>
      <c r="G950" s="81"/>
      <c r="H950" s="2"/>
      <c r="I950" s="38"/>
      <c r="J950" s="38"/>
      <c r="K950" s="38"/>
      <c r="S950" s="81"/>
      <c r="T950" s="81"/>
    </row>
    <row r="951" spans="1:20" ht="13">
      <c r="A951" s="3"/>
      <c r="B951" s="126"/>
      <c r="C951" s="81"/>
      <c r="D951" s="81"/>
      <c r="E951" s="2"/>
      <c r="F951" s="81"/>
      <c r="G951" s="81"/>
      <c r="H951" s="2"/>
      <c r="I951" s="38"/>
      <c r="J951" s="38"/>
      <c r="K951" s="38"/>
      <c r="S951" s="81"/>
      <c r="T951" s="81"/>
    </row>
    <row r="952" spans="1:20" ht="13">
      <c r="A952" s="3"/>
      <c r="B952" s="126"/>
      <c r="C952" s="81"/>
      <c r="D952" s="81"/>
      <c r="E952" s="2"/>
      <c r="F952" s="81"/>
      <c r="G952" s="81"/>
      <c r="H952" s="2"/>
      <c r="I952" s="38"/>
      <c r="J952" s="38"/>
      <c r="K952" s="38"/>
      <c r="S952" s="81"/>
      <c r="T952" s="81"/>
    </row>
    <row r="953" spans="1:20" ht="13">
      <c r="A953" s="3"/>
      <c r="B953" s="126"/>
      <c r="C953" s="81"/>
      <c r="D953" s="81"/>
      <c r="E953" s="2"/>
      <c r="F953" s="81"/>
      <c r="G953" s="81"/>
      <c r="H953" s="2"/>
      <c r="I953" s="38"/>
      <c r="J953" s="38"/>
      <c r="K953" s="38"/>
      <c r="S953" s="81"/>
      <c r="T953" s="81"/>
    </row>
    <row r="954" spans="1:20" ht="13">
      <c r="A954" s="3"/>
      <c r="B954" s="126"/>
      <c r="C954" s="81"/>
      <c r="D954" s="81"/>
      <c r="E954" s="2"/>
      <c r="F954" s="81"/>
      <c r="G954" s="81"/>
      <c r="H954" s="2"/>
      <c r="I954" s="38"/>
      <c r="J954" s="38"/>
      <c r="K954" s="38"/>
      <c r="S954" s="81"/>
      <c r="T954" s="81"/>
    </row>
    <row r="955" spans="1:20" ht="13">
      <c r="A955" s="3"/>
      <c r="B955" s="126"/>
      <c r="C955" s="81"/>
      <c r="D955" s="81"/>
      <c r="E955" s="2"/>
      <c r="F955" s="81"/>
      <c r="G955" s="81"/>
      <c r="H955" s="2"/>
      <c r="I955" s="38"/>
      <c r="J955" s="38"/>
      <c r="K955" s="38"/>
      <c r="S955" s="81"/>
      <c r="T955" s="81"/>
    </row>
    <row r="956" spans="1:20" ht="13">
      <c r="A956" s="3"/>
      <c r="B956" s="126"/>
      <c r="C956" s="81"/>
      <c r="D956" s="81"/>
      <c r="E956" s="2"/>
      <c r="F956" s="81"/>
      <c r="G956" s="81"/>
      <c r="H956" s="2"/>
      <c r="I956" s="38"/>
      <c r="J956" s="38"/>
      <c r="K956" s="38"/>
      <c r="S956" s="81"/>
      <c r="T956" s="81"/>
    </row>
    <row r="957" spans="1:20" ht="13">
      <c r="A957" s="3"/>
      <c r="B957" s="126"/>
      <c r="C957" s="81"/>
      <c r="D957" s="81"/>
      <c r="E957" s="2"/>
      <c r="F957" s="81"/>
      <c r="G957" s="81"/>
      <c r="H957" s="2"/>
      <c r="I957" s="38"/>
      <c r="J957" s="38"/>
      <c r="K957" s="38"/>
      <c r="S957" s="81"/>
      <c r="T957" s="81"/>
    </row>
    <row r="958" spans="1:20" ht="13">
      <c r="A958" s="3"/>
      <c r="B958" s="126"/>
      <c r="C958" s="81"/>
      <c r="D958" s="81"/>
      <c r="E958" s="2"/>
      <c r="F958" s="81"/>
      <c r="G958" s="81"/>
      <c r="H958" s="2"/>
      <c r="I958" s="38"/>
      <c r="J958" s="38"/>
      <c r="K958" s="38"/>
      <c r="S958" s="81"/>
      <c r="T958" s="81"/>
    </row>
    <row r="959" spans="1:20" ht="13">
      <c r="A959" s="3"/>
      <c r="B959" s="126"/>
      <c r="C959" s="81"/>
      <c r="D959" s="81"/>
      <c r="E959" s="2"/>
      <c r="F959" s="81"/>
      <c r="G959" s="81"/>
      <c r="H959" s="2"/>
      <c r="I959" s="38"/>
      <c r="J959" s="38"/>
      <c r="K959" s="38"/>
      <c r="S959" s="81"/>
      <c r="T959" s="81"/>
    </row>
    <row r="960" spans="1:20" ht="13">
      <c r="A960" s="3"/>
      <c r="B960" s="126"/>
      <c r="C960" s="81"/>
      <c r="D960" s="81"/>
      <c r="E960" s="2"/>
      <c r="F960" s="81"/>
      <c r="G960" s="81"/>
      <c r="H960" s="2"/>
      <c r="I960" s="38"/>
      <c r="J960" s="38"/>
      <c r="K960" s="38"/>
      <c r="S960" s="81"/>
      <c r="T960" s="81"/>
    </row>
    <row r="961" spans="1:20" ht="13">
      <c r="A961" s="3"/>
      <c r="B961" s="126"/>
      <c r="C961" s="81"/>
      <c r="D961" s="81"/>
      <c r="E961" s="2"/>
      <c r="F961" s="81"/>
      <c r="G961" s="81"/>
      <c r="H961" s="2"/>
      <c r="I961" s="38"/>
      <c r="J961" s="38"/>
      <c r="K961" s="38"/>
      <c r="S961" s="81"/>
      <c r="T961" s="81"/>
    </row>
    <row r="962" spans="1:20" ht="13">
      <c r="A962" s="3"/>
      <c r="B962" s="126"/>
      <c r="C962" s="81"/>
      <c r="D962" s="81"/>
      <c r="E962" s="2"/>
      <c r="F962" s="81"/>
      <c r="G962" s="81"/>
      <c r="H962" s="2"/>
      <c r="I962" s="38"/>
      <c r="J962" s="38"/>
      <c r="K962" s="38"/>
      <c r="S962" s="81"/>
      <c r="T962" s="81"/>
    </row>
    <row r="963" spans="1:20" ht="13">
      <c r="A963" s="3"/>
      <c r="B963" s="126"/>
      <c r="C963" s="81"/>
      <c r="D963" s="81"/>
      <c r="E963" s="2"/>
      <c r="F963" s="81"/>
      <c r="G963" s="81"/>
      <c r="H963" s="2"/>
      <c r="I963" s="38"/>
      <c r="J963" s="38"/>
      <c r="K963" s="38"/>
      <c r="S963" s="81"/>
      <c r="T963" s="81"/>
    </row>
    <row r="964" spans="1:20" ht="13">
      <c r="A964" s="3"/>
      <c r="B964" s="126"/>
      <c r="C964" s="81"/>
      <c r="D964" s="81"/>
      <c r="E964" s="2"/>
      <c r="F964" s="81"/>
      <c r="G964" s="81"/>
      <c r="H964" s="2"/>
      <c r="I964" s="38"/>
      <c r="J964" s="38"/>
      <c r="K964" s="38"/>
      <c r="S964" s="81"/>
      <c r="T964" s="81"/>
    </row>
    <row r="965" spans="1:20" ht="13">
      <c r="A965" s="3"/>
      <c r="B965" s="126"/>
      <c r="C965" s="81"/>
      <c r="D965" s="81"/>
      <c r="E965" s="2"/>
      <c r="F965" s="81"/>
      <c r="G965" s="81"/>
      <c r="H965" s="2"/>
      <c r="I965" s="38"/>
      <c r="J965" s="38"/>
      <c r="K965" s="38"/>
      <c r="S965" s="81"/>
      <c r="T965" s="81"/>
    </row>
    <row r="966" spans="1:20" ht="13">
      <c r="A966" s="3"/>
      <c r="B966" s="126"/>
      <c r="C966" s="81"/>
      <c r="D966" s="81"/>
      <c r="E966" s="2"/>
      <c r="F966" s="81"/>
      <c r="G966" s="81"/>
      <c r="H966" s="2"/>
      <c r="I966" s="38"/>
      <c r="J966" s="38"/>
      <c r="K966" s="38"/>
      <c r="S966" s="81"/>
      <c r="T966" s="81"/>
    </row>
    <row r="967" spans="1:20" ht="13">
      <c r="A967" s="3"/>
      <c r="B967" s="126"/>
      <c r="C967" s="81"/>
      <c r="D967" s="81"/>
      <c r="E967" s="2"/>
      <c r="F967" s="81"/>
      <c r="G967" s="81"/>
      <c r="H967" s="2"/>
      <c r="I967" s="38"/>
      <c r="J967" s="38"/>
      <c r="K967" s="38"/>
      <c r="S967" s="81"/>
      <c r="T967" s="81"/>
    </row>
    <row r="968" spans="1:20" ht="13">
      <c r="A968" s="3"/>
      <c r="B968" s="126"/>
      <c r="C968" s="81"/>
      <c r="D968" s="81"/>
      <c r="E968" s="2"/>
      <c r="F968" s="81"/>
      <c r="G968" s="81"/>
      <c r="H968" s="2"/>
      <c r="I968" s="38"/>
      <c r="J968" s="38"/>
      <c r="K968" s="38"/>
      <c r="S968" s="81"/>
      <c r="T968" s="81"/>
    </row>
    <row r="969" spans="1:20" ht="13">
      <c r="A969" s="3"/>
      <c r="B969" s="126"/>
      <c r="C969" s="81"/>
      <c r="D969" s="81"/>
      <c r="E969" s="2"/>
      <c r="F969" s="81"/>
      <c r="G969" s="81"/>
      <c r="H969" s="2"/>
      <c r="I969" s="38"/>
      <c r="J969" s="38"/>
      <c r="K969" s="38"/>
      <c r="S969" s="81"/>
      <c r="T969" s="81"/>
    </row>
    <row r="970" spans="1:20" ht="13">
      <c r="A970" s="3"/>
      <c r="B970" s="126"/>
      <c r="C970" s="81"/>
      <c r="D970" s="81"/>
      <c r="E970" s="2"/>
      <c r="F970" s="81"/>
      <c r="G970" s="81"/>
      <c r="H970" s="2"/>
      <c r="I970" s="38"/>
      <c r="J970" s="38"/>
      <c r="K970" s="38"/>
      <c r="S970" s="81"/>
      <c r="T970" s="81"/>
    </row>
    <row r="971" spans="1:20" ht="13">
      <c r="A971" s="3"/>
      <c r="B971" s="126"/>
      <c r="C971" s="81"/>
      <c r="D971" s="81"/>
      <c r="E971" s="2"/>
      <c r="F971" s="81"/>
      <c r="G971" s="81"/>
      <c r="H971" s="2"/>
      <c r="I971" s="38"/>
      <c r="J971" s="38"/>
      <c r="K971" s="38"/>
      <c r="S971" s="81"/>
      <c r="T971" s="81"/>
    </row>
    <row r="972" spans="1:20" ht="13">
      <c r="A972" s="3"/>
      <c r="B972" s="126"/>
      <c r="C972" s="81"/>
      <c r="D972" s="81"/>
      <c r="E972" s="2"/>
      <c r="F972" s="81"/>
      <c r="G972" s="81"/>
      <c r="H972" s="2"/>
      <c r="I972" s="38"/>
      <c r="J972" s="38"/>
      <c r="K972" s="38"/>
      <c r="S972" s="81"/>
      <c r="T972" s="81"/>
    </row>
    <row r="973" spans="1:20" ht="13">
      <c r="A973" s="3"/>
      <c r="B973" s="126"/>
      <c r="C973" s="81"/>
      <c r="D973" s="81"/>
      <c r="E973" s="2"/>
      <c r="F973" s="81"/>
      <c r="G973" s="81"/>
      <c r="H973" s="2"/>
      <c r="I973" s="38"/>
      <c r="J973" s="38"/>
      <c r="K973" s="38"/>
      <c r="S973" s="81"/>
      <c r="T973" s="81"/>
    </row>
    <row r="974" spans="1:20" ht="13">
      <c r="A974" s="3"/>
      <c r="B974" s="126"/>
      <c r="C974" s="81"/>
      <c r="D974" s="81"/>
      <c r="E974" s="2"/>
      <c r="F974" s="81"/>
      <c r="G974" s="81"/>
      <c r="H974" s="2"/>
      <c r="I974" s="38"/>
      <c r="J974" s="38"/>
      <c r="K974" s="38"/>
      <c r="S974" s="81"/>
      <c r="T974" s="81"/>
    </row>
    <row r="975" spans="1:20" ht="13">
      <c r="A975" s="3"/>
      <c r="B975" s="126"/>
      <c r="C975" s="81"/>
      <c r="D975" s="81"/>
      <c r="E975" s="2"/>
      <c r="F975" s="81"/>
      <c r="G975" s="81"/>
      <c r="H975" s="2"/>
      <c r="I975" s="38"/>
      <c r="J975" s="38"/>
      <c r="K975" s="38"/>
      <c r="S975" s="81"/>
      <c r="T975" s="81"/>
    </row>
    <row r="976" spans="1:20" ht="13">
      <c r="A976" s="3"/>
      <c r="B976" s="126"/>
      <c r="C976" s="81"/>
      <c r="D976" s="81"/>
      <c r="E976" s="2"/>
      <c r="F976" s="81"/>
      <c r="G976" s="81"/>
      <c r="H976" s="2"/>
      <c r="I976" s="38"/>
      <c r="J976" s="38"/>
      <c r="K976" s="38"/>
      <c r="S976" s="81"/>
      <c r="T976" s="81"/>
    </row>
    <row r="977" spans="1:20" ht="13">
      <c r="A977" s="3"/>
      <c r="B977" s="126"/>
      <c r="C977" s="81"/>
      <c r="D977" s="81"/>
      <c r="E977" s="2"/>
      <c r="F977" s="81"/>
      <c r="G977" s="81"/>
      <c r="H977" s="2"/>
      <c r="I977" s="38"/>
      <c r="J977" s="38"/>
      <c r="K977" s="38"/>
      <c r="S977" s="81"/>
      <c r="T977" s="81"/>
    </row>
    <row r="978" spans="1:20" ht="13">
      <c r="A978" s="3"/>
      <c r="B978" s="126"/>
      <c r="C978" s="81"/>
      <c r="D978" s="81"/>
      <c r="E978" s="2"/>
      <c r="F978" s="81"/>
      <c r="G978" s="81"/>
      <c r="H978" s="2"/>
      <c r="I978" s="38"/>
      <c r="J978" s="38"/>
      <c r="K978" s="38"/>
      <c r="S978" s="81"/>
      <c r="T978" s="81"/>
    </row>
    <row r="979" spans="1:20" ht="13">
      <c r="A979" s="3"/>
      <c r="B979" s="126"/>
      <c r="C979" s="81"/>
      <c r="D979" s="81"/>
      <c r="E979" s="2"/>
      <c r="F979" s="81"/>
      <c r="G979" s="81"/>
      <c r="H979" s="2"/>
      <c r="I979" s="38"/>
      <c r="J979" s="38"/>
      <c r="K979" s="38"/>
      <c r="S979" s="81"/>
      <c r="T979" s="81"/>
    </row>
    <row r="980" spans="1:20" ht="13">
      <c r="A980" s="3"/>
      <c r="B980" s="126"/>
      <c r="C980" s="81"/>
      <c r="D980" s="81"/>
      <c r="E980" s="2"/>
      <c r="F980" s="81"/>
      <c r="G980" s="81"/>
      <c r="H980" s="2"/>
      <c r="I980" s="38"/>
      <c r="J980" s="38"/>
      <c r="K980" s="38"/>
      <c r="S980" s="81"/>
      <c r="T980" s="81"/>
    </row>
    <row r="981" spans="1:20" ht="13">
      <c r="A981" s="3"/>
      <c r="B981" s="126"/>
      <c r="C981" s="81"/>
      <c r="D981" s="81"/>
      <c r="E981" s="2"/>
      <c r="F981" s="81"/>
      <c r="G981" s="81"/>
      <c r="H981" s="2"/>
      <c r="I981" s="38"/>
      <c r="J981" s="38"/>
      <c r="K981" s="38"/>
      <c r="S981" s="81"/>
      <c r="T981" s="81"/>
    </row>
    <row r="982" spans="1:20" ht="13">
      <c r="A982" s="3"/>
      <c r="B982" s="126"/>
      <c r="C982" s="81"/>
      <c r="D982" s="81"/>
      <c r="E982" s="2"/>
      <c r="F982" s="81"/>
      <c r="G982" s="81"/>
      <c r="H982" s="2"/>
      <c r="I982" s="38"/>
      <c r="J982" s="38"/>
      <c r="K982" s="38"/>
      <c r="S982" s="81"/>
      <c r="T982" s="81"/>
    </row>
    <row r="983" spans="1:20" ht="13">
      <c r="A983" s="3"/>
      <c r="B983" s="126"/>
      <c r="C983" s="81"/>
      <c r="D983" s="81"/>
      <c r="E983" s="2"/>
      <c r="F983" s="81"/>
      <c r="G983" s="81"/>
      <c r="H983" s="2"/>
      <c r="I983" s="38"/>
      <c r="J983" s="38"/>
      <c r="K983" s="38"/>
      <c r="S983" s="81"/>
      <c r="T983" s="81"/>
    </row>
    <row r="984" spans="1:20" ht="13">
      <c r="A984" s="3"/>
      <c r="B984" s="126"/>
      <c r="C984" s="81"/>
      <c r="D984" s="81"/>
      <c r="E984" s="2"/>
      <c r="F984" s="81"/>
      <c r="G984" s="81"/>
      <c r="H984" s="2"/>
      <c r="I984" s="38"/>
      <c r="J984" s="38"/>
      <c r="K984" s="38"/>
      <c r="S984" s="81"/>
      <c r="T984" s="81"/>
    </row>
    <row r="985" spans="1:20" ht="13">
      <c r="A985" s="3"/>
      <c r="B985" s="126"/>
      <c r="C985" s="81"/>
      <c r="D985" s="81"/>
      <c r="E985" s="2"/>
      <c r="F985" s="81"/>
      <c r="G985" s="81"/>
      <c r="H985" s="2"/>
      <c r="I985" s="38"/>
      <c r="J985" s="38"/>
      <c r="K985" s="38"/>
      <c r="S985" s="81"/>
      <c r="T985" s="81"/>
    </row>
    <row r="986" spans="1:20" ht="13">
      <c r="A986" s="3"/>
      <c r="B986" s="126"/>
      <c r="C986" s="81"/>
      <c r="D986" s="81"/>
      <c r="E986" s="2"/>
      <c r="F986" s="81"/>
      <c r="G986" s="81"/>
      <c r="H986" s="2"/>
      <c r="I986" s="38"/>
      <c r="J986" s="38"/>
      <c r="K986" s="38"/>
      <c r="S986" s="81"/>
      <c r="T986" s="81"/>
    </row>
    <row r="987" spans="1:20" ht="13">
      <c r="A987" s="3"/>
      <c r="B987" s="126"/>
      <c r="C987" s="81"/>
      <c r="D987" s="81"/>
      <c r="E987" s="2"/>
      <c r="F987" s="81"/>
      <c r="G987" s="81"/>
      <c r="H987" s="2"/>
      <c r="I987" s="38"/>
      <c r="J987" s="38"/>
      <c r="K987" s="38"/>
      <c r="S987" s="81"/>
      <c r="T987" s="81"/>
    </row>
    <row r="988" spans="1:20" ht="13">
      <c r="A988" s="3"/>
      <c r="B988" s="126"/>
      <c r="C988" s="81"/>
      <c r="D988" s="81"/>
      <c r="E988" s="2"/>
      <c r="F988" s="81"/>
      <c r="G988" s="81"/>
      <c r="H988" s="2"/>
      <c r="I988" s="38"/>
      <c r="J988" s="38"/>
      <c r="K988" s="38"/>
      <c r="S988" s="81"/>
      <c r="T988" s="81"/>
    </row>
    <row r="989" spans="1:20" ht="13">
      <c r="A989" s="3"/>
      <c r="B989" s="126"/>
      <c r="C989" s="81"/>
      <c r="D989" s="81"/>
      <c r="E989" s="2"/>
      <c r="F989" s="81"/>
      <c r="G989" s="81"/>
      <c r="H989" s="2"/>
      <c r="I989" s="38"/>
      <c r="J989" s="38"/>
      <c r="K989" s="38"/>
      <c r="S989" s="81"/>
      <c r="T989" s="81"/>
    </row>
    <row r="990" spans="1:20" ht="13">
      <c r="A990" s="3"/>
      <c r="B990" s="126"/>
      <c r="C990" s="81"/>
      <c r="D990" s="81"/>
      <c r="E990" s="2"/>
      <c r="F990" s="81"/>
      <c r="G990" s="81"/>
      <c r="H990" s="2"/>
      <c r="I990" s="38"/>
      <c r="J990" s="38"/>
      <c r="K990" s="38"/>
      <c r="S990" s="81"/>
      <c r="T990" s="81"/>
    </row>
    <row r="991" spans="1:20" ht="13">
      <c r="A991" s="3"/>
      <c r="B991" s="126"/>
      <c r="C991" s="81"/>
      <c r="D991" s="81"/>
      <c r="E991" s="2"/>
      <c r="F991" s="81"/>
      <c r="G991" s="81"/>
      <c r="H991" s="2"/>
      <c r="I991" s="38"/>
      <c r="J991" s="38"/>
      <c r="K991" s="38"/>
      <c r="S991" s="81"/>
      <c r="T991" s="81"/>
    </row>
    <row r="992" spans="1:20" ht="13">
      <c r="A992" s="3"/>
      <c r="B992" s="126"/>
      <c r="C992" s="81"/>
      <c r="D992" s="81"/>
      <c r="E992" s="2"/>
      <c r="F992" s="81"/>
      <c r="G992" s="81"/>
      <c r="H992" s="2"/>
      <c r="I992" s="38"/>
      <c r="J992" s="38"/>
      <c r="K992" s="38"/>
      <c r="S992" s="81"/>
      <c r="T992" s="81"/>
    </row>
    <row r="993" spans="1:20" ht="13">
      <c r="A993" s="3"/>
      <c r="B993" s="126"/>
      <c r="C993" s="81"/>
      <c r="D993" s="81"/>
      <c r="E993" s="2"/>
      <c r="F993" s="81"/>
      <c r="G993" s="81"/>
      <c r="H993" s="2"/>
      <c r="I993" s="38"/>
      <c r="J993" s="38"/>
      <c r="K993" s="38"/>
      <c r="S993" s="81"/>
      <c r="T993" s="81"/>
    </row>
    <row r="994" spans="1:20" ht="13">
      <c r="A994" s="3"/>
      <c r="B994" s="126"/>
      <c r="C994" s="81"/>
      <c r="D994" s="81"/>
      <c r="E994" s="2"/>
      <c r="F994" s="81"/>
      <c r="G994" s="81"/>
      <c r="H994" s="2"/>
      <c r="I994" s="38"/>
      <c r="J994" s="38"/>
      <c r="K994" s="38"/>
      <c r="S994" s="81"/>
      <c r="T994" s="81"/>
    </row>
    <row r="995" spans="1:20" ht="13">
      <c r="A995" s="3"/>
      <c r="B995" s="126"/>
      <c r="C995" s="81"/>
      <c r="D995" s="81"/>
      <c r="E995" s="2"/>
      <c r="F995" s="81"/>
      <c r="G995" s="81"/>
      <c r="H995" s="2"/>
      <c r="I995" s="38"/>
      <c r="J995" s="38"/>
      <c r="K995" s="38"/>
      <c r="S995" s="81"/>
      <c r="T995" s="81"/>
    </row>
    <row r="996" spans="1:20" ht="13">
      <c r="A996" s="3"/>
      <c r="B996" s="126"/>
      <c r="C996" s="81"/>
      <c r="D996" s="81"/>
      <c r="E996" s="2"/>
      <c r="F996" s="81"/>
      <c r="G996" s="81"/>
      <c r="H996" s="2"/>
      <c r="I996" s="38"/>
      <c r="J996" s="38"/>
      <c r="K996" s="38"/>
      <c r="S996" s="81"/>
      <c r="T996" s="81"/>
    </row>
    <row r="997" spans="1:20" ht="13">
      <c r="A997" s="3"/>
      <c r="B997" s="126"/>
      <c r="C997" s="81"/>
      <c r="D997" s="81"/>
      <c r="E997" s="2"/>
      <c r="F997" s="81"/>
      <c r="G997" s="81"/>
      <c r="H997" s="2"/>
      <c r="I997" s="38"/>
      <c r="J997" s="38"/>
      <c r="K997" s="38"/>
      <c r="S997" s="81"/>
      <c r="T997" s="81"/>
    </row>
    <row r="998" spans="1:20" ht="13">
      <c r="A998" s="3"/>
      <c r="B998" s="126"/>
      <c r="C998" s="81"/>
      <c r="D998" s="81"/>
      <c r="E998" s="2"/>
      <c r="F998" s="81"/>
      <c r="G998" s="81"/>
      <c r="H998" s="2"/>
      <c r="I998" s="38"/>
      <c r="J998" s="38"/>
      <c r="K998" s="38"/>
      <c r="S998" s="81"/>
      <c r="T998" s="81"/>
    </row>
    <row r="999" spans="1:20" ht="13">
      <c r="A999" s="3"/>
      <c r="B999" s="126"/>
      <c r="C999" s="81"/>
      <c r="D999" s="81"/>
      <c r="E999" s="2"/>
      <c r="F999" s="81"/>
      <c r="G999" s="81"/>
      <c r="H999" s="2"/>
      <c r="I999" s="38"/>
      <c r="J999" s="38"/>
      <c r="K999" s="38"/>
      <c r="S999" s="81"/>
      <c r="T999" s="81"/>
    </row>
    <row r="1000" spans="1:20" ht="13">
      <c r="A1000" s="3"/>
      <c r="B1000" s="126"/>
      <c r="C1000" s="81"/>
      <c r="D1000" s="81"/>
      <c r="E1000" s="2"/>
      <c r="F1000" s="81"/>
      <c r="G1000" s="81"/>
      <c r="H1000" s="2"/>
      <c r="I1000" s="38"/>
      <c r="J1000" s="38"/>
      <c r="K1000" s="38"/>
      <c r="S1000" s="81"/>
      <c r="T1000" s="81"/>
    </row>
    <row r="1001" spans="1:20" ht="13">
      <c r="A1001" s="3"/>
      <c r="B1001" s="126"/>
      <c r="C1001" s="81"/>
      <c r="D1001" s="81"/>
      <c r="E1001" s="2"/>
      <c r="F1001" s="81"/>
      <c r="G1001" s="81"/>
      <c r="H1001" s="2"/>
      <c r="I1001" s="38"/>
      <c r="J1001" s="38"/>
      <c r="K1001" s="38"/>
      <c r="S1001" s="81"/>
      <c r="T1001" s="81"/>
    </row>
    <row r="1002" spans="1:20" ht="13">
      <c r="A1002" s="3"/>
      <c r="B1002" s="126"/>
      <c r="C1002" s="81"/>
      <c r="D1002" s="81"/>
      <c r="E1002" s="2"/>
      <c r="F1002" s="81"/>
      <c r="G1002" s="81"/>
      <c r="H1002" s="2"/>
      <c r="I1002" s="38"/>
      <c r="J1002" s="38"/>
      <c r="K1002" s="38"/>
      <c r="S1002" s="81"/>
      <c r="T1002" s="81"/>
    </row>
    <row r="1003" spans="1:20" ht="13">
      <c r="A1003" s="3"/>
      <c r="B1003" s="126"/>
      <c r="C1003" s="81"/>
      <c r="D1003" s="81"/>
      <c r="E1003" s="2"/>
      <c r="F1003" s="81"/>
      <c r="G1003" s="81"/>
      <c r="H1003" s="2"/>
      <c r="I1003" s="38"/>
      <c r="J1003" s="38"/>
      <c r="K1003" s="38"/>
      <c r="S1003" s="81"/>
      <c r="T1003" s="81"/>
    </row>
    <row r="1004" spans="1:20" ht="13">
      <c r="A1004" s="3"/>
      <c r="B1004" s="126"/>
      <c r="C1004" s="81"/>
      <c r="D1004" s="81"/>
      <c r="E1004" s="2"/>
      <c r="F1004" s="81"/>
      <c r="G1004" s="81"/>
      <c r="H1004" s="2"/>
      <c r="I1004" s="38"/>
      <c r="J1004" s="38"/>
      <c r="K1004" s="38"/>
      <c r="S1004" s="81"/>
      <c r="T1004" s="81"/>
    </row>
    <row r="1005" spans="1:20" ht="13">
      <c r="A1005" s="3"/>
      <c r="B1005" s="126"/>
      <c r="C1005" s="81"/>
      <c r="D1005" s="81"/>
      <c r="E1005" s="2"/>
      <c r="F1005" s="81"/>
      <c r="G1005" s="81"/>
      <c r="H1005" s="2"/>
      <c r="I1005" s="38"/>
      <c r="J1005" s="38"/>
      <c r="K1005" s="38"/>
      <c r="S1005" s="81"/>
      <c r="T1005" s="81"/>
    </row>
    <row r="1006" spans="1:20" ht="13">
      <c r="A1006" s="3"/>
      <c r="B1006" s="126"/>
      <c r="C1006" s="81"/>
      <c r="D1006" s="81"/>
      <c r="E1006" s="2"/>
      <c r="F1006" s="81"/>
      <c r="G1006" s="81"/>
      <c r="H1006" s="2"/>
      <c r="I1006" s="38"/>
      <c r="J1006" s="38"/>
      <c r="K1006" s="38"/>
      <c r="S1006" s="81"/>
      <c r="T1006" s="81"/>
    </row>
    <row r="1007" spans="1:20" ht="13">
      <c r="A1007" s="3"/>
      <c r="B1007" s="126"/>
      <c r="C1007" s="81"/>
      <c r="D1007" s="81"/>
      <c r="E1007" s="2"/>
      <c r="F1007" s="81"/>
      <c r="G1007" s="81"/>
      <c r="H1007" s="2"/>
      <c r="I1007" s="38"/>
      <c r="J1007" s="38"/>
      <c r="K1007" s="38"/>
      <c r="S1007" s="81"/>
      <c r="T1007" s="81"/>
    </row>
    <row r="1008" spans="1:20" ht="13">
      <c r="A1008" s="3"/>
      <c r="B1008" s="126"/>
      <c r="C1008" s="81"/>
      <c r="D1008" s="81"/>
      <c r="E1008" s="2"/>
      <c r="F1008" s="81"/>
      <c r="G1008" s="81"/>
      <c r="H1008" s="2"/>
      <c r="I1008" s="38"/>
      <c r="J1008" s="38"/>
      <c r="K1008" s="38"/>
      <c r="S1008" s="81"/>
      <c r="T1008" s="81"/>
    </row>
    <row r="1009" spans="1:20" ht="13">
      <c r="A1009" s="3"/>
      <c r="B1009" s="126"/>
      <c r="C1009" s="81"/>
      <c r="D1009" s="81"/>
      <c r="E1009" s="2"/>
      <c r="F1009" s="81"/>
      <c r="G1009" s="81"/>
      <c r="H1009" s="2"/>
      <c r="I1009" s="38"/>
      <c r="J1009" s="38"/>
      <c r="K1009" s="38"/>
      <c r="S1009" s="81"/>
      <c r="T1009" s="81"/>
    </row>
    <row r="1010" spans="1:20" ht="13">
      <c r="A1010" s="3"/>
      <c r="B1010" s="126"/>
      <c r="C1010" s="81"/>
      <c r="D1010" s="81"/>
      <c r="E1010" s="2"/>
      <c r="F1010" s="81"/>
      <c r="G1010" s="81"/>
      <c r="H1010" s="2"/>
      <c r="I1010" s="38"/>
      <c r="J1010" s="38"/>
      <c r="K1010" s="38"/>
      <c r="S1010" s="81"/>
      <c r="T1010" s="81"/>
    </row>
    <row r="1011" spans="1:20" ht="13">
      <c r="A1011" s="3"/>
      <c r="B1011" s="126"/>
      <c r="C1011" s="81"/>
      <c r="D1011" s="81"/>
      <c r="E1011" s="2"/>
      <c r="F1011" s="81"/>
      <c r="G1011" s="81"/>
      <c r="H1011" s="2"/>
      <c r="I1011" s="38"/>
      <c r="J1011" s="38"/>
      <c r="K1011" s="38"/>
      <c r="S1011" s="81"/>
      <c r="T1011" s="81"/>
    </row>
    <row r="1012" spans="1:20" ht="13">
      <c r="A1012" s="3"/>
      <c r="B1012" s="126"/>
      <c r="C1012" s="81"/>
      <c r="D1012" s="81"/>
      <c r="E1012" s="2"/>
      <c r="F1012" s="81"/>
      <c r="G1012" s="81"/>
      <c r="H1012" s="2"/>
      <c r="I1012" s="38"/>
      <c r="J1012" s="38"/>
      <c r="K1012" s="38"/>
      <c r="S1012" s="81"/>
      <c r="T1012" s="81"/>
    </row>
    <row r="1013" spans="1:20" ht="13">
      <c r="A1013" s="3"/>
      <c r="B1013" s="126"/>
      <c r="C1013" s="81"/>
      <c r="D1013" s="81"/>
      <c r="E1013" s="2"/>
      <c r="F1013" s="81"/>
      <c r="G1013" s="81"/>
      <c r="H1013" s="2"/>
      <c r="I1013" s="38"/>
      <c r="J1013" s="38"/>
      <c r="K1013" s="38"/>
      <c r="S1013" s="81"/>
      <c r="T1013" s="81"/>
    </row>
    <row r="1014" spans="1:20" ht="13">
      <c r="A1014" s="3"/>
      <c r="B1014" s="126"/>
      <c r="C1014" s="81"/>
      <c r="D1014" s="81"/>
      <c r="E1014" s="2"/>
      <c r="F1014" s="81"/>
      <c r="G1014" s="81"/>
      <c r="H1014" s="2"/>
      <c r="I1014" s="38"/>
      <c r="J1014" s="38"/>
      <c r="K1014" s="38"/>
      <c r="S1014" s="81"/>
      <c r="T1014" s="81"/>
    </row>
    <row r="1015" spans="1:20" ht="13">
      <c r="A1015" s="3"/>
      <c r="B1015" s="126"/>
      <c r="C1015" s="81"/>
      <c r="D1015" s="81"/>
      <c r="E1015" s="2"/>
      <c r="F1015" s="81"/>
      <c r="G1015" s="81"/>
      <c r="H1015" s="2"/>
      <c r="I1015" s="38"/>
      <c r="J1015" s="38"/>
      <c r="K1015" s="38"/>
      <c r="S1015" s="81"/>
      <c r="T1015" s="81"/>
    </row>
    <row r="1016" spans="1:20" ht="13">
      <c r="A1016" s="3"/>
      <c r="B1016" s="126"/>
      <c r="C1016" s="81"/>
      <c r="D1016" s="81"/>
      <c r="E1016" s="2"/>
      <c r="F1016" s="81"/>
      <c r="G1016" s="81"/>
      <c r="H1016" s="2"/>
      <c r="I1016" s="38"/>
      <c r="J1016" s="38"/>
      <c r="K1016" s="38"/>
      <c r="S1016" s="81"/>
      <c r="T1016" s="81"/>
    </row>
    <row r="1017" spans="1:20" ht="13">
      <c r="A1017" s="3"/>
      <c r="B1017" s="126"/>
      <c r="C1017" s="81"/>
      <c r="D1017" s="81"/>
      <c r="E1017" s="2"/>
      <c r="F1017" s="81"/>
      <c r="G1017" s="81"/>
      <c r="H1017" s="2"/>
      <c r="I1017" s="38"/>
      <c r="J1017" s="38"/>
      <c r="K1017" s="38"/>
      <c r="S1017" s="81"/>
      <c r="T1017" s="81"/>
    </row>
    <row r="1018" spans="1:20" ht="13">
      <c r="A1018" s="3"/>
      <c r="B1018" s="126"/>
      <c r="C1018" s="81"/>
      <c r="D1018" s="81"/>
      <c r="E1018" s="2"/>
      <c r="F1018" s="81"/>
      <c r="G1018" s="81"/>
      <c r="H1018" s="2"/>
      <c r="I1018" s="38"/>
      <c r="J1018" s="38"/>
      <c r="K1018" s="38"/>
      <c r="S1018" s="81"/>
      <c r="T1018" s="81"/>
    </row>
    <row r="1019" spans="1:20" ht="13">
      <c r="A1019" s="3"/>
      <c r="B1019" s="126"/>
      <c r="C1019" s="81"/>
      <c r="D1019" s="81"/>
      <c r="E1019" s="2"/>
      <c r="F1019" s="81"/>
      <c r="G1019" s="81"/>
      <c r="H1019" s="2"/>
      <c r="I1019" s="38"/>
      <c r="J1019" s="38"/>
      <c r="K1019" s="38"/>
      <c r="S1019" s="81"/>
      <c r="T1019" s="81"/>
    </row>
    <row r="1020" spans="1:20" ht="13">
      <c r="A1020" s="3"/>
      <c r="B1020" s="126"/>
      <c r="C1020" s="81"/>
      <c r="D1020" s="81"/>
      <c r="E1020" s="2"/>
      <c r="F1020" s="81"/>
      <c r="G1020" s="81"/>
      <c r="H1020" s="2"/>
      <c r="I1020" s="38"/>
      <c r="J1020" s="38"/>
      <c r="K1020" s="38"/>
      <c r="S1020" s="81"/>
      <c r="T1020" s="81"/>
    </row>
    <row r="1021" spans="1:20" ht="13">
      <c r="A1021" s="3"/>
      <c r="B1021" s="126"/>
      <c r="C1021" s="81"/>
      <c r="D1021" s="81"/>
      <c r="E1021" s="2"/>
      <c r="F1021" s="81"/>
      <c r="G1021" s="81"/>
      <c r="H1021" s="2"/>
      <c r="I1021" s="38"/>
      <c r="J1021" s="38"/>
      <c r="K1021" s="38"/>
      <c r="S1021" s="81"/>
      <c r="T1021" s="81"/>
    </row>
    <row r="1022" spans="1:20" ht="13">
      <c r="A1022" s="3"/>
      <c r="B1022" s="126"/>
      <c r="C1022" s="81"/>
      <c r="D1022" s="81"/>
      <c r="E1022" s="2"/>
      <c r="F1022" s="81"/>
      <c r="G1022" s="81"/>
      <c r="H1022" s="2"/>
      <c r="I1022" s="38"/>
      <c r="J1022" s="38"/>
      <c r="K1022" s="38"/>
      <c r="S1022" s="81"/>
      <c r="T1022" s="81"/>
    </row>
    <row r="1023" spans="1:20" ht="13">
      <c r="A1023" s="3"/>
      <c r="B1023" s="126"/>
      <c r="C1023" s="81"/>
      <c r="D1023" s="81"/>
      <c r="E1023" s="2"/>
      <c r="F1023" s="81"/>
      <c r="G1023" s="81"/>
      <c r="H1023" s="2"/>
      <c r="I1023" s="38"/>
      <c r="J1023" s="38"/>
      <c r="K1023" s="38"/>
      <c r="S1023" s="81"/>
      <c r="T1023" s="81"/>
    </row>
    <row r="1024" spans="1:20" ht="13">
      <c r="A1024" s="3"/>
      <c r="B1024" s="126"/>
      <c r="C1024" s="81"/>
      <c r="D1024" s="81"/>
      <c r="E1024" s="2"/>
      <c r="F1024" s="81"/>
      <c r="G1024" s="81"/>
      <c r="H1024" s="2"/>
      <c r="I1024" s="38"/>
      <c r="J1024" s="38"/>
      <c r="K1024" s="38"/>
      <c r="S1024" s="81"/>
      <c r="T1024" s="81"/>
    </row>
    <row r="1025" spans="1:20" ht="13">
      <c r="A1025" s="3"/>
      <c r="B1025" s="126"/>
      <c r="C1025" s="81"/>
      <c r="D1025" s="81"/>
      <c r="E1025" s="2"/>
      <c r="F1025" s="81"/>
      <c r="G1025" s="81"/>
      <c r="H1025" s="2"/>
      <c r="I1025" s="38"/>
      <c r="J1025" s="38"/>
      <c r="K1025" s="38"/>
      <c r="S1025" s="81"/>
      <c r="T1025" s="81"/>
    </row>
    <row r="1026" spans="1:20" ht="13">
      <c r="A1026" s="3"/>
      <c r="B1026" s="126"/>
      <c r="C1026" s="81"/>
      <c r="D1026" s="81"/>
      <c r="E1026" s="2"/>
      <c r="F1026" s="81"/>
      <c r="G1026" s="81"/>
      <c r="H1026" s="2"/>
      <c r="I1026" s="38"/>
      <c r="J1026" s="38"/>
      <c r="K1026" s="38"/>
      <c r="S1026" s="81"/>
      <c r="T1026" s="81"/>
    </row>
    <row r="1027" spans="1:20" ht="13">
      <c r="A1027" s="3"/>
      <c r="B1027" s="126"/>
      <c r="C1027" s="81"/>
      <c r="D1027" s="81"/>
      <c r="E1027" s="2"/>
      <c r="F1027" s="81"/>
      <c r="G1027" s="81"/>
      <c r="H1027" s="2"/>
      <c r="I1027" s="38"/>
      <c r="J1027" s="38"/>
      <c r="K1027" s="38"/>
      <c r="S1027" s="81"/>
      <c r="T1027" s="81"/>
    </row>
    <row r="1028" spans="1:20" ht="13">
      <c r="A1028" s="3"/>
      <c r="B1028" s="126"/>
      <c r="C1028" s="81"/>
      <c r="D1028" s="81"/>
      <c r="E1028" s="2"/>
      <c r="F1028" s="81"/>
      <c r="G1028" s="81"/>
      <c r="H1028" s="2"/>
      <c r="I1028" s="38"/>
      <c r="J1028" s="38"/>
      <c r="K1028" s="38"/>
      <c r="S1028" s="81"/>
      <c r="T1028" s="81"/>
    </row>
    <row r="1029" spans="1:20" ht="13">
      <c r="A1029" s="3"/>
      <c r="B1029" s="126"/>
      <c r="C1029" s="81"/>
      <c r="D1029" s="81"/>
      <c r="E1029" s="2"/>
      <c r="F1029" s="81"/>
      <c r="G1029" s="81"/>
      <c r="H1029" s="2"/>
      <c r="I1029" s="38"/>
      <c r="J1029" s="38"/>
      <c r="K1029" s="38"/>
      <c r="S1029" s="81"/>
      <c r="T1029" s="81"/>
    </row>
    <row r="1030" spans="1:20" ht="13">
      <c r="A1030" s="3"/>
      <c r="B1030" s="126"/>
      <c r="C1030" s="81"/>
      <c r="D1030" s="81"/>
      <c r="E1030" s="2"/>
      <c r="F1030" s="81"/>
      <c r="G1030" s="81"/>
      <c r="H1030" s="2"/>
      <c r="I1030" s="38"/>
      <c r="J1030" s="38"/>
      <c r="K1030" s="38"/>
      <c r="S1030" s="81"/>
      <c r="T1030" s="81"/>
    </row>
    <row r="1031" spans="1:20" ht="13">
      <c r="A1031" s="3"/>
      <c r="B1031" s="126"/>
      <c r="C1031" s="81"/>
      <c r="D1031" s="81"/>
      <c r="E1031" s="2"/>
      <c r="F1031" s="81"/>
      <c r="G1031" s="81"/>
      <c r="H1031" s="2"/>
      <c r="I1031" s="38"/>
      <c r="J1031" s="38"/>
      <c r="K1031" s="38"/>
      <c r="S1031" s="81"/>
      <c r="T1031" s="81"/>
    </row>
    <row r="1032" spans="1:20" ht="13">
      <c r="A1032" s="3"/>
      <c r="B1032" s="126"/>
      <c r="C1032" s="81"/>
      <c r="D1032" s="81"/>
      <c r="E1032" s="2"/>
      <c r="F1032" s="81"/>
      <c r="G1032" s="81"/>
      <c r="H1032" s="2"/>
      <c r="I1032" s="38"/>
      <c r="J1032" s="38"/>
      <c r="K1032" s="38"/>
      <c r="S1032" s="81"/>
      <c r="T1032" s="81"/>
    </row>
    <row r="1033" spans="1:20" ht="13">
      <c r="A1033" s="3"/>
      <c r="B1033" s="126"/>
      <c r="C1033" s="81"/>
      <c r="D1033" s="81"/>
      <c r="E1033" s="2"/>
      <c r="F1033" s="81"/>
      <c r="G1033" s="81"/>
      <c r="H1033" s="2"/>
      <c r="I1033" s="38"/>
      <c r="J1033" s="38"/>
      <c r="K1033" s="38"/>
      <c r="S1033" s="81"/>
      <c r="T1033" s="81"/>
    </row>
    <row r="1034" spans="1:20" ht="13">
      <c r="A1034" s="3"/>
      <c r="B1034" s="126"/>
      <c r="C1034" s="81"/>
      <c r="D1034" s="81"/>
      <c r="E1034" s="2"/>
      <c r="F1034" s="81"/>
      <c r="G1034" s="81"/>
      <c r="H1034" s="2"/>
      <c r="I1034" s="38"/>
      <c r="J1034" s="38"/>
      <c r="K1034" s="38"/>
      <c r="S1034" s="81"/>
      <c r="T1034" s="81"/>
    </row>
    <row r="1035" spans="1:20" ht="13">
      <c r="A1035" s="3"/>
      <c r="B1035" s="126"/>
      <c r="C1035" s="81"/>
      <c r="D1035" s="81"/>
      <c r="E1035" s="2"/>
      <c r="F1035" s="81"/>
      <c r="G1035" s="81"/>
      <c r="H1035" s="2"/>
      <c r="I1035" s="38"/>
      <c r="J1035" s="38"/>
      <c r="K1035" s="38"/>
      <c r="S1035" s="81"/>
      <c r="T1035" s="81"/>
    </row>
  </sheetData>
  <conditionalFormatting sqref="C275:D335">
    <cfRule type="cellIs" dxfId="0" priority="1" operator="greaterThanOrEqual">
      <formula>1</formula>
    </cfRule>
  </conditionalFormatting>
  <conditionalFormatting sqref="J225:J229">
    <cfRule type="colorScale" priority="2">
      <colorScale>
        <cfvo type="min"/>
        <cfvo type="percentile" val="50"/>
        <cfvo type="max"/>
        <color rgb="FF57BB8A"/>
        <color rgb="FFFFD666"/>
        <color rgb="FFE67C73"/>
      </colorScale>
    </cfRule>
  </conditionalFormatting>
  <pageMargins left="0.7" right="0.7" top="0.75" bottom="0.75" header="0.3" footer="0.3"/>
  <drawing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30"/>
  <sheetViews>
    <sheetView topLeftCell="W192" workbookViewId="0"/>
  </sheetViews>
  <sheetFormatPr baseColWidth="10" defaultColWidth="12.6640625" defaultRowHeight="15.75" customHeight="1"/>
  <cols>
    <col min="1" max="1" width="37.33203125" customWidth="1"/>
    <col min="2" max="2" width="15" customWidth="1"/>
    <col min="3" max="3" width="18.1640625" customWidth="1"/>
    <col min="4" max="4" width="23.5" customWidth="1"/>
    <col min="8" max="8" width="41.6640625" customWidth="1"/>
  </cols>
  <sheetData>
    <row r="1" spans="1:27" ht="15.75" customHeight="1">
      <c r="A1" s="2" t="s">
        <v>643</v>
      </c>
      <c r="E1" s="2"/>
      <c r="F1" s="2"/>
      <c r="G1" s="2"/>
      <c r="H1" s="3" t="s">
        <v>644</v>
      </c>
      <c r="M1" s="2"/>
      <c r="N1" s="2"/>
      <c r="O1" s="2" t="s">
        <v>645</v>
      </c>
      <c r="S1" s="39" t="s">
        <v>646</v>
      </c>
      <c r="V1" s="2" t="s">
        <v>647</v>
      </c>
      <c r="X1" s="39" t="s">
        <v>648</v>
      </c>
      <c r="Z1" s="2" t="s">
        <v>649</v>
      </c>
      <c r="AA1" s="2"/>
    </row>
    <row r="2" spans="1:27" ht="15.75" customHeight="1">
      <c r="A2" s="1" t="s">
        <v>650</v>
      </c>
      <c r="B2" s="1" t="s">
        <v>651</v>
      </c>
      <c r="C2" s="1" t="s">
        <v>652</v>
      </c>
      <c r="D2" s="1" t="s">
        <v>653</v>
      </c>
      <c r="E2" s="2"/>
      <c r="F2" s="2"/>
      <c r="G2" s="2"/>
      <c r="H2" s="127" t="s">
        <v>654</v>
      </c>
      <c r="I2" s="127" t="s">
        <v>652</v>
      </c>
      <c r="J2" s="127" t="s">
        <v>655</v>
      </c>
      <c r="K2" s="127" t="s">
        <v>656</v>
      </c>
      <c r="L2" s="127" t="s">
        <v>657</v>
      </c>
      <c r="M2" s="2"/>
      <c r="N2" s="2"/>
      <c r="O2" s="127" t="s">
        <v>658</v>
      </c>
      <c r="P2" s="127" t="s">
        <v>659</v>
      </c>
      <c r="Q2" s="127" t="s">
        <v>660</v>
      </c>
      <c r="R2" s="127" t="s">
        <v>661</v>
      </c>
      <c r="S2" s="127" t="s">
        <v>662</v>
      </c>
      <c r="V2" s="128" t="s">
        <v>654</v>
      </c>
      <c r="W2" s="128" t="s">
        <v>663</v>
      </c>
      <c r="Z2" s="1" t="s">
        <v>664</v>
      </c>
      <c r="AA2" s="1" t="s">
        <v>665</v>
      </c>
    </row>
    <row r="3" spans="1:27" ht="15">
      <c r="A3" s="2" t="s">
        <v>666</v>
      </c>
      <c r="B3" s="6" t="str">
        <f t="shared" ref="B3:D3" si="0">B9</f>
        <v>COUNTA of Neighbourhood</v>
      </c>
      <c r="C3" s="6" t="str">
        <f t="shared" si="0"/>
        <v>SUM of Number of residents (2022)</v>
      </c>
      <c r="D3" s="5" t="str">
        <f t="shared" si="0"/>
        <v>SUM of Number of residents (2022)</v>
      </c>
      <c r="E3" s="2"/>
      <c r="F3" s="2"/>
      <c r="G3" s="2"/>
      <c r="H3" s="3" t="s">
        <v>667</v>
      </c>
      <c r="I3" s="2">
        <f t="shared" ref="I3:I4" si="1">INDEX($V$2:$W$116, MATCH($H3,$V$2:$V$116, 0), 2)</f>
        <v>6236</v>
      </c>
      <c r="J3" s="2" t="str">
        <f t="shared" ref="J3:L3" si="2">INDEX($Z$3:$AA$23, MATCH(P3, $Z$3:$Z$23, 0), 2)</f>
        <v>Heating option to be determined: hybrid heat pumps</v>
      </c>
      <c r="K3" s="2" t="str">
        <f t="shared" si="2"/>
        <v>Heating option to be determined: heat pumps, heat networks or a mix</v>
      </c>
      <c r="L3" s="2" t="str">
        <f t="shared" si="2"/>
        <v>Ambient heat</v>
      </c>
      <c r="M3" s="2"/>
      <c r="N3" s="2"/>
      <c r="O3" s="129" t="s">
        <v>667</v>
      </c>
      <c r="P3" s="129" t="s">
        <v>668</v>
      </c>
      <c r="Q3" s="129" t="s">
        <v>669</v>
      </c>
      <c r="R3" s="129" t="s">
        <v>670</v>
      </c>
      <c r="S3" s="129" t="s">
        <v>671</v>
      </c>
      <c r="V3" s="130" t="s">
        <v>667</v>
      </c>
      <c r="W3" s="131">
        <v>6236</v>
      </c>
      <c r="Z3" s="2" t="s">
        <v>672</v>
      </c>
      <c r="AA3" s="2" t="s">
        <v>673</v>
      </c>
    </row>
    <row r="4" spans="1:27" ht="15">
      <c r="A4" s="2" t="s">
        <v>148</v>
      </c>
      <c r="B4" s="6">
        <f t="shared" ref="B4:D4" si="3">B10</f>
        <v>43</v>
      </c>
      <c r="C4" s="6">
        <f t="shared" si="3"/>
        <v>271030</v>
      </c>
      <c r="D4" s="5">
        <f t="shared" si="3"/>
        <v>0.48983744980173721</v>
      </c>
      <c r="E4" s="2"/>
      <c r="F4" s="2"/>
      <c r="G4" s="2"/>
      <c r="H4" s="3" t="s">
        <v>674</v>
      </c>
      <c r="I4" s="2">
        <f t="shared" si="1"/>
        <v>8287</v>
      </c>
      <c r="J4" s="2" t="str">
        <f t="shared" ref="J4:L4" si="4">INDEX($Z$3:$AA$23, MATCH(P4, $Z$3:$Z$23, 0), 2)</f>
        <v>Heating option to be determined: hybrid heat pumps</v>
      </c>
      <c r="K4" s="2" t="str">
        <f t="shared" si="4"/>
        <v>Heating option to be determined: heat pumps, heat networks or a mix</v>
      </c>
      <c r="L4" s="2" t="str">
        <f t="shared" si="4"/>
        <v>Ambient heat</v>
      </c>
      <c r="M4" s="2"/>
      <c r="N4" s="2"/>
      <c r="O4" s="132" t="s">
        <v>674</v>
      </c>
      <c r="P4" s="132" t="s">
        <v>668</v>
      </c>
      <c r="Q4" s="132" t="s">
        <v>669</v>
      </c>
      <c r="R4" s="132" t="s">
        <v>670</v>
      </c>
      <c r="S4" s="132" t="s">
        <v>675</v>
      </c>
      <c r="V4" s="130" t="s">
        <v>676</v>
      </c>
      <c r="W4" s="131">
        <v>1761</v>
      </c>
      <c r="Z4" s="2" t="s">
        <v>677</v>
      </c>
      <c r="AA4" s="2" t="s">
        <v>678</v>
      </c>
    </row>
    <row r="5" spans="1:27" ht="43">
      <c r="A5" s="2" t="s">
        <v>679</v>
      </c>
      <c r="B5" s="6">
        <f t="shared" ref="B5:D5" si="5">SUM(B11:B12)</f>
        <v>55</v>
      </c>
      <c r="C5" s="6">
        <f t="shared" si="5"/>
        <v>256140</v>
      </c>
      <c r="D5" s="5">
        <f t="shared" si="5"/>
        <v>0.46292648191055219</v>
      </c>
      <c r="E5" s="2"/>
      <c r="F5" s="2"/>
      <c r="G5" s="2"/>
      <c r="H5" s="3" t="s">
        <v>680</v>
      </c>
      <c r="I5" s="2">
        <f>SUM(W28,W4,W62,W93,W105,W92)</f>
        <v>14698</v>
      </c>
      <c r="J5" s="2" t="str">
        <f t="shared" ref="J5:L5" si="6">INDEX($Z$3:$AA$23, MATCH(P5, $Z$3:$Z$23, 0), 2)</f>
        <v>Heating option to be determined: hybrid heat pumps</v>
      </c>
      <c r="K5" s="2" t="str">
        <f t="shared" si="6"/>
        <v>Heating option to be determined: heat pumps, heat networks or a mix</v>
      </c>
      <c r="L5" s="2" t="str">
        <f t="shared" si="6"/>
        <v>Geothermal and ambient heat</v>
      </c>
      <c r="M5" s="2"/>
      <c r="N5" s="2"/>
      <c r="O5" s="129" t="s">
        <v>680</v>
      </c>
      <c r="P5" s="129" t="s">
        <v>668</v>
      </c>
      <c r="Q5" s="129" t="s">
        <v>669</v>
      </c>
      <c r="R5" s="129" t="s">
        <v>681</v>
      </c>
      <c r="S5" s="129" t="s">
        <v>682</v>
      </c>
      <c r="V5" s="130" t="s">
        <v>674</v>
      </c>
      <c r="W5" s="131">
        <v>8287</v>
      </c>
      <c r="Z5" s="2" t="s">
        <v>683</v>
      </c>
      <c r="AA5" s="2" t="s">
        <v>684</v>
      </c>
    </row>
    <row r="6" spans="1:27" ht="15">
      <c r="E6" s="2"/>
      <c r="F6" s="2"/>
      <c r="G6" s="2"/>
      <c r="H6" s="3" t="s">
        <v>685</v>
      </c>
      <c r="I6" s="2">
        <f t="shared" ref="I6:I11" si="7">INDEX($V$2:$W$116, MATCH($H6,$V$2:$V$116, 0), 2)</f>
        <v>4889</v>
      </c>
      <c r="J6" s="2" t="str">
        <f t="shared" ref="J6:L6" si="8">INDEX($Z$3:$AA$23, MATCH(P6, $Z$3:$Z$23, 0), 2)</f>
        <v>Heat district after 2030</v>
      </c>
      <c r="K6" s="2" t="str">
        <f t="shared" si="8"/>
        <v>Heat district</v>
      </c>
      <c r="L6" s="2" t="str">
        <f t="shared" si="8"/>
        <v>Geothermal and residual heat</v>
      </c>
      <c r="M6" s="2"/>
      <c r="N6" s="2"/>
      <c r="O6" s="132" t="s">
        <v>685</v>
      </c>
      <c r="P6" s="132" t="s">
        <v>686</v>
      </c>
      <c r="Q6" s="132" t="s">
        <v>687</v>
      </c>
      <c r="R6" s="132" t="s">
        <v>677</v>
      </c>
      <c r="S6" s="132" t="s">
        <v>688</v>
      </c>
      <c r="V6" s="130" t="s">
        <v>685</v>
      </c>
      <c r="W6" s="131">
        <v>4889</v>
      </c>
      <c r="Z6" s="2" t="s">
        <v>681</v>
      </c>
      <c r="AA6" s="2" t="s">
        <v>684</v>
      </c>
    </row>
    <row r="7" spans="1:27" ht="15">
      <c r="A7" s="2"/>
      <c r="B7" s="6"/>
      <c r="C7" s="2"/>
      <c r="D7" s="2"/>
      <c r="E7" s="2"/>
      <c r="F7" s="2"/>
      <c r="G7" s="2"/>
      <c r="H7" s="3" t="s">
        <v>689</v>
      </c>
      <c r="I7" s="2">
        <f t="shared" si="7"/>
        <v>9269</v>
      </c>
      <c r="J7" s="2" t="str">
        <f t="shared" ref="J7:L7" si="9">INDEX($Z$3:$AA$23, MATCH(P7, $Z$3:$Z$23, 0), 2)</f>
        <v>Heating option to be determined: hybrid heat pumps</v>
      </c>
      <c r="K7" s="2" t="str">
        <f t="shared" si="9"/>
        <v>Heating option to be determined: heat pumps, heat networks or a mix</v>
      </c>
      <c r="L7" s="2" t="str">
        <f t="shared" si="9"/>
        <v>Geothermal and ambient heat</v>
      </c>
      <c r="M7" s="2"/>
      <c r="N7" s="2"/>
      <c r="O7" s="129" t="s">
        <v>689</v>
      </c>
      <c r="P7" s="129" t="s">
        <v>668</v>
      </c>
      <c r="Q7" s="129" t="s">
        <v>669</v>
      </c>
      <c r="R7" s="129" t="s">
        <v>690</v>
      </c>
      <c r="S7" s="129" t="s">
        <v>691</v>
      </c>
      <c r="V7" s="130" t="s">
        <v>689</v>
      </c>
      <c r="W7" s="131">
        <v>9269</v>
      </c>
      <c r="Z7" s="2" t="s">
        <v>690</v>
      </c>
      <c r="AA7" s="2" t="s">
        <v>684</v>
      </c>
    </row>
    <row r="8" spans="1:27" ht="15">
      <c r="A8" s="211"/>
      <c r="B8" s="208" t="s">
        <v>1239</v>
      </c>
      <c r="C8" s="209"/>
      <c r="D8" s="210"/>
      <c r="E8" s="2"/>
      <c r="F8" s="2"/>
      <c r="G8" s="2"/>
      <c r="H8" s="3" t="s">
        <v>694</v>
      </c>
      <c r="I8" s="2">
        <f t="shared" si="7"/>
        <v>3907</v>
      </c>
      <c r="J8" s="2" t="str">
        <f t="shared" ref="J8:L8" si="10">INDEX($Z$3:$AA$23, MATCH(P8, $Z$3:$Z$23, 0), 2)</f>
        <v>Heat district before 2030</v>
      </c>
      <c r="K8" s="2" t="str">
        <f t="shared" si="10"/>
        <v>Heat district</v>
      </c>
      <c r="L8" s="2" t="str">
        <f t="shared" si="10"/>
        <v>Geothermal and residual heat</v>
      </c>
      <c r="M8" s="2"/>
      <c r="N8" s="2"/>
      <c r="O8" s="132" t="s">
        <v>695</v>
      </c>
      <c r="P8" s="132" t="s">
        <v>696</v>
      </c>
      <c r="Q8" s="132" t="s">
        <v>687</v>
      </c>
      <c r="R8" s="132" t="s">
        <v>677</v>
      </c>
      <c r="S8" s="132" t="s">
        <v>697</v>
      </c>
      <c r="V8" s="130" t="s">
        <v>694</v>
      </c>
      <c r="W8" s="131">
        <v>3907</v>
      </c>
      <c r="Z8" s="2" t="s">
        <v>698</v>
      </c>
      <c r="AA8" s="2" t="s">
        <v>699</v>
      </c>
    </row>
    <row r="9" spans="1:27" ht="15">
      <c r="A9" s="208" t="s">
        <v>656</v>
      </c>
      <c r="B9" s="211" t="s">
        <v>692</v>
      </c>
      <c r="C9" s="212" t="s">
        <v>693</v>
      </c>
      <c r="D9" s="213" t="s">
        <v>693</v>
      </c>
      <c r="E9" s="2"/>
      <c r="F9" s="2"/>
      <c r="G9" s="2"/>
      <c r="H9" s="3" t="s">
        <v>700</v>
      </c>
      <c r="I9" s="2">
        <f t="shared" si="7"/>
        <v>3011</v>
      </c>
      <c r="J9" s="2" t="str">
        <f t="shared" ref="J9:L9" si="11">INDEX($Z$3:$AA$23, MATCH(P9, $Z$3:$Z$23, 0), 2)</f>
        <v>Mix of heat districts and heat pumps</v>
      </c>
      <c r="K9" s="2" t="str">
        <f t="shared" si="11"/>
        <v>Mix of heat districts and heat pumps</v>
      </c>
      <c r="L9" s="2" t="str">
        <f t="shared" si="11"/>
        <v>Geothermal, residual and ambient heat</v>
      </c>
      <c r="M9" s="2"/>
      <c r="N9" s="2"/>
      <c r="O9" s="129" t="s">
        <v>700</v>
      </c>
      <c r="P9" s="129" t="s">
        <v>701</v>
      </c>
      <c r="Q9" s="129" t="s">
        <v>701</v>
      </c>
      <c r="R9" s="129" t="s">
        <v>698</v>
      </c>
      <c r="S9" s="129" t="s">
        <v>702</v>
      </c>
      <c r="V9" s="130" t="s">
        <v>700</v>
      </c>
      <c r="W9" s="131">
        <v>3011</v>
      </c>
      <c r="Z9" s="2" t="s">
        <v>703</v>
      </c>
      <c r="AA9" s="2" t="s">
        <v>704</v>
      </c>
    </row>
    <row r="10" spans="1:27" ht="15">
      <c r="A10" s="211" t="s">
        <v>666</v>
      </c>
      <c r="B10" s="229">
        <v>43</v>
      </c>
      <c r="C10" s="230">
        <v>271030</v>
      </c>
      <c r="D10" s="216">
        <v>0.48983744980173721</v>
      </c>
      <c r="E10" s="2"/>
      <c r="F10" s="2"/>
      <c r="G10" s="2"/>
      <c r="H10" s="3" t="s">
        <v>705</v>
      </c>
      <c r="I10" s="2">
        <f t="shared" si="7"/>
        <v>6524</v>
      </c>
      <c r="J10" s="2" t="str">
        <f t="shared" ref="J10:L10" si="12">INDEX($Z$3:$AA$23, MATCH(P10, $Z$3:$Z$23, 0), 2)</f>
        <v>Heating option to be determined: hybrid heat pumps</v>
      </c>
      <c r="K10" s="2" t="str">
        <f t="shared" si="12"/>
        <v>Heating option to be determined: heat pumps, heat networks or a mix</v>
      </c>
      <c r="L10" s="2" t="str">
        <f t="shared" si="12"/>
        <v>Ambient heat</v>
      </c>
      <c r="M10" s="2"/>
      <c r="N10" s="2"/>
      <c r="O10" s="132" t="s">
        <v>705</v>
      </c>
      <c r="P10" s="132" t="s">
        <v>668</v>
      </c>
      <c r="Q10" s="132" t="s">
        <v>669</v>
      </c>
      <c r="R10" s="132" t="s">
        <v>670</v>
      </c>
      <c r="S10" s="132" t="s">
        <v>706</v>
      </c>
      <c r="V10" s="130" t="s">
        <v>705</v>
      </c>
      <c r="W10" s="131">
        <v>6524</v>
      </c>
      <c r="Z10" s="2" t="s">
        <v>701</v>
      </c>
      <c r="AA10" s="2" t="s">
        <v>704</v>
      </c>
    </row>
    <row r="11" spans="1:27" ht="15">
      <c r="A11" s="214" t="s">
        <v>148</v>
      </c>
      <c r="B11" s="231">
        <v>20</v>
      </c>
      <c r="C11" s="232">
        <v>46360</v>
      </c>
      <c r="D11" s="217">
        <v>8.3787271419431555E-2</v>
      </c>
      <c r="E11" s="2"/>
      <c r="F11" s="2"/>
      <c r="G11" s="2"/>
      <c r="H11" s="3" t="s">
        <v>708</v>
      </c>
      <c r="I11" s="2">
        <f t="shared" si="7"/>
        <v>2298</v>
      </c>
      <c r="J11" s="2" t="str">
        <f t="shared" ref="J11:L11" si="13">INDEX($Z$3:$AA$23, MATCH(P11, $Z$3:$Z$23, 0), 2)</f>
        <v>Heating option to be determined: hybrid heat pumps</v>
      </c>
      <c r="K11" s="2" t="str">
        <f t="shared" si="13"/>
        <v>Heating option to be determined: heat pumps, heat networks or a mix</v>
      </c>
      <c r="L11" s="2" t="str">
        <f t="shared" si="13"/>
        <v>Ambient heat</v>
      </c>
      <c r="M11" s="2"/>
      <c r="N11" s="2"/>
      <c r="O11" s="129" t="s">
        <v>708</v>
      </c>
      <c r="P11" s="129" t="s">
        <v>668</v>
      </c>
      <c r="Q11" s="129" t="s">
        <v>669</v>
      </c>
      <c r="R11" s="129" t="s">
        <v>670</v>
      </c>
      <c r="S11" s="129" t="s">
        <v>706</v>
      </c>
      <c r="V11" s="130" t="s">
        <v>708</v>
      </c>
      <c r="W11" s="131">
        <v>2298</v>
      </c>
      <c r="Z11" s="2" t="s">
        <v>709</v>
      </c>
      <c r="AA11" s="2" t="s">
        <v>704</v>
      </c>
    </row>
    <row r="12" spans="1:27" ht="15">
      <c r="A12" s="214" t="s">
        <v>707</v>
      </c>
      <c r="B12" s="231">
        <v>35</v>
      </c>
      <c r="C12" s="232">
        <v>209780</v>
      </c>
      <c r="D12" s="217">
        <v>0.37913921049112065</v>
      </c>
      <c r="E12" s="2"/>
      <c r="F12" s="2"/>
      <c r="G12" s="2"/>
      <c r="H12" s="3" t="s">
        <v>710</v>
      </c>
      <c r="I12" s="2">
        <f>SUM(W12)</f>
        <v>4498</v>
      </c>
      <c r="J12" s="2" t="str">
        <f t="shared" ref="J12:L12" si="14">INDEX($Z$3:$AA$23, MATCH(P12, $Z$3:$Z$23, 0), 2)</f>
        <v>Heat district after 2030</v>
      </c>
      <c r="K12" s="2" t="str">
        <f t="shared" si="14"/>
        <v>Heat district</v>
      </c>
      <c r="L12" s="2" t="str">
        <f t="shared" si="14"/>
        <v>Geothermal heat</v>
      </c>
      <c r="M12" s="2"/>
      <c r="N12" s="2"/>
      <c r="O12" s="132" t="s">
        <v>710</v>
      </c>
      <c r="P12" s="132" t="s">
        <v>711</v>
      </c>
      <c r="Q12" s="132" t="s">
        <v>687</v>
      </c>
      <c r="R12" s="132" t="s">
        <v>672</v>
      </c>
      <c r="S12" s="132" t="s">
        <v>712</v>
      </c>
      <c r="V12" s="130" t="s">
        <v>713</v>
      </c>
      <c r="W12" s="131">
        <v>4498</v>
      </c>
      <c r="Z12" s="2" t="s">
        <v>714</v>
      </c>
      <c r="AA12" s="2" t="s">
        <v>704</v>
      </c>
    </row>
    <row r="13" spans="1:27" ht="15">
      <c r="A13" s="214" t="s">
        <v>704</v>
      </c>
      <c r="B13" s="231">
        <v>8</v>
      </c>
      <c r="C13" s="232">
        <v>26136</v>
      </c>
      <c r="D13" s="217">
        <v>4.7236068287710598E-2</v>
      </c>
      <c r="E13" s="2"/>
      <c r="F13" s="2"/>
      <c r="G13" s="2"/>
      <c r="H13" s="3" t="s">
        <v>716</v>
      </c>
      <c r="I13" s="2">
        <f t="shared" ref="I13:I15" si="15">INDEX($V$2:$W$116, MATCH($H13,$V$2:$V$116, 0), 2)</f>
        <v>6042</v>
      </c>
      <c r="J13" s="2" t="str">
        <f t="shared" ref="J13:L13" si="16">INDEX($Z$3:$AA$23, MATCH(P13, $Z$3:$Z$23, 0), 2)</f>
        <v>Heating option to be determined: hybrid heat pumps</v>
      </c>
      <c r="K13" s="2" t="str">
        <f t="shared" si="16"/>
        <v>Heating option to be determined: heat pumps, heat networks or a mix</v>
      </c>
      <c r="L13" s="2" t="str">
        <f t="shared" si="16"/>
        <v>Ambient heat</v>
      </c>
      <c r="M13" s="2"/>
      <c r="N13" s="2"/>
      <c r="O13" s="129" t="s">
        <v>716</v>
      </c>
      <c r="P13" s="129" t="s">
        <v>668</v>
      </c>
      <c r="Q13" s="129" t="s">
        <v>669</v>
      </c>
      <c r="R13" s="129" t="s">
        <v>670</v>
      </c>
      <c r="S13" s="129" t="s">
        <v>706</v>
      </c>
      <c r="V13" s="130" t="s">
        <v>716</v>
      </c>
      <c r="W13" s="131">
        <v>6042</v>
      </c>
      <c r="Z13" s="2" t="s">
        <v>670</v>
      </c>
      <c r="AA13" s="2" t="s">
        <v>717</v>
      </c>
    </row>
    <row r="14" spans="1:27" ht="15">
      <c r="A14" s="218" t="s">
        <v>715</v>
      </c>
      <c r="B14" s="233">
        <v>106</v>
      </c>
      <c r="C14" s="234">
        <v>553306</v>
      </c>
      <c r="D14" s="219">
        <v>1</v>
      </c>
      <c r="E14" s="2"/>
      <c r="F14" s="2"/>
      <c r="G14" s="2"/>
      <c r="H14" s="3" t="s">
        <v>718</v>
      </c>
      <c r="I14" s="2">
        <f t="shared" si="15"/>
        <v>374</v>
      </c>
      <c r="J14" s="2" t="str">
        <f t="shared" ref="J14:L14" si="17">INDEX($Z$3:$AA$23, MATCH(P14, $Z$3:$Z$23, 0), 2)</f>
        <v>Heat district after 2030</v>
      </c>
      <c r="K14" s="2" t="str">
        <f t="shared" si="17"/>
        <v>Heat district</v>
      </c>
      <c r="L14" s="2" t="str">
        <f t="shared" si="17"/>
        <v>Geothermal heat</v>
      </c>
      <c r="M14" s="2"/>
      <c r="N14" s="2"/>
      <c r="O14" s="132" t="s">
        <v>718</v>
      </c>
      <c r="P14" s="132" t="s">
        <v>686</v>
      </c>
      <c r="Q14" s="132" t="s">
        <v>687</v>
      </c>
      <c r="R14" s="132" t="s">
        <v>672</v>
      </c>
      <c r="S14" s="132" t="s">
        <v>719</v>
      </c>
      <c r="V14" s="130" t="s">
        <v>718</v>
      </c>
      <c r="W14" s="131">
        <v>374</v>
      </c>
      <c r="Z14" s="2" t="s">
        <v>687</v>
      </c>
      <c r="AA14" s="2" t="s">
        <v>666</v>
      </c>
    </row>
    <row r="15" spans="1:27" ht="15">
      <c r="E15" s="2"/>
      <c r="F15" s="2"/>
      <c r="G15" s="2"/>
      <c r="H15" s="3" t="s">
        <v>720</v>
      </c>
      <c r="I15" s="2">
        <f t="shared" si="15"/>
        <v>1978</v>
      </c>
      <c r="J15" s="2" t="str">
        <f t="shared" ref="J15:L15" si="18">INDEX($Z$3:$AA$23, MATCH(P15, $Z$3:$Z$23, 0), 2)</f>
        <v>Heat district before 2030</v>
      </c>
      <c r="K15" s="2" t="str">
        <f t="shared" si="18"/>
        <v>Heat district</v>
      </c>
      <c r="L15" s="2" t="str">
        <f t="shared" si="18"/>
        <v>Geothermal and residual heat</v>
      </c>
      <c r="M15" s="2"/>
      <c r="N15" s="2"/>
      <c r="O15" s="129" t="s">
        <v>720</v>
      </c>
      <c r="P15" s="129" t="s">
        <v>721</v>
      </c>
      <c r="Q15" s="129" t="s">
        <v>687</v>
      </c>
      <c r="R15" s="129" t="s">
        <v>677</v>
      </c>
      <c r="S15" s="129" t="s">
        <v>722</v>
      </c>
      <c r="V15" s="130" t="s">
        <v>720</v>
      </c>
      <c r="W15" s="131">
        <v>1978</v>
      </c>
      <c r="Z15" s="2" t="s">
        <v>711</v>
      </c>
      <c r="AA15" s="2" t="s">
        <v>723</v>
      </c>
    </row>
    <row r="16" spans="1:27" ht="29">
      <c r="E16" s="2"/>
      <c r="F16" s="2"/>
      <c r="G16" s="2"/>
      <c r="H16" s="3" t="s">
        <v>724</v>
      </c>
      <c r="I16" s="2">
        <f>SUM(W96,W112)</f>
        <v>16480</v>
      </c>
      <c r="J16" s="2" t="str">
        <f t="shared" ref="J16:L16" si="19">INDEX($Z$3:$AA$23, MATCH(P16, $Z$3:$Z$23, 0), 2)</f>
        <v>Heat district before 2030</v>
      </c>
      <c r="K16" s="2" t="str">
        <f t="shared" si="19"/>
        <v>Heat district</v>
      </c>
      <c r="L16" s="2" t="str">
        <f t="shared" si="19"/>
        <v>Geothermal heat</v>
      </c>
      <c r="M16" s="2"/>
      <c r="N16" s="2"/>
      <c r="O16" s="132" t="s">
        <v>724</v>
      </c>
      <c r="P16" s="132" t="s">
        <v>696</v>
      </c>
      <c r="Q16" s="132" t="s">
        <v>687</v>
      </c>
      <c r="R16" s="132" t="s">
        <v>672</v>
      </c>
      <c r="S16" s="132" t="s">
        <v>725</v>
      </c>
      <c r="V16" s="130" t="s">
        <v>726</v>
      </c>
      <c r="W16" s="131">
        <v>6559</v>
      </c>
      <c r="Z16" s="2" t="s">
        <v>686</v>
      </c>
      <c r="AA16" s="2" t="s">
        <v>723</v>
      </c>
    </row>
    <row r="17" spans="3:27" ht="29">
      <c r="G17" s="2"/>
      <c r="H17" s="3" t="s">
        <v>727</v>
      </c>
      <c r="I17" s="2"/>
      <c r="J17" s="2" t="str">
        <f t="shared" ref="J17:L17" si="20">INDEX($Z$3:$AA$23, MATCH(P17, $Z$3:$Z$23, 0), 2)</f>
        <v>Mix of heat districts and heat pumps</v>
      </c>
      <c r="K17" s="2" t="str">
        <f t="shared" si="20"/>
        <v>Mix of heat districts and heat pumps</v>
      </c>
      <c r="L17" s="2" t="str">
        <f t="shared" si="20"/>
        <v>Geothermal, residual and ambient heat</v>
      </c>
      <c r="M17" s="2"/>
      <c r="N17" s="2"/>
      <c r="O17" s="129" t="s">
        <v>727</v>
      </c>
      <c r="P17" s="129" t="s">
        <v>714</v>
      </c>
      <c r="Q17" s="129" t="s">
        <v>701</v>
      </c>
      <c r="R17" s="129" t="s">
        <v>698</v>
      </c>
      <c r="S17" s="129" t="s">
        <v>728</v>
      </c>
      <c r="V17" s="130" t="s">
        <v>729</v>
      </c>
      <c r="W17" s="131">
        <v>1839</v>
      </c>
      <c r="Z17" s="2" t="s">
        <v>721</v>
      </c>
      <c r="AA17" s="2" t="s">
        <v>730</v>
      </c>
    </row>
    <row r="18" spans="3:27" ht="15">
      <c r="G18" s="2"/>
      <c r="H18" s="3" t="s">
        <v>729</v>
      </c>
      <c r="I18" s="2">
        <f t="shared" ref="I18:I36" si="21">INDEX($V$2:$W$116, MATCH($H18,$V$2:$V$116, 0), 2)</f>
        <v>1839</v>
      </c>
      <c r="J18" s="2" t="str">
        <f t="shared" ref="J18:L18" si="22">INDEX($Z$3:$AA$23, MATCH(P18, $Z$3:$Z$23, 0), 2)</f>
        <v>Heat district after 2030</v>
      </c>
      <c r="K18" s="2" t="str">
        <f t="shared" si="22"/>
        <v>Heat district</v>
      </c>
      <c r="L18" s="2" t="str">
        <f t="shared" si="22"/>
        <v>Geothermal heat</v>
      </c>
      <c r="M18" s="2"/>
      <c r="N18" s="2"/>
      <c r="O18" s="132" t="s">
        <v>729</v>
      </c>
      <c r="P18" s="132" t="s">
        <v>686</v>
      </c>
      <c r="Q18" s="132" t="s">
        <v>687</v>
      </c>
      <c r="R18" s="132" t="s">
        <v>672</v>
      </c>
      <c r="S18" s="132" t="s">
        <v>731</v>
      </c>
      <c r="V18" s="130" t="s">
        <v>732</v>
      </c>
      <c r="W18" s="131">
        <v>5692</v>
      </c>
      <c r="Z18" s="2" t="s">
        <v>696</v>
      </c>
      <c r="AA18" s="2" t="s">
        <v>730</v>
      </c>
    </row>
    <row r="19" spans="3:27" ht="15">
      <c r="G19" s="2"/>
      <c r="H19" s="3" t="s">
        <v>732</v>
      </c>
      <c r="I19" s="2">
        <f t="shared" si="21"/>
        <v>5692</v>
      </c>
      <c r="J19" s="2" t="str">
        <f t="shared" ref="J19:L19" si="23">INDEX($Z$3:$AA$23, MATCH(P19, $Z$3:$Z$23, 0), 2)</f>
        <v>Heat district before 2030</v>
      </c>
      <c r="K19" s="2" t="str">
        <f t="shared" si="23"/>
        <v>Heat district</v>
      </c>
      <c r="L19" s="2" t="str">
        <f t="shared" si="23"/>
        <v>Geothermal and residual heat</v>
      </c>
      <c r="M19" s="2"/>
      <c r="N19" s="2"/>
      <c r="O19" s="129" t="s">
        <v>732</v>
      </c>
      <c r="P19" s="129" t="s">
        <v>721</v>
      </c>
      <c r="Q19" s="129" t="s">
        <v>687</v>
      </c>
      <c r="R19" s="129" t="s">
        <v>677</v>
      </c>
      <c r="S19" s="129" t="s">
        <v>733</v>
      </c>
      <c r="V19" s="130" t="s">
        <v>734</v>
      </c>
      <c r="W19" s="131">
        <v>5395</v>
      </c>
      <c r="Z19" s="2" t="s">
        <v>735</v>
      </c>
      <c r="AA19" s="2" t="s">
        <v>707</v>
      </c>
    </row>
    <row r="20" spans="3:27" ht="15">
      <c r="C20" s="2"/>
      <c r="D20" s="2"/>
      <c r="G20" s="2"/>
      <c r="H20" s="3" t="s">
        <v>734</v>
      </c>
      <c r="I20" s="2">
        <f t="shared" si="21"/>
        <v>5395</v>
      </c>
      <c r="J20" s="2" t="str">
        <f t="shared" ref="J20:L20" si="24">INDEX($Z$3:$AA$23, MATCH(P20, $Z$3:$Z$23, 0), 2)</f>
        <v>Heat pumps</v>
      </c>
      <c r="K20" s="2" t="str">
        <f t="shared" si="24"/>
        <v>Heat pumps</v>
      </c>
      <c r="L20" s="2" t="str">
        <f t="shared" si="24"/>
        <v>Ambient heat</v>
      </c>
      <c r="M20" s="2"/>
      <c r="N20" s="2"/>
      <c r="O20" s="132" t="s">
        <v>734</v>
      </c>
      <c r="P20" s="132" t="s">
        <v>736</v>
      </c>
      <c r="Q20" s="132" t="s">
        <v>736</v>
      </c>
      <c r="R20" s="132" t="s">
        <v>670</v>
      </c>
      <c r="S20" s="132" t="s">
        <v>737</v>
      </c>
      <c r="V20" s="130" t="s">
        <v>738</v>
      </c>
      <c r="W20" s="131">
        <v>503</v>
      </c>
      <c r="Z20" s="2" t="s">
        <v>669</v>
      </c>
      <c r="AA20" s="2" t="s">
        <v>707</v>
      </c>
    </row>
    <row r="21" spans="3:27" ht="15">
      <c r="C21" s="2"/>
      <c r="D21" s="2"/>
      <c r="G21" s="2"/>
      <c r="H21" s="3" t="s">
        <v>738</v>
      </c>
      <c r="I21" s="2">
        <f t="shared" si="21"/>
        <v>503</v>
      </c>
      <c r="J21" s="2" t="str">
        <f t="shared" ref="J21:L21" si="25">INDEX($Z$3:$AA$23, MATCH(P21, $Z$3:$Z$23, 0), 2)</f>
        <v>Heat pumps</v>
      </c>
      <c r="K21" s="2" t="str">
        <f t="shared" si="25"/>
        <v>Heat pumps</v>
      </c>
      <c r="L21" s="2" t="str">
        <f t="shared" si="25"/>
        <v>Ambient heat</v>
      </c>
      <c r="M21" s="2"/>
      <c r="N21" s="2"/>
      <c r="O21" s="129" t="s">
        <v>738</v>
      </c>
      <c r="P21" s="129" t="s">
        <v>736</v>
      </c>
      <c r="Q21" s="129" t="s">
        <v>736</v>
      </c>
      <c r="R21" s="129" t="s">
        <v>670</v>
      </c>
      <c r="S21" s="129" t="s">
        <v>739</v>
      </c>
      <c r="V21" s="130" t="s">
        <v>740</v>
      </c>
      <c r="W21" s="131">
        <v>25</v>
      </c>
      <c r="Z21" s="2" t="s">
        <v>741</v>
      </c>
      <c r="AA21" s="2" t="s">
        <v>742</v>
      </c>
    </row>
    <row r="22" spans="3:27" ht="15">
      <c r="C22" s="2"/>
      <c r="D22" s="2"/>
      <c r="G22" s="2"/>
      <c r="H22" s="3" t="s">
        <v>740</v>
      </c>
      <c r="I22" s="2">
        <f t="shared" si="21"/>
        <v>25</v>
      </c>
      <c r="J22" s="2" t="str">
        <f t="shared" ref="J22:L22" si="26">INDEX($Z$3:$AA$23, MATCH(P22, $Z$3:$Z$23, 0), 2)</f>
        <v>Mix of heat districts and heat pumps</v>
      </c>
      <c r="K22" s="2" t="str">
        <f t="shared" si="26"/>
        <v>Mix of heat districts and heat pumps</v>
      </c>
      <c r="L22" s="2" t="str">
        <f t="shared" si="26"/>
        <v>Ambient heat</v>
      </c>
      <c r="M22" s="2"/>
      <c r="N22" s="2"/>
      <c r="O22" s="132" t="s">
        <v>740</v>
      </c>
      <c r="P22" s="132" t="s">
        <v>709</v>
      </c>
      <c r="Q22" s="132" t="s">
        <v>703</v>
      </c>
      <c r="R22" s="132" t="s">
        <v>670</v>
      </c>
      <c r="S22" s="132" t="s">
        <v>743</v>
      </c>
      <c r="V22" s="130" t="s">
        <v>744</v>
      </c>
      <c r="W22" s="131">
        <v>1699</v>
      </c>
      <c r="Z22" s="2" t="s">
        <v>668</v>
      </c>
      <c r="AA22" s="2" t="s">
        <v>742</v>
      </c>
    </row>
    <row r="23" spans="3:27" ht="15">
      <c r="C23" s="2"/>
      <c r="D23" s="2"/>
      <c r="G23" s="2"/>
      <c r="H23" s="3" t="s">
        <v>744</v>
      </c>
      <c r="I23" s="2">
        <f t="shared" si="21"/>
        <v>1699</v>
      </c>
      <c r="J23" s="2" t="str">
        <f t="shared" ref="J23:L23" si="27">INDEX($Z$3:$AA$23, MATCH(P23, $Z$3:$Z$23, 0), 2)</f>
        <v>Heat pumps</v>
      </c>
      <c r="K23" s="2" t="str">
        <f t="shared" si="27"/>
        <v>Heat pumps</v>
      </c>
      <c r="L23" s="2" t="str">
        <f t="shared" si="27"/>
        <v>Ambient heat</v>
      </c>
      <c r="M23" s="2"/>
      <c r="N23" s="2"/>
      <c r="O23" s="129" t="s">
        <v>744</v>
      </c>
      <c r="P23" s="129" t="s">
        <v>736</v>
      </c>
      <c r="Q23" s="129" t="s">
        <v>736</v>
      </c>
      <c r="R23" s="129" t="s">
        <v>670</v>
      </c>
      <c r="S23" s="129" t="s">
        <v>745</v>
      </c>
      <c r="V23" s="130" t="s">
        <v>746</v>
      </c>
      <c r="W23" s="131">
        <v>4159</v>
      </c>
      <c r="Z23" s="2" t="s">
        <v>736</v>
      </c>
      <c r="AA23" s="2" t="s">
        <v>148</v>
      </c>
    </row>
    <row r="24" spans="3:27" ht="15">
      <c r="C24" s="2"/>
      <c r="D24" s="2"/>
      <c r="G24" s="2"/>
      <c r="H24" s="3" t="s">
        <v>746</v>
      </c>
      <c r="I24" s="2">
        <f t="shared" si="21"/>
        <v>4159</v>
      </c>
      <c r="J24" s="2" t="str">
        <f t="shared" ref="J24:L24" si="28">INDEX($Z$3:$AA$23, MATCH(P24, $Z$3:$Z$23, 0), 2)</f>
        <v>Heat pumps</v>
      </c>
      <c r="K24" s="2" t="str">
        <f t="shared" si="28"/>
        <v>Heat pumps</v>
      </c>
      <c r="L24" s="2" t="str">
        <f t="shared" si="28"/>
        <v>Ambient heat</v>
      </c>
      <c r="M24" s="2"/>
      <c r="N24" s="2"/>
      <c r="O24" s="132" t="s">
        <v>746</v>
      </c>
      <c r="P24" s="132" t="s">
        <v>736</v>
      </c>
      <c r="Q24" s="132" t="s">
        <v>736</v>
      </c>
      <c r="R24" s="132" t="s">
        <v>670</v>
      </c>
      <c r="S24" s="132" t="s">
        <v>747</v>
      </c>
      <c r="V24" s="130" t="s">
        <v>748</v>
      </c>
      <c r="W24" s="131">
        <v>1776</v>
      </c>
    </row>
    <row r="25" spans="3:27" ht="15">
      <c r="C25" s="2"/>
      <c r="D25" s="2"/>
      <c r="G25" s="2"/>
      <c r="H25" s="3" t="s">
        <v>748</v>
      </c>
      <c r="I25" s="2">
        <f t="shared" si="21"/>
        <v>1776</v>
      </c>
      <c r="J25" s="2" t="str">
        <f t="shared" ref="J25:L25" si="29">INDEX($Z$3:$AA$23, MATCH(P25, $Z$3:$Z$23, 0), 2)</f>
        <v>Heat district before 2030</v>
      </c>
      <c r="K25" s="2" t="str">
        <f t="shared" si="29"/>
        <v>Heat district</v>
      </c>
      <c r="L25" s="2" t="str">
        <f t="shared" si="29"/>
        <v>Geothermal and residual heat</v>
      </c>
      <c r="M25" s="2"/>
      <c r="N25" s="2"/>
      <c r="O25" s="129" t="s">
        <v>748</v>
      </c>
      <c r="P25" s="129" t="s">
        <v>696</v>
      </c>
      <c r="Q25" s="129" t="s">
        <v>687</v>
      </c>
      <c r="R25" s="129" t="s">
        <v>677</v>
      </c>
      <c r="S25" s="129" t="s">
        <v>749</v>
      </c>
      <c r="V25" s="130" t="s">
        <v>750</v>
      </c>
      <c r="W25" s="131">
        <v>8398</v>
      </c>
    </row>
    <row r="26" spans="3:27" ht="15">
      <c r="C26" s="2"/>
      <c r="D26" s="2"/>
      <c r="G26" s="2"/>
      <c r="H26" s="3" t="s">
        <v>750</v>
      </c>
      <c r="I26" s="2">
        <f t="shared" si="21"/>
        <v>8398</v>
      </c>
      <c r="J26" s="2" t="str">
        <f t="shared" ref="J26:L26" si="30">INDEX($Z$3:$AA$23, MATCH(P26, $Z$3:$Z$23, 0), 2)</f>
        <v>Heat pumps</v>
      </c>
      <c r="K26" s="2" t="str">
        <f t="shared" si="30"/>
        <v>Heat pumps</v>
      </c>
      <c r="L26" s="2" t="str">
        <f t="shared" si="30"/>
        <v>Ambient heat</v>
      </c>
      <c r="M26" s="2"/>
      <c r="N26" s="2"/>
      <c r="O26" s="132" t="s">
        <v>750</v>
      </c>
      <c r="P26" s="132" t="s">
        <v>736</v>
      </c>
      <c r="Q26" s="132" t="s">
        <v>736</v>
      </c>
      <c r="R26" s="132" t="s">
        <v>670</v>
      </c>
      <c r="S26" s="132" t="s">
        <v>747</v>
      </c>
      <c r="V26" s="130" t="s">
        <v>751</v>
      </c>
      <c r="W26" s="131">
        <v>10839</v>
      </c>
    </row>
    <row r="27" spans="3:27" ht="15">
      <c r="C27" s="2"/>
      <c r="D27" s="2"/>
      <c r="G27" s="2"/>
      <c r="H27" s="3" t="s">
        <v>752</v>
      </c>
      <c r="I27" s="2">
        <f t="shared" si="21"/>
        <v>5802</v>
      </c>
      <c r="J27" s="2" t="str">
        <f t="shared" ref="J27:L27" si="31">INDEX($Z$3:$AA$23, MATCH(P27, $Z$3:$Z$23, 0), 2)</f>
        <v>Heating option to be determined: hybrid heat pumps</v>
      </c>
      <c r="K27" s="2" t="str">
        <f t="shared" si="31"/>
        <v>Heating option to be determined: heat pumps, heat networks or a mix</v>
      </c>
      <c r="L27" s="2" t="str">
        <f t="shared" si="31"/>
        <v>Ambient heat</v>
      </c>
      <c r="M27" s="2"/>
      <c r="N27" s="2"/>
      <c r="O27" s="129" t="s">
        <v>752</v>
      </c>
      <c r="P27" s="129" t="s">
        <v>668</v>
      </c>
      <c r="Q27" s="129" t="s">
        <v>669</v>
      </c>
      <c r="R27" s="129" t="s">
        <v>670</v>
      </c>
      <c r="S27" s="129" t="s">
        <v>753</v>
      </c>
      <c r="V27" s="130" t="s">
        <v>752</v>
      </c>
      <c r="W27" s="131">
        <v>5802</v>
      </c>
    </row>
    <row r="28" spans="3:27" ht="15">
      <c r="C28" s="2"/>
      <c r="D28" s="2"/>
      <c r="G28" s="2"/>
      <c r="H28" s="3" t="s">
        <v>754</v>
      </c>
      <c r="I28" s="2">
        <f t="shared" si="21"/>
        <v>1158</v>
      </c>
      <c r="J28" s="2" t="str">
        <f t="shared" ref="J28:L28" si="32">INDEX($Z$3:$AA$23, MATCH(P28, $Z$3:$Z$23, 0), 2)</f>
        <v>Heating option to be determined: hybrid heat pumps</v>
      </c>
      <c r="K28" s="2" t="str">
        <f t="shared" si="32"/>
        <v>Heating option to be determined: heat pumps, heat networks or a mix</v>
      </c>
      <c r="L28" s="2" t="str">
        <f t="shared" si="32"/>
        <v>Ambient heat</v>
      </c>
      <c r="M28" s="2"/>
      <c r="N28" s="2"/>
      <c r="O28" s="132" t="s">
        <v>754</v>
      </c>
      <c r="P28" s="132" t="s">
        <v>668</v>
      </c>
      <c r="Q28" s="132" t="s">
        <v>669</v>
      </c>
      <c r="R28" s="132" t="s">
        <v>670</v>
      </c>
      <c r="S28" s="132" t="s">
        <v>755</v>
      </c>
      <c r="V28" s="130" t="s">
        <v>756</v>
      </c>
      <c r="W28" s="131">
        <v>2573</v>
      </c>
    </row>
    <row r="29" spans="3:27" ht="15">
      <c r="C29" s="2"/>
      <c r="D29" s="2"/>
      <c r="G29" s="2"/>
      <c r="H29" s="3" t="s">
        <v>757</v>
      </c>
      <c r="I29" s="2">
        <f t="shared" si="21"/>
        <v>2967</v>
      </c>
      <c r="J29" s="2" t="str">
        <f t="shared" ref="J29:L29" si="33">INDEX($Z$3:$AA$23, MATCH(P29, $Z$3:$Z$23, 0), 2)</f>
        <v>Heat pumps</v>
      </c>
      <c r="K29" s="2" t="str">
        <f t="shared" si="33"/>
        <v>Heat pumps</v>
      </c>
      <c r="L29" s="2" t="str">
        <f t="shared" si="33"/>
        <v>Ambient heat</v>
      </c>
      <c r="M29" s="2"/>
      <c r="N29" s="2"/>
      <c r="O29" s="129" t="s">
        <v>757</v>
      </c>
      <c r="P29" s="129" t="s">
        <v>736</v>
      </c>
      <c r="Q29" s="129" t="s">
        <v>736</v>
      </c>
      <c r="R29" s="129" t="s">
        <v>670</v>
      </c>
      <c r="S29" s="129" t="s">
        <v>758</v>
      </c>
      <c r="V29" s="130" t="s">
        <v>754</v>
      </c>
      <c r="W29" s="131">
        <v>1158</v>
      </c>
    </row>
    <row r="30" spans="3:27" ht="15">
      <c r="C30" s="2"/>
      <c r="D30" s="2"/>
      <c r="G30" s="2"/>
      <c r="H30" s="3" t="s">
        <v>759</v>
      </c>
      <c r="I30" s="2">
        <f t="shared" si="21"/>
        <v>4503</v>
      </c>
      <c r="J30" s="2" t="str">
        <f t="shared" ref="J30:L30" si="34">INDEX($Z$3:$AA$23, MATCH(P30, $Z$3:$Z$23, 0), 2)</f>
        <v>Heating option to be determined: hybrid heat pumps</v>
      </c>
      <c r="K30" s="2" t="str">
        <f t="shared" si="34"/>
        <v>Heating option to be determined: heat pumps, heat networks or a mix</v>
      </c>
      <c r="L30" s="2" t="str">
        <f t="shared" si="34"/>
        <v>Geothermal and ambient heat</v>
      </c>
      <c r="M30" s="2"/>
      <c r="N30" s="2"/>
      <c r="O30" s="132" t="s">
        <v>759</v>
      </c>
      <c r="P30" s="132" t="s">
        <v>668</v>
      </c>
      <c r="Q30" s="132" t="s">
        <v>669</v>
      </c>
      <c r="R30" s="132" t="s">
        <v>690</v>
      </c>
      <c r="S30" s="132" t="s">
        <v>760</v>
      </c>
      <c r="V30" s="130" t="s">
        <v>757</v>
      </c>
      <c r="W30" s="131">
        <v>2967</v>
      </c>
    </row>
    <row r="31" spans="3:27" ht="15">
      <c r="C31" s="2"/>
      <c r="D31" s="2"/>
      <c r="G31" s="2"/>
      <c r="H31" s="3" t="s">
        <v>761</v>
      </c>
      <c r="I31" s="2">
        <f t="shared" si="21"/>
        <v>5136</v>
      </c>
      <c r="J31" s="2" t="str">
        <f t="shared" ref="J31:L31" si="35">INDEX($Z$3:$AA$23, MATCH(P31, $Z$3:$Z$23, 0), 2)</f>
        <v>Heat district before 2030</v>
      </c>
      <c r="K31" s="2" t="str">
        <f t="shared" si="35"/>
        <v>Heat district</v>
      </c>
      <c r="L31" s="2" t="str">
        <f t="shared" si="35"/>
        <v>Geothermal and residual heat</v>
      </c>
      <c r="M31" s="2"/>
      <c r="N31" s="2"/>
      <c r="O31" s="129" t="s">
        <v>761</v>
      </c>
      <c r="P31" s="129" t="s">
        <v>721</v>
      </c>
      <c r="Q31" s="129" t="s">
        <v>687</v>
      </c>
      <c r="R31" s="129" t="s">
        <v>677</v>
      </c>
      <c r="S31" s="129" t="s">
        <v>762</v>
      </c>
      <c r="V31" s="130" t="s">
        <v>763</v>
      </c>
      <c r="W31" s="131">
        <v>2631</v>
      </c>
    </row>
    <row r="32" spans="3:27" ht="15">
      <c r="C32" s="2"/>
      <c r="D32" s="2"/>
      <c r="G32" s="2"/>
      <c r="H32" s="3" t="s">
        <v>764</v>
      </c>
      <c r="I32" s="2">
        <f t="shared" si="21"/>
        <v>474</v>
      </c>
      <c r="J32" s="2" t="str">
        <f t="shared" ref="J32:L32" si="36">INDEX($Z$3:$AA$23, MATCH(P32, $Z$3:$Z$23, 0), 2)</f>
        <v>Heat pumps</v>
      </c>
      <c r="K32" s="2" t="str">
        <f t="shared" si="36"/>
        <v>Heat pumps</v>
      </c>
      <c r="L32" s="2" t="str">
        <f t="shared" si="36"/>
        <v>Ambient heat</v>
      </c>
      <c r="M32" s="2"/>
      <c r="N32" s="2"/>
      <c r="O32" s="132" t="s">
        <v>764</v>
      </c>
      <c r="P32" s="132" t="s">
        <v>736</v>
      </c>
      <c r="Q32" s="132" t="s">
        <v>736</v>
      </c>
      <c r="R32" s="132" t="s">
        <v>670</v>
      </c>
      <c r="S32" s="132" t="s">
        <v>765</v>
      </c>
      <c r="V32" s="130" t="s">
        <v>759</v>
      </c>
      <c r="W32" s="131">
        <v>4503</v>
      </c>
    </row>
    <row r="33" spans="1:23" ht="15">
      <c r="C33" s="2"/>
      <c r="D33" s="2"/>
      <c r="G33" s="2"/>
      <c r="H33" s="3" t="s">
        <v>766</v>
      </c>
      <c r="I33" s="2">
        <f t="shared" si="21"/>
        <v>6846</v>
      </c>
      <c r="J33" s="2" t="str">
        <f t="shared" ref="J33:L33" si="37">INDEX($Z$3:$AA$23, MATCH(P33, $Z$3:$Z$23, 0), 2)</f>
        <v>Heating option to be determined: hybrid heat pumps</v>
      </c>
      <c r="K33" s="2" t="str">
        <f t="shared" si="37"/>
        <v>Heating option to be determined: heat pumps, heat networks or a mix</v>
      </c>
      <c r="L33" s="2" t="str">
        <f t="shared" si="37"/>
        <v>Ambient heat</v>
      </c>
      <c r="M33" s="2"/>
      <c r="N33" s="2"/>
      <c r="O33" s="129" t="s">
        <v>766</v>
      </c>
      <c r="P33" s="129" t="s">
        <v>668</v>
      </c>
      <c r="Q33" s="129" t="s">
        <v>669</v>
      </c>
      <c r="R33" s="129" t="s">
        <v>670</v>
      </c>
      <c r="S33" s="129" t="s">
        <v>760</v>
      </c>
      <c r="V33" s="130" t="s">
        <v>761</v>
      </c>
      <c r="W33" s="131">
        <v>5136</v>
      </c>
    </row>
    <row r="34" spans="1:23" ht="15">
      <c r="C34" s="2"/>
      <c r="D34" s="2"/>
      <c r="G34" s="2"/>
      <c r="H34" s="3" t="s">
        <v>767</v>
      </c>
      <c r="I34" s="2">
        <f t="shared" si="21"/>
        <v>9179</v>
      </c>
      <c r="J34" s="2" t="str">
        <f t="shared" ref="J34:L34" si="38">INDEX($Z$3:$AA$23, MATCH(P34, $Z$3:$Z$23, 0), 2)</f>
        <v>Heat district before 2030</v>
      </c>
      <c r="K34" s="2" t="str">
        <f t="shared" si="38"/>
        <v>Heat district</v>
      </c>
      <c r="L34" s="2" t="str">
        <f t="shared" si="38"/>
        <v>Geothermal heat</v>
      </c>
      <c r="M34" s="2"/>
      <c r="N34" s="2"/>
      <c r="O34" s="132" t="s">
        <v>767</v>
      </c>
      <c r="P34" s="132" t="s">
        <v>721</v>
      </c>
      <c r="Q34" s="132" t="s">
        <v>687</v>
      </c>
      <c r="R34" s="132" t="s">
        <v>672</v>
      </c>
      <c r="S34" s="132" t="s">
        <v>733</v>
      </c>
      <c r="V34" s="130" t="s">
        <v>764</v>
      </c>
      <c r="W34" s="131">
        <v>474</v>
      </c>
    </row>
    <row r="35" spans="1:23" ht="15">
      <c r="C35" s="2"/>
      <c r="D35" s="2"/>
      <c r="G35" s="2"/>
      <c r="H35" s="3" t="s">
        <v>768</v>
      </c>
      <c r="I35" s="2">
        <f t="shared" si="21"/>
        <v>12751</v>
      </c>
      <c r="J35" s="2" t="str">
        <f t="shared" ref="J35:L35" si="39">INDEX($Z$3:$AA$23, MATCH(P35, $Z$3:$Z$23, 0), 2)</f>
        <v>Heat district before 2030</v>
      </c>
      <c r="K35" s="2" t="str">
        <f t="shared" si="39"/>
        <v>Heat district</v>
      </c>
      <c r="L35" s="2" t="str">
        <f t="shared" si="39"/>
        <v>Geothermal heat</v>
      </c>
      <c r="M35" s="2"/>
      <c r="N35" s="2"/>
      <c r="O35" s="129" t="s">
        <v>768</v>
      </c>
      <c r="P35" s="129" t="s">
        <v>696</v>
      </c>
      <c r="Q35" s="129" t="s">
        <v>687</v>
      </c>
      <c r="R35" s="129" t="s">
        <v>672</v>
      </c>
      <c r="S35" s="129" t="s">
        <v>769</v>
      </c>
      <c r="V35" s="130" t="s">
        <v>766</v>
      </c>
      <c r="W35" s="131">
        <v>6846</v>
      </c>
    </row>
    <row r="36" spans="1:23" ht="15">
      <c r="C36" s="2"/>
      <c r="D36" s="2"/>
      <c r="G36" s="2"/>
      <c r="H36" s="3" t="s">
        <v>770</v>
      </c>
      <c r="I36" s="2">
        <f t="shared" si="21"/>
        <v>7931</v>
      </c>
      <c r="J36" s="2" t="str">
        <f t="shared" ref="J36:L36" si="40">INDEX($Z$3:$AA$23, MATCH(P36, $Z$3:$Z$23, 0), 2)</f>
        <v>Heat district after 2030</v>
      </c>
      <c r="K36" s="2" t="str">
        <f t="shared" si="40"/>
        <v>Heat district</v>
      </c>
      <c r="L36" s="2" t="str">
        <f t="shared" si="40"/>
        <v>Geothermal and residual heat</v>
      </c>
      <c r="M36" s="2"/>
      <c r="N36" s="2"/>
      <c r="O36" s="132" t="s">
        <v>770</v>
      </c>
      <c r="P36" s="132" t="s">
        <v>686</v>
      </c>
      <c r="Q36" s="132" t="s">
        <v>687</v>
      </c>
      <c r="R36" s="132" t="s">
        <v>677</v>
      </c>
      <c r="S36" s="132" t="s">
        <v>771</v>
      </c>
      <c r="V36" s="130" t="s">
        <v>767</v>
      </c>
      <c r="W36" s="131">
        <v>9179</v>
      </c>
    </row>
    <row r="37" spans="1:23" ht="15">
      <c r="A37" s="2"/>
      <c r="B37" s="2"/>
      <c r="C37" s="2"/>
      <c r="D37" s="2"/>
      <c r="G37" s="2"/>
      <c r="H37" s="3" t="s">
        <v>772</v>
      </c>
      <c r="I37" s="2">
        <f>SUM(W40)</f>
        <v>135</v>
      </c>
      <c r="J37" s="2" t="str">
        <f t="shared" ref="J37:L37" si="41">INDEX($Z$3:$AA$23, MATCH(P37, $Z$3:$Z$23, 0), 2)</f>
        <v>Mix of heat districts and heat pumps</v>
      </c>
      <c r="K37" s="2" t="str">
        <f t="shared" si="41"/>
        <v>Mix of heat districts and heat pumps</v>
      </c>
      <c r="L37" s="2" t="str">
        <f t="shared" si="41"/>
        <v>Geothermal and ambient heat</v>
      </c>
      <c r="M37" s="2"/>
      <c r="N37" s="2"/>
      <c r="O37" s="129" t="s">
        <v>772</v>
      </c>
      <c r="P37" s="129" t="s">
        <v>709</v>
      </c>
      <c r="Q37" s="129" t="s">
        <v>703</v>
      </c>
      <c r="R37" s="129" t="s">
        <v>683</v>
      </c>
      <c r="S37" s="129" t="s">
        <v>743</v>
      </c>
      <c r="V37" s="130" t="s">
        <v>768</v>
      </c>
      <c r="W37" s="131">
        <v>12751</v>
      </c>
    </row>
    <row r="38" spans="1:23" ht="15">
      <c r="A38" s="2"/>
      <c r="B38" s="2"/>
      <c r="C38" s="2"/>
      <c r="D38" s="2"/>
      <c r="G38" s="2"/>
      <c r="H38" s="3" t="s">
        <v>773</v>
      </c>
      <c r="I38" s="2">
        <f t="shared" ref="I38:I39" si="42">INDEX($V$2:$W$116, MATCH($H38,$V$2:$V$116, 0), 2)</f>
        <v>1703</v>
      </c>
      <c r="J38" s="2" t="str">
        <f t="shared" ref="J38:L38" si="43">INDEX($Z$3:$AA$23, MATCH(P38, $Z$3:$Z$23, 0), 2)</f>
        <v>Heat pumps</v>
      </c>
      <c r="K38" s="2" t="str">
        <f t="shared" si="43"/>
        <v>Heat pumps</v>
      </c>
      <c r="L38" s="2" t="str">
        <f t="shared" si="43"/>
        <v>Ambient heat</v>
      </c>
      <c r="M38" s="2"/>
      <c r="N38" s="2"/>
      <c r="O38" s="132" t="s">
        <v>773</v>
      </c>
      <c r="P38" s="132" t="s">
        <v>736</v>
      </c>
      <c r="Q38" s="132" t="s">
        <v>736</v>
      </c>
      <c r="R38" s="132" t="s">
        <v>670</v>
      </c>
      <c r="S38" s="132" t="s">
        <v>774</v>
      </c>
      <c r="V38" s="130" t="s">
        <v>770</v>
      </c>
      <c r="W38" s="131">
        <v>7931</v>
      </c>
    </row>
    <row r="39" spans="1:23" ht="15">
      <c r="A39" s="2"/>
      <c r="B39" s="2"/>
      <c r="C39" s="2"/>
      <c r="D39" s="2"/>
      <c r="G39" s="2"/>
      <c r="H39" s="3" t="s">
        <v>775</v>
      </c>
      <c r="I39" s="2">
        <f t="shared" si="42"/>
        <v>5056</v>
      </c>
      <c r="J39" s="2" t="str">
        <f t="shared" ref="J39:L39" si="44">INDEX($Z$3:$AA$23, MATCH(P39, $Z$3:$Z$23, 0), 2)</f>
        <v>Heat district after 2030</v>
      </c>
      <c r="K39" s="2" t="str">
        <f t="shared" si="44"/>
        <v>Heat district</v>
      </c>
      <c r="L39" s="2" t="str">
        <f t="shared" si="44"/>
        <v>Geothermal heat</v>
      </c>
      <c r="M39" s="2"/>
      <c r="N39" s="2"/>
      <c r="O39" s="129" t="s">
        <v>775</v>
      </c>
      <c r="P39" s="129" t="s">
        <v>686</v>
      </c>
      <c r="Q39" s="129" t="s">
        <v>687</v>
      </c>
      <c r="R39" s="129" t="s">
        <v>672</v>
      </c>
      <c r="S39" s="129" t="s">
        <v>776</v>
      </c>
      <c r="V39" s="130" t="s">
        <v>777</v>
      </c>
      <c r="W39" s="131">
        <v>2758</v>
      </c>
    </row>
    <row r="40" spans="1:23" ht="15">
      <c r="A40" s="2"/>
      <c r="B40" s="2"/>
      <c r="C40" s="2"/>
      <c r="D40" s="2"/>
      <c r="E40" s="2"/>
      <c r="F40" s="2"/>
      <c r="G40" s="2"/>
      <c r="H40" s="3" t="s">
        <v>778</v>
      </c>
      <c r="I40" s="2">
        <f>W43</f>
        <v>7616</v>
      </c>
      <c r="J40" s="2" t="str">
        <f t="shared" ref="J40:L40" si="45">INDEX($Z$3:$AA$23, MATCH(P40, $Z$3:$Z$23, 0), 2)</f>
        <v>Heating option to be determined: hybrid heat pumps</v>
      </c>
      <c r="K40" s="2" t="str">
        <f t="shared" si="45"/>
        <v>Heating option to be determined: heat pumps, heat networks or a mix</v>
      </c>
      <c r="L40" s="2" t="str">
        <f t="shared" si="45"/>
        <v>Geothermal and ambient heat</v>
      </c>
      <c r="M40" s="2"/>
      <c r="N40" s="2"/>
      <c r="O40" s="132" t="s">
        <v>778</v>
      </c>
      <c r="P40" s="132" t="s">
        <v>668</v>
      </c>
      <c r="Q40" s="132" t="s">
        <v>669</v>
      </c>
      <c r="R40" s="132" t="s">
        <v>690</v>
      </c>
      <c r="S40" s="132" t="s">
        <v>779</v>
      </c>
      <c r="V40" s="130" t="s">
        <v>780</v>
      </c>
      <c r="W40" s="131">
        <v>135</v>
      </c>
    </row>
    <row r="41" spans="1:23" ht="15">
      <c r="A41" s="2"/>
      <c r="B41" s="2"/>
      <c r="C41" s="2"/>
      <c r="D41" s="2"/>
      <c r="E41" s="2"/>
      <c r="F41" s="2"/>
      <c r="G41" s="2"/>
      <c r="H41" s="3" t="s">
        <v>781</v>
      </c>
      <c r="I41" s="2">
        <f t="array" ref="I41">INDEX($V$2:$W$116, MATCH($H41,$V$2:$V$116, 0), 2)</f>
        <v>7574</v>
      </c>
      <c r="J41" s="2" t="str">
        <f t="shared" ref="J41:L41" si="46">INDEX($Z$3:$AA$23, MATCH(P41, $Z$3:$Z$23, 0), 2)</f>
        <v>Heat district after 2030</v>
      </c>
      <c r="K41" s="2" t="str">
        <f t="shared" si="46"/>
        <v>Heat district</v>
      </c>
      <c r="L41" s="2" t="str">
        <f t="shared" si="46"/>
        <v>Geothermal and residual heat</v>
      </c>
      <c r="M41" s="2"/>
      <c r="N41" s="2"/>
      <c r="O41" s="129" t="s">
        <v>781</v>
      </c>
      <c r="P41" s="129" t="s">
        <v>686</v>
      </c>
      <c r="Q41" s="129" t="s">
        <v>687</v>
      </c>
      <c r="R41" s="129" t="s">
        <v>677</v>
      </c>
      <c r="S41" s="129" t="s">
        <v>782</v>
      </c>
      <c r="V41" s="130" t="s">
        <v>773</v>
      </c>
      <c r="W41" s="131">
        <v>1703</v>
      </c>
    </row>
    <row r="42" spans="1:23" ht="29">
      <c r="A42" s="2"/>
      <c r="B42" s="2"/>
      <c r="C42" s="2"/>
      <c r="D42" s="2"/>
      <c r="E42" s="2"/>
      <c r="F42" s="2"/>
      <c r="G42" s="2"/>
      <c r="H42" s="3" t="s">
        <v>783</v>
      </c>
      <c r="I42" s="2">
        <f>W45</f>
        <v>8007</v>
      </c>
      <c r="J42" s="2" t="str">
        <f t="shared" ref="J42:L42" si="47">INDEX($Z$3:$AA$23, MATCH(P42, $Z$3:$Z$23, 0), 2)</f>
        <v>Heat district before 2030</v>
      </c>
      <c r="K42" s="2" t="str">
        <f t="shared" si="47"/>
        <v>Heat district</v>
      </c>
      <c r="L42" s="2" t="str">
        <f t="shared" si="47"/>
        <v>Geothermal heat</v>
      </c>
      <c r="M42" s="2"/>
      <c r="N42" s="2"/>
      <c r="O42" s="132" t="s">
        <v>783</v>
      </c>
      <c r="P42" s="132" t="s">
        <v>721</v>
      </c>
      <c r="Q42" s="132" t="s">
        <v>687</v>
      </c>
      <c r="R42" s="132" t="s">
        <v>672</v>
      </c>
      <c r="S42" s="132" t="s">
        <v>784</v>
      </c>
      <c r="V42" s="130" t="s">
        <v>775</v>
      </c>
      <c r="W42" s="131">
        <v>5056</v>
      </c>
    </row>
    <row r="43" spans="1:23" ht="15">
      <c r="A43" s="2"/>
      <c r="B43" s="2"/>
      <c r="C43" s="2"/>
      <c r="D43" s="2"/>
      <c r="E43" s="2"/>
      <c r="F43" s="2"/>
      <c r="G43" s="2"/>
      <c r="H43" s="3" t="s">
        <v>785</v>
      </c>
      <c r="I43" s="2">
        <f t="shared" ref="I43:I48" si="48">INDEX($V$2:$W$116, MATCH($H43,$V$2:$V$116, 0), 2)</f>
        <v>5132</v>
      </c>
      <c r="J43" s="2" t="str">
        <f t="shared" ref="J43:L43" si="49">INDEX($Z$3:$AA$23, MATCH(P43, $Z$3:$Z$23, 0), 2)</f>
        <v>Mix of heat districts and heat pumps</v>
      </c>
      <c r="K43" s="2" t="str">
        <f t="shared" si="49"/>
        <v>Mix of heat districts and heat pumps</v>
      </c>
      <c r="L43" s="2" t="str">
        <f t="shared" si="49"/>
        <v>Geothermal, residual and ambient heat</v>
      </c>
      <c r="M43" s="2"/>
      <c r="N43" s="2"/>
      <c r="O43" s="129" t="s">
        <v>785</v>
      </c>
      <c r="P43" s="129" t="s">
        <v>701</v>
      </c>
      <c r="Q43" s="129" t="s">
        <v>701</v>
      </c>
      <c r="R43" s="129" t="s">
        <v>698</v>
      </c>
      <c r="S43" s="129" t="s">
        <v>786</v>
      </c>
      <c r="V43" s="130" t="s">
        <v>787</v>
      </c>
      <c r="W43" s="131">
        <v>7616</v>
      </c>
    </row>
    <row r="44" spans="1:23" ht="15">
      <c r="A44" s="2"/>
      <c r="B44" s="2"/>
      <c r="C44" s="2"/>
      <c r="D44" s="2"/>
      <c r="E44" s="2"/>
      <c r="F44" s="2"/>
      <c r="G44" s="2"/>
      <c r="H44" s="3" t="s">
        <v>788</v>
      </c>
      <c r="I44" s="2">
        <f t="shared" si="48"/>
        <v>6994</v>
      </c>
      <c r="J44" s="2" t="str">
        <f t="shared" ref="J44:L44" si="50">INDEX($Z$3:$AA$23, MATCH(P44, $Z$3:$Z$23, 0), 2)</f>
        <v>Mix of heat districts and heat pumps</v>
      </c>
      <c r="K44" s="2" t="str">
        <f t="shared" si="50"/>
        <v>Mix of heat districts and heat pumps</v>
      </c>
      <c r="L44" s="2" t="str">
        <f t="shared" si="50"/>
        <v>Geothermal, residual and ambient heat</v>
      </c>
      <c r="M44" s="2"/>
      <c r="N44" s="2"/>
      <c r="O44" s="132" t="s">
        <v>788</v>
      </c>
      <c r="P44" s="132" t="s">
        <v>701</v>
      </c>
      <c r="Q44" s="132" t="s">
        <v>701</v>
      </c>
      <c r="R44" s="132" t="s">
        <v>698</v>
      </c>
      <c r="S44" s="132" t="s">
        <v>786</v>
      </c>
      <c r="V44" s="130" t="s">
        <v>781</v>
      </c>
      <c r="W44" s="131">
        <v>7574</v>
      </c>
    </row>
    <row r="45" spans="1:23" ht="15">
      <c r="A45" s="2"/>
      <c r="B45" s="2"/>
      <c r="C45" s="2"/>
      <c r="D45" s="2"/>
      <c r="E45" s="2"/>
      <c r="F45" s="2"/>
      <c r="G45" s="2"/>
      <c r="H45" s="3" t="s">
        <v>789</v>
      </c>
      <c r="I45" s="2">
        <f t="shared" si="48"/>
        <v>11515</v>
      </c>
      <c r="J45" s="2" t="str">
        <f t="shared" ref="J45:L45" si="51">INDEX($Z$3:$AA$23, MATCH(P45, $Z$3:$Z$23, 0), 2)</f>
        <v>Heating option to be determined: hybrid heat pumps</v>
      </c>
      <c r="K45" s="2" t="str">
        <f t="shared" si="51"/>
        <v>Heating option to be determined: heat pumps, heat networks or a mix</v>
      </c>
      <c r="L45" s="2" t="str">
        <f t="shared" si="51"/>
        <v>Geothermal and residual heat</v>
      </c>
      <c r="M45" s="2"/>
      <c r="N45" s="2"/>
      <c r="O45" s="129" t="s">
        <v>789</v>
      </c>
      <c r="P45" s="129" t="s">
        <v>668</v>
      </c>
      <c r="Q45" s="129" t="s">
        <v>669</v>
      </c>
      <c r="R45" s="129" t="s">
        <v>677</v>
      </c>
      <c r="S45" s="129" t="s">
        <v>790</v>
      </c>
      <c r="V45" s="130" t="s">
        <v>791</v>
      </c>
      <c r="W45" s="131">
        <v>8007</v>
      </c>
    </row>
    <row r="46" spans="1:23" ht="15">
      <c r="A46" s="2"/>
      <c r="B46" s="2"/>
      <c r="C46" s="2"/>
      <c r="D46" s="2"/>
      <c r="E46" s="2"/>
      <c r="F46" s="2"/>
      <c r="G46" s="2"/>
      <c r="H46" s="3" t="s">
        <v>792</v>
      </c>
      <c r="I46" s="2">
        <f t="shared" si="48"/>
        <v>7993</v>
      </c>
      <c r="J46" s="2" t="str">
        <f t="shared" ref="J46:L46" si="52">INDEX($Z$3:$AA$23, MATCH(P46, $Z$3:$Z$23, 0), 2)</f>
        <v>Heating option to be determined: hybrid heat pumps</v>
      </c>
      <c r="K46" s="2" t="str">
        <f t="shared" si="52"/>
        <v>Heating option to be determined: heat pumps, heat networks or a mix</v>
      </c>
      <c r="L46" s="2" t="str">
        <f t="shared" si="52"/>
        <v>Geothermal and residual heat</v>
      </c>
      <c r="M46" s="2"/>
      <c r="N46" s="2"/>
      <c r="O46" s="132" t="s">
        <v>792</v>
      </c>
      <c r="P46" s="132" t="s">
        <v>668</v>
      </c>
      <c r="Q46" s="132" t="s">
        <v>669</v>
      </c>
      <c r="R46" s="132" t="s">
        <v>677</v>
      </c>
      <c r="S46" s="132" t="s">
        <v>790</v>
      </c>
      <c r="V46" s="130" t="s">
        <v>785</v>
      </c>
      <c r="W46" s="131">
        <v>5132</v>
      </c>
    </row>
    <row r="47" spans="1:23" ht="15">
      <c r="A47" s="2"/>
      <c r="B47" s="2"/>
      <c r="C47" s="2"/>
      <c r="D47" s="2"/>
      <c r="E47" s="2"/>
      <c r="F47" s="2"/>
      <c r="G47" s="2"/>
      <c r="H47" s="3" t="s">
        <v>793</v>
      </c>
      <c r="I47" s="2">
        <f t="shared" si="48"/>
        <v>4238</v>
      </c>
      <c r="J47" s="2" t="str">
        <f t="shared" ref="J47:L47" si="53">INDEX($Z$3:$AA$23, MATCH(P47, $Z$3:$Z$23, 0), 2)</f>
        <v>Heat pumps</v>
      </c>
      <c r="K47" s="2" t="str">
        <f t="shared" si="53"/>
        <v>Heat pumps</v>
      </c>
      <c r="L47" s="2" t="str">
        <f t="shared" si="53"/>
        <v>Ambient heat</v>
      </c>
      <c r="M47" s="2"/>
      <c r="N47" s="2"/>
      <c r="O47" s="129" t="s">
        <v>793</v>
      </c>
      <c r="P47" s="129" t="s">
        <v>736</v>
      </c>
      <c r="Q47" s="129" t="s">
        <v>736</v>
      </c>
      <c r="R47" s="129" t="s">
        <v>670</v>
      </c>
      <c r="S47" s="129" t="s">
        <v>794</v>
      </c>
      <c r="V47" s="130" t="s">
        <v>788</v>
      </c>
      <c r="W47" s="131">
        <v>6994</v>
      </c>
    </row>
    <row r="48" spans="1:23" ht="15">
      <c r="A48" s="2"/>
      <c r="B48" s="2"/>
      <c r="C48" s="2"/>
      <c r="D48" s="2"/>
      <c r="E48" s="2"/>
      <c r="F48" s="2"/>
      <c r="G48" s="2"/>
      <c r="H48" s="3" t="s">
        <v>795</v>
      </c>
      <c r="I48" s="2">
        <f t="shared" si="48"/>
        <v>16300</v>
      </c>
      <c r="J48" s="2" t="str">
        <f t="shared" ref="J48:L48" si="54">INDEX($Z$3:$AA$23, MATCH(P48, $Z$3:$Z$23, 0), 2)</f>
        <v>Heat district after 2030</v>
      </c>
      <c r="K48" s="2" t="str">
        <f t="shared" si="54"/>
        <v>Heat district</v>
      </c>
      <c r="L48" s="2" t="str">
        <f t="shared" si="54"/>
        <v>Geothermal heat</v>
      </c>
      <c r="M48" s="2"/>
      <c r="N48" s="2"/>
      <c r="O48" s="132" t="s">
        <v>795</v>
      </c>
      <c r="P48" s="132" t="s">
        <v>686</v>
      </c>
      <c r="Q48" s="132" t="s">
        <v>687</v>
      </c>
      <c r="R48" s="132" t="s">
        <v>672</v>
      </c>
      <c r="S48" s="132" t="s">
        <v>796</v>
      </c>
      <c r="V48" s="130" t="s">
        <v>789</v>
      </c>
      <c r="W48" s="131">
        <v>11515</v>
      </c>
    </row>
    <row r="49" spans="1:23" ht="43">
      <c r="A49" s="2"/>
      <c r="B49" s="2"/>
      <c r="C49" s="2"/>
      <c r="D49" s="2"/>
      <c r="E49" s="2"/>
      <c r="F49" s="2"/>
      <c r="G49" s="2"/>
      <c r="H49" s="3" t="s">
        <v>797</v>
      </c>
      <c r="I49" s="2">
        <f>SUM(W39,W16,W51,W53)</f>
        <v>15369</v>
      </c>
      <c r="J49" s="2" t="str">
        <f t="shared" ref="J49:L49" si="55">INDEX($Z$3:$AA$23, MATCH(P49, $Z$3:$Z$23, 0), 2)</f>
        <v>Heat district before 2030</v>
      </c>
      <c r="K49" s="2" t="str">
        <f t="shared" si="55"/>
        <v>Heat district</v>
      </c>
      <c r="L49" s="2" t="str">
        <f t="shared" si="55"/>
        <v>Geothermal and ambient heat</v>
      </c>
      <c r="M49" s="2"/>
      <c r="N49" s="2"/>
      <c r="O49" s="129" t="s">
        <v>797</v>
      </c>
      <c r="P49" s="129" t="s">
        <v>696</v>
      </c>
      <c r="Q49" s="129" t="s">
        <v>687</v>
      </c>
      <c r="R49" s="129" t="s">
        <v>690</v>
      </c>
      <c r="S49" s="129" t="s">
        <v>798</v>
      </c>
      <c r="V49" s="130" t="s">
        <v>792</v>
      </c>
      <c r="W49" s="131">
        <v>7993</v>
      </c>
    </row>
    <row r="50" spans="1:23" ht="15">
      <c r="A50" s="2"/>
      <c r="B50" s="2"/>
      <c r="C50" s="2"/>
      <c r="D50" s="2"/>
      <c r="E50" s="2"/>
      <c r="F50" s="2"/>
      <c r="G50" s="2"/>
      <c r="H50" s="3" t="s">
        <v>799</v>
      </c>
      <c r="I50" s="2">
        <f t="shared" ref="I50:I67" si="56">INDEX($V$2:$W$116, MATCH($H50,$V$2:$V$116, 0), 2)</f>
        <v>7098</v>
      </c>
      <c r="J50" s="2" t="str">
        <f t="shared" ref="J50:L50" si="57">INDEX($Z$3:$AA$23, MATCH(P50, $Z$3:$Z$23, 0), 2)</f>
        <v>Heat district before 2030</v>
      </c>
      <c r="K50" s="2" t="str">
        <f t="shared" si="57"/>
        <v>Heat district</v>
      </c>
      <c r="L50" s="2" t="str">
        <f t="shared" si="57"/>
        <v>Geothermal and residual heat</v>
      </c>
      <c r="M50" s="2"/>
      <c r="N50" s="2"/>
      <c r="O50" s="132" t="s">
        <v>799</v>
      </c>
      <c r="P50" s="132" t="s">
        <v>721</v>
      </c>
      <c r="Q50" s="132" t="s">
        <v>687</v>
      </c>
      <c r="R50" s="132" t="s">
        <v>677</v>
      </c>
      <c r="S50" s="132" t="s">
        <v>800</v>
      </c>
      <c r="V50" s="130" t="s">
        <v>793</v>
      </c>
      <c r="W50" s="131">
        <v>4238</v>
      </c>
    </row>
    <row r="51" spans="1:23" ht="15">
      <c r="A51" s="2"/>
      <c r="B51" s="2"/>
      <c r="C51" s="2"/>
      <c r="D51" s="2"/>
      <c r="E51" s="2"/>
      <c r="F51" s="2"/>
      <c r="G51" s="2"/>
      <c r="H51" s="3" t="s">
        <v>801</v>
      </c>
      <c r="I51" s="2">
        <f t="shared" si="56"/>
        <v>2745</v>
      </c>
      <c r="J51" s="2" t="str">
        <f t="shared" ref="J51:L51" si="58">INDEX($Z$3:$AA$23, MATCH(P51, $Z$3:$Z$23, 0), 2)</f>
        <v>Heat district before 2030</v>
      </c>
      <c r="K51" s="2" t="str">
        <f t="shared" si="58"/>
        <v>Heat district</v>
      </c>
      <c r="L51" s="2" t="str">
        <f t="shared" si="58"/>
        <v>Geothermal and residual heat</v>
      </c>
      <c r="M51" s="2"/>
      <c r="N51" s="2"/>
      <c r="O51" s="129" t="s">
        <v>801</v>
      </c>
      <c r="P51" s="129" t="s">
        <v>696</v>
      </c>
      <c r="Q51" s="129" t="s">
        <v>687</v>
      </c>
      <c r="R51" s="129" t="s">
        <v>677</v>
      </c>
      <c r="S51" s="129" t="s">
        <v>802</v>
      </c>
      <c r="V51" s="130" t="s">
        <v>803</v>
      </c>
      <c r="W51" s="131">
        <v>5249</v>
      </c>
    </row>
    <row r="52" spans="1:23" ht="15">
      <c r="A52" s="2"/>
      <c r="B52" s="2"/>
      <c r="C52" s="2"/>
      <c r="D52" s="2"/>
      <c r="E52" s="2"/>
      <c r="F52" s="2"/>
      <c r="G52" s="2"/>
      <c r="H52" s="3" t="s">
        <v>804</v>
      </c>
      <c r="I52" s="2">
        <f t="shared" si="56"/>
        <v>6236</v>
      </c>
      <c r="J52" s="2" t="str">
        <f t="shared" ref="J52:L52" si="59">INDEX($Z$3:$AA$23, MATCH(P52, $Z$3:$Z$23, 0), 2)</f>
        <v>Heat district before 2030</v>
      </c>
      <c r="K52" s="2" t="str">
        <f t="shared" si="59"/>
        <v>Heat district</v>
      </c>
      <c r="L52" s="2" t="str">
        <f t="shared" si="59"/>
        <v>Geothermal and residual heat</v>
      </c>
      <c r="M52" s="2"/>
      <c r="N52" s="2"/>
      <c r="O52" s="132" t="s">
        <v>804</v>
      </c>
      <c r="P52" s="132" t="s">
        <v>721</v>
      </c>
      <c r="Q52" s="132" t="s">
        <v>687</v>
      </c>
      <c r="R52" s="132" t="s">
        <v>677</v>
      </c>
      <c r="S52" s="132" t="s">
        <v>805</v>
      </c>
      <c r="V52" s="130" t="s">
        <v>795</v>
      </c>
      <c r="W52" s="131">
        <v>16300</v>
      </c>
    </row>
    <row r="53" spans="1:23" ht="15">
      <c r="A53" s="2"/>
      <c r="B53" s="2"/>
      <c r="C53" s="2"/>
      <c r="D53" s="2"/>
      <c r="E53" s="2"/>
      <c r="F53" s="2"/>
      <c r="G53" s="2"/>
      <c r="H53" s="3" t="s">
        <v>806</v>
      </c>
      <c r="I53" s="2">
        <f t="shared" si="56"/>
        <v>4733</v>
      </c>
      <c r="J53" s="2" t="str">
        <f t="shared" ref="J53:L53" si="60">INDEX($Z$3:$AA$23, MATCH(P53, $Z$3:$Z$23, 0), 2)</f>
        <v>Heat district before 2030</v>
      </c>
      <c r="K53" s="2" t="str">
        <f t="shared" si="60"/>
        <v>Heat district</v>
      </c>
      <c r="L53" s="2" t="str">
        <f t="shared" si="60"/>
        <v>Geothermal and residual heat</v>
      </c>
      <c r="M53" s="2"/>
      <c r="N53" s="2"/>
      <c r="O53" s="129" t="s">
        <v>806</v>
      </c>
      <c r="P53" s="129" t="s">
        <v>721</v>
      </c>
      <c r="Q53" s="129" t="s">
        <v>687</v>
      </c>
      <c r="R53" s="129" t="s">
        <v>677</v>
      </c>
      <c r="S53" s="129" t="s">
        <v>805</v>
      </c>
      <c r="V53" s="130" t="s">
        <v>807</v>
      </c>
      <c r="W53" s="131">
        <v>803</v>
      </c>
    </row>
    <row r="54" spans="1:23" ht="15">
      <c r="A54" s="2"/>
      <c r="B54" s="2"/>
      <c r="C54" s="2"/>
      <c r="D54" s="2"/>
      <c r="E54" s="2"/>
      <c r="F54" s="2"/>
      <c r="G54" s="2"/>
      <c r="H54" s="3" t="s">
        <v>808</v>
      </c>
      <c r="I54" s="2">
        <f t="shared" si="56"/>
        <v>6043</v>
      </c>
      <c r="J54" s="2" t="str">
        <f t="shared" ref="J54:L54" si="61">INDEX($Z$3:$AA$23, MATCH(P54, $Z$3:$Z$23, 0), 2)</f>
        <v>Heat district before 2030</v>
      </c>
      <c r="K54" s="2" t="str">
        <f t="shared" si="61"/>
        <v>Heat district</v>
      </c>
      <c r="L54" s="2" t="str">
        <f t="shared" si="61"/>
        <v>Geothermal and residual heat</v>
      </c>
      <c r="M54" s="2"/>
      <c r="N54" s="2"/>
      <c r="O54" s="132" t="s">
        <v>808</v>
      </c>
      <c r="P54" s="132" t="s">
        <v>696</v>
      </c>
      <c r="Q54" s="132" t="s">
        <v>687</v>
      </c>
      <c r="R54" s="132" t="s">
        <v>677</v>
      </c>
      <c r="S54" s="132" t="s">
        <v>809</v>
      </c>
      <c r="V54" s="130" t="s">
        <v>799</v>
      </c>
      <c r="W54" s="131">
        <v>7098</v>
      </c>
    </row>
    <row r="55" spans="1:23" ht="15">
      <c r="A55" s="2"/>
      <c r="B55" s="2"/>
      <c r="C55" s="2"/>
      <c r="D55" s="2"/>
      <c r="E55" s="2"/>
      <c r="F55" s="2"/>
      <c r="G55" s="2"/>
      <c r="H55" s="3" t="s">
        <v>810</v>
      </c>
      <c r="I55" s="2">
        <f t="shared" si="56"/>
        <v>7957</v>
      </c>
      <c r="J55" s="2" t="str">
        <f t="shared" ref="J55:L55" si="62">INDEX($Z$3:$AA$23, MATCH(P55, $Z$3:$Z$23, 0), 2)</f>
        <v>Heat district before 2030</v>
      </c>
      <c r="K55" s="2" t="str">
        <f t="shared" si="62"/>
        <v>Heat district</v>
      </c>
      <c r="L55" s="2" t="str">
        <f t="shared" si="62"/>
        <v>Geothermal and residual heat</v>
      </c>
      <c r="M55" s="2"/>
      <c r="N55" s="2"/>
      <c r="O55" s="129" t="s">
        <v>810</v>
      </c>
      <c r="P55" s="129" t="s">
        <v>696</v>
      </c>
      <c r="Q55" s="129" t="s">
        <v>687</v>
      </c>
      <c r="R55" s="129" t="s">
        <v>677</v>
      </c>
      <c r="S55" s="129" t="s">
        <v>809</v>
      </c>
      <c r="V55" s="130" t="s">
        <v>801</v>
      </c>
      <c r="W55" s="131">
        <v>2745</v>
      </c>
    </row>
    <row r="56" spans="1:23" ht="15">
      <c r="A56" s="2"/>
      <c r="B56" s="2"/>
      <c r="C56" s="2"/>
      <c r="D56" s="2"/>
      <c r="E56" s="2"/>
      <c r="F56" s="2"/>
      <c r="G56" s="2"/>
      <c r="H56" s="3" t="s">
        <v>811</v>
      </c>
      <c r="I56" s="2">
        <f t="shared" si="56"/>
        <v>6462</v>
      </c>
      <c r="J56" s="2" t="str">
        <f t="shared" ref="J56:L56" si="63">INDEX($Z$3:$AA$23, MATCH(P56, $Z$3:$Z$23, 0), 2)</f>
        <v>Heat district before 2030</v>
      </c>
      <c r="K56" s="2" t="str">
        <f t="shared" si="63"/>
        <v>Heat district</v>
      </c>
      <c r="L56" s="2" t="str">
        <f t="shared" si="63"/>
        <v>Geothermal and residual heat</v>
      </c>
      <c r="M56" s="2"/>
      <c r="N56" s="2"/>
      <c r="O56" s="132" t="s">
        <v>811</v>
      </c>
      <c r="P56" s="132" t="s">
        <v>721</v>
      </c>
      <c r="Q56" s="132" t="s">
        <v>687</v>
      </c>
      <c r="R56" s="132" t="s">
        <v>677</v>
      </c>
      <c r="S56" s="132" t="s">
        <v>805</v>
      </c>
      <c r="V56" s="130" t="s">
        <v>804</v>
      </c>
      <c r="W56" s="131">
        <v>6236</v>
      </c>
    </row>
    <row r="57" spans="1:23" ht="15">
      <c r="A57" s="2"/>
      <c r="B57" s="2"/>
      <c r="C57" s="2"/>
      <c r="D57" s="2"/>
      <c r="E57" s="2"/>
      <c r="F57" s="2"/>
      <c r="G57" s="2"/>
      <c r="H57" s="3" t="s">
        <v>812</v>
      </c>
      <c r="I57" s="2">
        <f t="shared" si="56"/>
        <v>7054</v>
      </c>
      <c r="J57" s="2" t="str">
        <f t="shared" ref="J57:L57" si="64">INDEX($Z$3:$AA$23, MATCH(P57, $Z$3:$Z$23, 0), 2)</f>
        <v>Heat district before 2030</v>
      </c>
      <c r="K57" s="2" t="str">
        <f t="shared" si="64"/>
        <v>Heat district</v>
      </c>
      <c r="L57" s="2" t="str">
        <f t="shared" si="64"/>
        <v>Geothermal and residual heat</v>
      </c>
      <c r="M57" s="2"/>
      <c r="N57" s="2"/>
      <c r="O57" s="129" t="s">
        <v>812</v>
      </c>
      <c r="P57" s="129" t="s">
        <v>721</v>
      </c>
      <c r="Q57" s="129" t="s">
        <v>687</v>
      </c>
      <c r="R57" s="129" t="s">
        <v>677</v>
      </c>
      <c r="S57" s="129" t="s">
        <v>722</v>
      </c>
      <c r="V57" s="130" t="s">
        <v>806</v>
      </c>
      <c r="W57" s="131">
        <v>4733</v>
      </c>
    </row>
    <row r="58" spans="1:23" ht="15">
      <c r="A58" s="2"/>
      <c r="B58" s="2"/>
      <c r="C58" s="2"/>
      <c r="D58" s="2"/>
      <c r="E58" s="2"/>
      <c r="F58" s="2"/>
      <c r="G58" s="2"/>
      <c r="H58" s="3" t="s">
        <v>813</v>
      </c>
      <c r="I58" s="2">
        <f t="shared" si="56"/>
        <v>7329</v>
      </c>
      <c r="J58" s="2" t="str">
        <f t="shared" ref="J58:L58" si="65">INDEX($Z$3:$AA$23, MATCH(P58, $Z$3:$Z$23, 0), 2)</f>
        <v>Heat district before 2030</v>
      </c>
      <c r="K58" s="2" t="str">
        <f t="shared" si="65"/>
        <v>Heat district</v>
      </c>
      <c r="L58" s="2" t="str">
        <f t="shared" si="65"/>
        <v>Geothermal heat</v>
      </c>
      <c r="M58" s="2"/>
      <c r="N58" s="2"/>
      <c r="O58" s="132" t="s">
        <v>813</v>
      </c>
      <c r="P58" s="132" t="s">
        <v>696</v>
      </c>
      <c r="Q58" s="132" t="s">
        <v>687</v>
      </c>
      <c r="R58" s="132" t="s">
        <v>672</v>
      </c>
      <c r="S58" s="132" t="s">
        <v>814</v>
      </c>
      <c r="V58" s="130" t="s">
        <v>808</v>
      </c>
      <c r="W58" s="131">
        <v>6043</v>
      </c>
    </row>
    <row r="59" spans="1:23" ht="15">
      <c r="A59" s="2"/>
      <c r="B59" s="2"/>
      <c r="C59" s="2"/>
      <c r="D59" s="2"/>
      <c r="E59" s="2"/>
      <c r="F59" s="2"/>
      <c r="G59" s="2"/>
      <c r="H59" s="3" t="s">
        <v>815</v>
      </c>
      <c r="I59" s="2">
        <f t="shared" si="56"/>
        <v>8303</v>
      </c>
      <c r="J59" s="2" t="str">
        <f t="shared" ref="J59:L59" si="66">INDEX($Z$3:$AA$23, MATCH(P59, $Z$3:$Z$23, 0), 2)</f>
        <v>Heat district after 2030</v>
      </c>
      <c r="K59" s="2" t="str">
        <f t="shared" si="66"/>
        <v>Heat district</v>
      </c>
      <c r="L59" s="2" t="str">
        <f t="shared" si="66"/>
        <v>Geothermal and residual heat</v>
      </c>
      <c r="M59" s="2"/>
      <c r="N59" s="2"/>
      <c r="O59" s="129" t="s">
        <v>815</v>
      </c>
      <c r="P59" s="129" t="s">
        <v>686</v>
      </c>
      <c r="Q59" s="129" t="s">
        <v>687</v>
      </c>
      <c r="R59" s="129" t="s">
        <v>677</v>
      </c>
      <c r="S59" s="129" t="s">
        <v>816</v>
      </c>
      <c r="V59" s="130" t="s">
        <v>810</v>
      </c>
      <c r="W59" s="131">
        <v>7957</v>
      </c>
    </row>
    <row r="60" spans="1:23" ht="15">
      <c r="A60" s="2"/>
      <c r="B60" s="2"/>
      <c r="C60" s="2"/>
      <c r="D60" s="2"/>
      <c r="E60" s="2"/>
      <c r="F60" s="2"/>
      <c r="G60" s="2"/>
      <c r="H60" s="3" t="s">
        <v>817</v>
      </c>
      <c r="I60" s="2">
        <f t="shared" si="56"/>
        <v>1293</v>
      </c>
      <c r="J60" s="2" t="str">
        <f t="shared" ref="J60:L60" si="67">INDEX($Z$3:$AA$23, MATCH(P60, $Z$3:$Z$23, 0), 2)</f>
        <v>Heat pumps</v>
      </c>
      <c r="K60" s="2" t="str">
        <f t="shared" si="67"/>
        <v>Heat pumps</v>
      </c>
      <c r="L60" s="2" t="str">
        <f t="shared" si="67"/>
        <v>Ambient heat</v>
      </c>
      <c r="M60" s="2"/>
      <c r="N60" s="2"/>
      <c r="O60" s="132" t="s">
        <v>817</v>
      </c>
      <c r="P60" s="132" t="s">
        <v>736</v>
      </c>
      <c r="Q60" s="132" t="s">
        <v>736</v>
      </c>
      <c r="R60" s="132" t="s">
        <v>670</v>
      </c>
      <c r="S60" s="132" t="s">
        <v>818</v>
      </c>
      <c r="V60" s="130" t="s">
        <v>811</v>
      </c>
      <c r="W60" s="131">
        <v>6462</v>
      </c>
    </row>
    <row r="61" spans="1:23" ht="15">
      <c r="A61" s="2"/>
      <c r="B61" s="2"/>
      <c r="C61" s="2"/>
      <c r="D61" s="2"/>
      <c r="E61" s="2"/>
      <c r="F61" s="2"/>
      <c r="G61" s="2"/>
      <c r="H61" s="3" t="s">
        <v>819</v>
      </c>
      <c r="I61" s="2">
        <f t="shared" si="56"/>
        <v>4586</v>
      </c>
      <c r="J61" s="2" t="str">
        <f t="shared" ref="J61:L61" si="68">INDEX($Z$3:$AA$23, MATCH(P61, $Z$3:$Z$23, 0), 2)</f>
        <v>Heating option to be determined: hybrid heat pumps</v>
      </c>
      <c r="K61" s="2" t="str">
        <f t="shared" si="68"/>
        <v>Heating option to be determined: heat pumps, heat networks or a mix</v>
      </c>
      <c r="L61" s="2" t="str">
        <f t="shared" si="68"/>
        <v>Geothermal heat</v>
      </c>
      <c r="M61" s="2"/>
      <c r="N61" s="2"/>
      <c r="O61" s="129" t="s">
        <v>819</v>
      </c>
      <c r="P61" s="129" t="s">
        <v>668</v>
      </c>
      <c r="Q61" s="129" t="s">
        <v>669</v>
      </c>
      <c r="R61" s="129" t="s">
        <v>672</v>
      </c>
      <c r="S61" s="129" t="s">
        <v>820</v>
      </c>
      <c r="V61" s="130" t="s">
        <v>812</v>
      </c>
      <c r="W61" s="131">
        <v>7054</v>
      </c>
    </row>
    <row r="62" spans="1:23" ht="15">
      <c r="A62" s="2"/>
      <c r="B62" s="2"/>
      <c r="C62" s="2"/>
      <c r="D62" s="2"/>
      <c r="E62" s="2"/>
      <c r="F62" s="2"/>
      <c r="G62" s="2"/>
      <c r="H62" s="3" t="s">
        <v>821</v>
      </c>
      <c r="I62" s="2">
        <f t="shared" si="56"/>
        <v>8307</v>
      </c>
      <c r="J62" s="2" t="str">
        <f t="shared" ref="J62:L62" si="69">INDEX($Z$3:$AA$23, MATCH(P62, $Z$3:$Z$23, 0), 2)</f>
        <v>Heating option to be determined: hybrid heat pumps</v>
      </c>
      <c r="K62" s="2" t="str">
        <f t="shared" si="69"/>
        <v>Heating option to be determined: heat pumps, heat networks or a mix</v>
      </c>
      <c r="L62" s="2" t="str">
        <f t="shared" si="69"/>
        <v>Geothermal heat</v>
      </c>
      <c r="M62" s="2"/>
      <c r="N62" s="2"/>
      <c r="O62" s="132" t="s">
        <v>821</v>
      </c>
      <c r="P62" s="132" t="s">
        <v>668</v>
      </c>
      <c r="Q62" s="132" t="s">
        <v>669</v>
      </c>
      <c r="R62" s="132" t="s">
        <v>672</v>
      </c>
      <c r="S62" s="132" t="s">
        <v>820</v>
      </c>
      <c r="V62" s="130" t="s">
        <v>822</v>
      </c>
      <c r="W62" s="131">
        <v>1631</v>
      </c>
    </row>
    <row r="63" spans="1:23" ht="15">
      <c r="A63" s="2"/>
      <c r="B63" s="2"/>
      <c r="C63" s="2"/>
      <c r="D63" s="2"/>
      <c r="E63" s="2"/>
      <c r="F63" s="2"/>
      <c r="G63" s="2"/>
      <c r="H63" s="3" t="s">
        <v>823</v>
      </c>
      <c r="I63" s="2">
        <f t="shared" si="56"/>
        <v>0</v>
      </c>
      <c r="J63" s="2" t="str">
        <f t="shared" ref="J63:L63" si="70">INDEX($Z$3:$AA$23, MATCH(P63, $Z$3:$Z$23, 0), 2)</f>
        <v>Heat pumps</v>
      </c>
      <c r="K63" s="2" t="str">
        <f t="shared" si="70"/>
        <v>Heat pumps</v>
      </c>
      <c r="L63" s="2" t="str">
        <f t="shared" si="70"/>
        <v>Ambient heat</v>
      </c>
      <c r="M63" s="2"/>
      <c r="N63" s="2"/>
      <c r="O63" s="129" t="s">
        <v>823</v>
      </c>
      <c r="P63" s="129" t="s">
        <v>736</v>
      </c>
      <c r="Q63" s="129" t="s">
        <v>736</v>
      </c>
      <c r="R63" s="129" t="s">
        <v>670</v>
      </c>
      <c r="S63" s="129" t="s">
        <v>824</v>
      </c>
      <c r="V63" s="130" t="s">
        <v>813</v>
      </c>
      <c r="W63" s="131">
        <v>7329</v>
      </c>
    </row>
    <row r="64" spans="1:23" ht="15">
      <c r="A64" s="2"/>
      <c r="B64" s="2"/>
      <c r="C64" s="2"/>
      <c r="D64" s="2"/>
      <c r="E64" s="2"/>
      <c r="F64" s="2"/>
      <c r="G64" s="2"/>
      <c r="H64" s="3" t="s">
        <v>825</v>
      </c>
      <c r="I64" s="2">
        <f t="shared" si="56"/>
        <v>2964</v>
      </c>
      <c r="J64" s="2" t="str">
        <f t="shared" ref="J64:L64" si="71">INDEX($Z$3:$AA$23, MATCH(P64, $Z$3:$Z$23, 0), 2)</f>
        <v>Heating option to be determined: hybrid heat pumps</v>
      </c>
      <c r="K64" s="2" t="str">
        <f t="shared" si="71"/>
        <v>Heating option to be determined: heat pumps, heat networks or a mix</v>
      </c>
      <c r="L64" s="2" t="str">
        <f t="shared" si="71"/>
        <v>Geothermal and ambient heat</v>
      </c>
      <c r="M64" s="2"/>
      <c r="N64" s="2"/>
      <c r="O64" s="132" t="s">
        <v>825</v>
      </c>
      <c r="P64" s="132" t="s">
        <v>668</v>
      </c>
      <c r="Q64" s="132" t="s">
        <v>669</v>
      </c>
      <c r="R64" s="132" t="s">
        <v>690</v>
      </c>
      <c r="S64" s="132" t="s">
        <v>706</v>
      </c>
      <c r="V64" s="130" t="s">
        <v>815</v>
      </c>
      <c r="W64" s="131">
        <v>8303</v>
      </c>
    </row>
    <row r="65" spans="1:23" ht="15">
      <c r="A65" s="2"/>
      <c r="B65" s="2"/>
      <c r="C65" s="2"/>
      <c r="D65" s="2"/>
      <c r="E65" s="2"/>
      <c r="F65" s="2"/>
      <c r="G65" s="2"/>
      <c r="H65" s="3" t="s">
        <v>826</v>
      </c>
      <c r="I65" s="2">
        <f t="shared" si="56"/>
        <v>3461</v>
      </c>
      <c r="J65" s="2" t="str">
        <f t="shared" ref="J65:L65" si="72">INDEX($Z$3:$AA$23, MATCH(P65, $Z$3:$Z$23, 0), 2)</f>
        <v>Heat pumps</v>
      </c>
      <c r="K65" s="2" t="str">
        <f t="shared" si="72"/>
        <v>Heat pumps</v>
      </c>
      <c r="L65" s="2" t="str">
        <f t="shared" si="72"/>
        <v>Ambient heat</v>
      </c>
      <c r="M65" s="2"/>
      <c r="N65" s="2"/>
      <c r="O65" s="129" t="s">
        <v>826</v>
      </c>
      <c r="P65" s="129" t="s">
        <v>736</v>
      </c>
      <c r="Q65" s="129" t="s">
        <v>736</v>
      </c>
      <c r="R65" s="129" t="s">
        <v>670</v>
      </c>
      <c r="S65" s="129" t="s">
        <v>827</v>
      </c>
      <c r="V65" s="130" t="s">
        <v>817</v>
      </c>
      <c r="W65" s="131">
        <v>1293</v>
      </c>
    </row>
    <row r="66" spans="1:23" ht="15">
      <c r="A66" s="2"/>
      <c r="B66" s="2"/>
      <c r="C66" s="2"/>
      <c r="D66" s="2"/>
      <c r="E66" s="2"/>
      <c r="F66" s="2"/>
      <c r="G66" s="2"/>
      <c r="H66" s="3" t="s">
        <v>828</v>
      </c>
      <c r="I66" s="2">
        <f t="shared" si="56"/>
        <v>2724</v>
      </c>
      <c r="J66" s="2" t="str">
        <f t="shared" ref="J66:L66" si="73">INDEX($Z$3:$AA$23, MATCH(P66, $Z$3:$Z$23, 0), 2)</f>
        <v>Heat pumps</v>
      </c>
      <c r="K66" s="2" t="str">
        <f t="shared" si="73"/>
        <v>Heat pumps</v>
      </c>
      <c r="L66" s="2" t="str">
        <f t="shared" si="73"/>
        <v>Ambient heat</v>
      </c>
      <c r="M66" s="2"/>
      <c r="N66" s="2"/>
      <c r="O66" s="132" t="s">
        <v>828</v>
      </c>
      <c r="P66" s="132" t="s">
        <v>736</v>
      </c>
      <c r="Q66" s="132" t="s">
        <v>736</v>
      </c>
      <c r="R66" s="132" t="s">
        <v>670</v>
      </c>
      <c r="S66" s="132" t="s">
        <v>829</v>
      </c>
      <c r="V66" s="130" t="s">
        <v>819</v>
      </c>
      <c r="W66" s="131">
        <v>4586</v>
      </c>
    </row>
    <row r="67" spans="1:23" ht="15">
      <c r="A67" s="2"/>
      <c r="B67" s="2"/>
      <c r="C67" s="2"/>
      <c r="D67" s="2"/>
      <c r="E67" s="2"/>
      <c r="F67" s="2"/>
      <c r="G67" s="2"/>
      <c r="H67" s="3" t="s">
        <v>830</v>
      </c>
      <c r="I67" s="2">
        <f t="shared" si="56"/>
        <v>1713</v>
      </c>
      <c r="J67" s="2" t="str">
        <f t="shared" ref="J67:L67" si="74">INDEX($Z$3:$AA$23, MATCH(P67, $Z$3:$Z$23, 0), 2)</f>
        <v>Heating option to be determined: hybrid heat pumps</v>
      </c>
      <c r="K67" s="2" t="str">
        <f t="shared" si="74"/>
        <v>Heating option to be determined: heat pumps, heat networks or a mix</v>
      </c>
      <c r="L67" s="2" t="str">
        <f t="shared" si="74"/>
        <v>Ambient heat</v>
      </c>
      <c r="M67" s="2"/>
      <c r="N67" s="2"/>
      <c r="O67" s="129" t="s">
        <v>830</v>
      </c>
      <c r="P67" s="129" t="s">
        <v>668</v>
      </c>
      <c r="Q67" s="129" t="s">
        <v>669</v>
      </c>
      <c r="R67" s="129" t="s">
        <v>670</v>
      </c>
      <c r="S67" s="129" t="s">
        <v>706</v>
      </c>
      <c r="V67" s="130" t="s">
        <v>821</v>
      </c>
      <c r="W67" s="131">
        <v>8307</v>
      </c>
    </row>
    <row r="68" spans="1:23" ht="15">
      <c r="A68" s="2"/>
      <c r="B68" s="2"/>
      <c r="C68" s="2"/>
      <c r="D68" s="2"/>
      <c r="E68" s="2"/>
      <c r="F68" s="2"/>
      <c r="G68" s="2"/>
      <c r="H68" s="3" t="s">
        <v>831</v>
      </c>
      <c r="I68" s="2">
        <f>W73</f>
        <v>3882</v>
      </c>
      <c r="J68" s="2" t="str">
        <f t="shared" ref="J68:L68" si="75">INDEX($Z$3:$AA$23, MATCH(P68, $Z$3:$Z$23, 0), 2)</f>
        <v>Heat district after 2030</v>
      </c>
      <c r="K68" s="2" t="str">
        <f t="shared" si="75"/>
        <v>Heat district</v>
      </c>
      <c r="L68" s="2" t="str">
        <f t="shared" si="75"/>
        <v>Geothermal and residual heat</v>
      </c>
      <c r="M68" s="2"/>
      <c r="N68" s="2"/>
      <c r="O68" s="132" t="s">
        <v>831</v>
      </c>
      <c r="P68" s="132" t="s">
        <v>686</v>
      </c>
      <c r="Q68" s="132" t="s">
        <v>687</v>
      </c>
      <c r="R68" s="132" t="s">
        <v>677</v>
      </c>
      <c r="S68" s="132" t="s">
        <v>832</v>
      </c>
      <c r="V68" s="130" t="s">
        <v>823</v>
      </c>
      <c r="W68" s="133"/>
    </row>
    <row r="69" spans="1:23" ht="15">
      <c r="A69" s="2"/>
      <c r="B69" s="2"/>
      <c r="C69" s="2"/>
      <c r="D69" s="2"/>
      <c r="E69" s="2"/>
      <c r="F69" s="2"/>
      <c r="G69" s="2"/>
      <c r="H69" s="3" t="s">
        <v>833</v>
      </c>
      <c r="I69" s="2">
        <f t="shared" ref="I69:I76" si="76">INDEX($V$2:$W$116, MATCH($H69,$V$2:$V$116, 0), 2)</f>
        <v>880</v>
      </c>
      <c r="J69" s="2" t="str">
        <f t="shared" ref="J69:L69" si="77">INDEX($Z$3:$AA$23, MATCH(P69, $Z$3:$Z$23, 0), 2)</f>
        <v>Heat district after 2030</v>
      </c>
      <c r="K69" s="2" t="str">
        <f t="shared" si="77"/>
        <v>Heat district</v>
      </c>
      <c r="L69" s="2" t="str">
        <f t="shared" si="77"/>
        <v>Geothermal and residual heat</v>
      </c>
      <c r="M69" s="2"/>
      <c r="N69" s="2"/>
      <c r="O69" s="129" t="s">
        <v>833</v>
      </c>
      <c r="P69" s="129" t="s">
        <v>711</v>
      </c>
      <c r="Q69" s="129" t="s">
        <v>687</v>
      </c>
      <c r="R69" s="129" t="s">
        <v>677</v>
      </c>
      <c r="S69" s="129" t="s">
        <v>834</v>
      </c>
      <c r="V69" s="130" t="s">
        <v>825</v>
      </c>
      <c r="W69" s="131">
        <v>2964</v>
      </c>
    </row>
    <row r="70" spans="1:23" ht="15">
      <c r="A70" s="2"/>
      <c r="B70" s="2"/>
      <c r="C70" s="2"/>
      <c r="D70" s="2"/>
      <c r="E70" s="2"/>
      <c r="F70" s="2"/>
      <c r="G70" s="2"/>
      <c r="H70" s="3" t="s">
        <v>835</v>
      </c>
      <c r="I70" s="2">
        <f t="shared" si="76"/>
        <v>6407</v>
      </c>
      <c r="J70" s="2" t="str">
        <f t="shared" ref="J70:L70" si="78">INDEX($Z$3:$AA$23, MATCH(P70, $Z$3:$Z$23, 0), 2)</f>
        <v>Heating option to be determined: hybrid heat pumps</v>
      </c>
      <c r="K70" s="2" t="str">
        <f t="shared" si="78"/>
        <v>Heating option to be determined: heat pumps, heat networks or a mix</v>
      </c>
      <c r="L70" s="2" t="str">
        <f t="shared" si="78"/>
        <v>Geothermal and ambient heat</v>
      </c>
      <c r="M70" s="2"/>
      <c r="N70" s="2"/>
      <c r="O70" s="132" t="s">
        <v>835</v>
      </c>
      <c r="P70" s="132" t="s">
        <v>668</v>
      </c>
      <c r="Q70" s="132" t="s">
        <v>669</v>
      </c>
      <c r="R70" s="132" t="s">
        <v>690</v>
      </c>
      <c r="S70" s="132" t="s">
        <v>836</v>
      </c>
      <c r="V70" s="130" t="s">
        <v>837</v>
      </c>
      <c r="W70" s="131">
        <v>3461</v>
      </c>
    </row>
    <row r="71" spans="1:23" ht="15">
      <c r="A71" s="2"/>
      <c r="B71" s="2"/>
      <c r="C71" s="2"/>
      <c r="D71" s="2"/>
      <c r="E71" s="2"/>
      <c r="F71" s="2"/>
      <c r="G71" s="2"/>
      <c r="H71" s="3" t="s">
        <v>838</v>
      </c>
      <c r="I71" s="2">
        <f t="shared" si="76"/>
        <v>3222</v>
      </c>
      <c r="J71" s="2" t="str">
        <f t="shared" ref="J71:L71" si="79">INDEX($Z$3:$AA$23, MATCH(P71, $Z$3:$Z$23, 0), 2)</f>
        <v>Heat district before 2030</v>
      </c>
      <c r="K71" s="2" t="str">
        <f t="shared" si="79"/>
        <v>Heat district</v>
      </c>
      <c r="L71" s="2" t="str">
        <f t="shared" si="79"/>
        <v>Geothermal heat</v>
      </c>
      <c r="M71" s="2"/>
      <c r="N71" s="2"/>
      <c r="O71" s="129" t="s">
        <v>838</v>
      </c>
      <c r="P71" s="129" t="s">
        <v>721</v>
      </c>
      <c r="Q71" s="129" t="s">
        <v>687</v>
      </c>
      <c r="R71" s="129" t="s">
        <v>672</v>
      </c>
      <c r="S71" s="129" t="s">
        <v>839</v>
      </c>
      <c r="V71" s="130" t="s">
        <v>828</v>
      </c>
      <c r="W71" s="131">
        <v>2724</v>
      </c>
    </row>
    <row r="72" spans="1:23" ht="15">
      <c r="A72" s="2"/>
      <c r="B72" s="2"/>
      <c r="C72" s="2"/>
      <c r="D72" s="2"/>
      <c r="E72" s="2"/>
      <c r="F72" s="2"/>
      <c r="G72" s="2"/>
      <c r="H72" s="3" t="s">
        <v>840</v>
      </c>
      <c r="I72" s="2">
        <f t="shared" si="76"/>
        <v>6085</v>
      </c>
      <c r="J72" s="2" t="str">
        <f t="shared" ref="J72:L72" si="80">INDEX($Z$3:$AA$23, MATCH(P72, $Z$3:$Z$23, 0), 2)</f>
        <v>Heating option to be determined: hybrid heat pumps</v>
      </c>
      <c r="K72" s="2" t="str">
        <f t="shared" si="80"/>
        <v>Heating option to be determined: heat pumps, heat networks or a mix</v>
      </c>
      <c r="L72" s="2" t="str">
        <f t="shared" si="80"/>
        <v>Geothermal heat</v>
      </c>
      <c r="M72" s="2"/>
      <c r="N72" s="2"/>
      <c r="O72" s="132" t="s">
        <v>840</v>
      </c>
      <c r="P72" s="132" t="s">
        <v>668</v>
      </c>
      <c r="Q72" s="132" t="s">
        <v>669</v>
      </c>
      <c r="R72" s="132" t="s">
        <v>672</v>
      </c>
      <c r="S72" s="132" t="s">
        <v>841</v>
      </c>
      <c r="V72" s="130" t="s">
        <v>830</v>
      </c>
      <c r="W72" s="131">
        <v>1713</v>
      </c>
    </row>
    <row r="73" spans="1:23" ht="15">
      <c r="A73" s="2"/>
      <c r="B73" s="2"/>
      <c r="C73" s="2"/>
      <c r="D73" s="2"/>
      <c r="E73" s="2"/>
      <c r="F73" s="2"/>
      <c r="G73" s="2"/>
      <c r="H73" s="3" t="s">
        <v>842</v>
      </c>
      <c r="I73" s="2">
        <f t="shared" si="76"/>
        <v>5613</v>
      </c>
      <c r="J73" s="2" t="str">
        <f t="shared" ref="J73:L73" si="81">INDEX($Z$3:$AA$23, MATCH(P73, $Z$3:$Z$23, 0), 2)</f>
        <v>Heating option to be determined: hybrid heat pumps</v>
      </c>
      <c r="K73" s="2" t="str">
        <f t="shared" si="81"/>
        <v>Heating option to be determined: heat pumps, heat networks or a mix</v>
      </c>
      <c r="L73" s="2" t="str">
        <f t="shared" si="81"/>
        <v>Ambient heat</v>
      </c>
      <c r="M73" s="2"/>
      <c r="N73" s="2"/>
      <c r="O73" s="129" t="s">
        <v>842</v>
      </c>
      <c r="P73" s="129" t="s">
        <v>668</v>
      </c>
      <c r="Q73" s="129" t="s">
        <v>669</v>
      </c>
      <c r="R73" s="129" t="s">
        <v>670</v>
      </c>
      <c r="S73" s="129" t="s">
        <v>706</v>
      </c>
      <c r="V73" s="130" t="s">
        <v>843</v>
      </c>
      <c r="W73" s="131">
        <v>3882</v>
      </c>
    </row>
    <row r="74" spans="1:23" ht="15">
      <c r="A74" s="2"/>
      <c r="B74" s="2"/>
      <c r="C74" s="2"/>
      <c r="D74" s="2"/>
      <c r="E74" s="2"/>
      <c r="F74" s="2"/>
      <c r="G74" s="2"/>
      <c r="H74" s="3" t="s">
        <v>844</v>
      </c>
      <c r="I74" s="2">
        <f t="shared" si="76"/>
        <v>9754</v>
      </c>
      <c r="J74" s="2" t="str">
        <f t="shared" ref="J74:L74" si="82">INDEX($Z$3:$AA$23, MATCH(P74, $Z$3:$Z$23, 0), 2)</f>
        <v>Heat district before 2030</v>
      </c>
      <c r="K74" s="2" t="str">
        <f t="shared" si="82"/>
        <v>Heat district</v>
      </c>
      <c r="L74" s="2" t="str">
        <f t="shared" si="82"/>
        <v>Geothermal and residual heat</v>
      </c>
      <c r="M74" s="2"/>
      <c r="N74" s="2"/>
      <c r="O74" s="132" t="s">
        <v>844</v>
      </c>
      <c r="P74" s="132" t="s">
        <v>696</v>
      </c>
      <c r="Q74" s="132" t="s">
        <v>687</v>
      </c>
      <c r="R74" s="132" t="s">
        <v>677</v>
      </c>
      <c r="S74" s="132" t="s">
        <v>845</v>
      </c>
      <c r="V74" s="130" t="s">
        <v>833</v>
      </c>
      <c r="W74" s="131">
        <v>880</v>
      </c>
    </row>
    <row r="75" spans="1:23" ht="15">
      <c r="A75" s="2"/>
      <c r="B75" s="2"/>
      <c r="C75" s="2"/>
      <c r="D75" s="2"/>
      <c r="E75" s="2"/>
      <c r="F75" s="2"/>
      <c r="G75" s="2"/>
      <c r="H75" s="3" t="s">
        <v>846</v>
      </c>
      <c r="I75" s="2">
        <f t="shared" si="76"/>
        <v>6809</v>
      </c>
      <c r="J75" s="2" t="str">
        <f t="shared" ref="J75:L75" si="83">INDEX($Z$3:$AA$23, MATCH(P75, $Z$3:$Z$23, 0), 2)</f>
        <v>Heat district before 2030</v>
      </c>
      <c r="K75" s="2" t="str">
        <f t="shared" si="83"/>
        <v>Heat district</v>
      </c>
      <c r="L75" s="2" t="str">
        <f t="shared" si="83"/>
        <v>Geothermal and residual heat</v>
      </c>
      <c r="M75" s="2"/>
      <c r="N75" s="2"/>
      <c r="O75" s="129" t="s">
        <v>846</v>
      </c>
      <c r="P75" s="129" t="s">
        <v>696</v>
      </c>
      <c r="Q75" s="129" t="s">
        <v>687</v>
      </c>
      <c r="R75" s="129" t="s">
        <v>677</v>
      </c>
      <c r="S75" s="129" t="s">
        <v>847</v>
      </c>
      <c r="V75" s="130" t="s">
        <v>835</v>
      </c>
      <c r="W75" s="131">
        <v>6407</v>
      </c>
    </row>
    <row r="76" spans="1:23" ht="15">
      <c r="A76" s="2"/>
      <c r="B76" s="2"/>
      <c r="C76" s="2"/>
      <c r="D76" s="2"/>
      <c r="E76" s="2"/>
      <c r="F76" s="2"/>
      <c r="G76" s="2"/>
      <c r="H76" s="3" t="s">
        <v>848</v>
      </c>
      <c r="I76" s="2">
        <f t="shared" si="76"/>
        <v>14332</v>
      </c>
      <c r="J76" s="2" t="str">
        <f t="shared" ref="J76:L76" si="84">INDEX($Z$3:$AA$23, MATCH(P76, $Z$3:$Z$23, 0), 2)</f>
        <v>Heat district before 2030</v>
      </c>
      <c r="K76" s="2" t="str">
        <f t="shared" si="84"/>
        <v>Heat district</v>
      </c>
      <c r="L76" s="2" t="str">
        <f t="shared" si="84"/>
        <v>Geothermal and residual heat</v>
      </c>
      <c r="M76" s="2"/>
      <c r="N76" s="2"/>
      <c r="O76" s="132" t="s">
        <v>848</v>
      </c>
      <c r="P76" s="132" t="s">
        <v>696</v>
      </c>
      <c r="Q76" s="132" t="s">
        <v>687</v>
      </c>
      <c r="R76" s="132" t="s">
        <v>677</v>
      </c>
      <c r="S76" s="132" t="s">
        <v>847</v>
      </c>
      <c r="V76" s="130" t="s">
        <v>838</v>
      </c>
      <c r="W76" s="131">
        <v>3222</v>
      </c>
    </row>
    <row r="77" spans="1:23" ht="15">
      <c r="A77" s="2"/>
      <c r="B77" s="2"/>
      <c r="C77" s="2"/>
      <c r="D77" s="2"/>
      <c r="E77" s="2"/>
      <c r="F77" s="2"/>
      <c r="G77" s="2"/>
      <c r="H77" s="3" t="s">
        <v>849</v>
      </c>
      <c r="I77" s="2">
        <f>W82</f>
        <v>5505</v>
      </c>
      <c r="J77" s="2" t="str">
        <f t="shared" ref="J77:L77" si="85">INDEX($Z$3:$AA$23, MATCH(P77, $Z$3:$Z$23, 0), 2)</f>
        <v>Heat pumps</v>
      </c>
      <c r="K77" s="2" t="str">
        <f t="shared" si="85"/>
        <v>Heat pumps</v>
      </c>
      <c r="L77" s="2" t="str">
        <f t="shared" si="85"/>
        <v>Ambient heat</v>
      </c>
      <c r="M77" s="2"/>
      <c r="N77" s="2"/>
      <c r="O77" s="129" t="s">
        <v>849</v>
      </c>
      <c r="P77" s="129" t="s">
        <v>736</v>
      </c>
      <c r="Q77" s="129" t="s">
        <v>736</v>
      </c>
      <c r="R77" s="129" t="s">
        <v>670</v>
      </c>
      <c r="S77" s="129" t="s">
        <v>850</v>
      </c>
      <c r="V77" s="130" t="s">
        <v>840</v>
      </c>
      <c r="W77" s="131">
        <v>6085</v>
      </c>
    </row>
    <row r="78" spans="1:23" ht="15">
      <c r="A78" s="2"/>
      <c r="B78" s="2"/>
      <c r="C78" s="2"/>
      <c r="D78" s="2"/>
      <c r="E78" s="2"/>
      <c r="F78" s="2"/>
      <c r="G78" s="2"/>
      <c r="H78" s="3" t="s">
        <v>851</v>
      </c>
      <c r="I78" s="2">
        <f t="shared" ref="I78:I80" si="86">INDEX($V$2:$W$116, MATCH($H78,$V$2:$V$116, 0), 2)</f>
        <v>4357</v>
      </c>
      <c r="J78" s="2" t="str">
        <f t="shared" ref="J78:L78" si="87">INDEX($Z$3:$AA$23, MATCH(P78, $Z$3:$Z$23, 0), 2)</f>
        <v>Heating option to be determined: hybrid heat pumps</v>
      </c>
      <c r="K78" s="2" t="str">
        <f t="shared" si="87"/>
        <v>Heating option to be determined: heat pumps, heat networks or a mix</v>
      </c>
      <c r="L78" s="2" t="str">
        <f t="shared" si="87"/>
        <v>Geothermal and residual heat</v>
      </c>
      <c r="M78" s="2"/>
      <c r="N78" s="2"/>
      <c r="O78" s="132" t="s">
        <v>851</v>
      </c>
      <c r="P78" s="132" t="s">
        <v>668</v>
      </c>
      <c r="Q78" s="132" t="s">
        <v>669</v>
      </c>
      <c r="R78" s="132" t="s">
        <v>677</v>
      </c>
      <c r="S78" s="132" t="s">
        <v>852</v>
      </c>
      <c r="V78" s="130" t="s">
        <v>842</v>
      </c>
      <c r="W78" s="131">
        <v>5613</v>
      </c>
    </row>
    <row r="79" spans="1:23" ht="15">
      <c r="A79" s="2"/>
      <c r="B79" s="2"/>
      <c r="C79" s="2"/>
      <c r="D79" s="2"/>
      <c r="E79" s="2"/>
      <c r="F79" s="2"/>
      <c r="G79" s="2"/>
      <c r="H79" s="3" t="s">
        <v>853</v>
      </c>
      <c r="I79" s="2">
        <f t="shared" si="86"/>
        <v>2805</v>
      </c>
      <c r="J79" s="2" t="str">
        <f t="shared" ref="J79:L79" si="88">INDEX($Z$3:$AA$23, MATCH(P79, $Z$3:$Z$23, 0), 2)</f>
        <v>Heating option to be determined: hybrid heat pumps</v>
      </c>
      <c r="K79" s="2" t="str">
        <f t="shared" si="88"/>
        <v>Heating option to be determined: heat pumps, heat networks or a mix</v>
      </c>
      <c r="L79" s="2" t="str">
        <f t="shared" si="88"/>
        <v>Geothermal and ambient heat</v>
      </c>
      <c r="M79" s="2"/>
      <c r="N79" s="2"/>
      <c r="O79" s="129" t="s">
        <v>853</v>
      </c>
      <c r="P79" s="129" t="s">
        <v>668</v>
      </c>
      <c r="Q79" s="129" t="s">
        <v>669</v>
      </c>
      <c r="R79" s="129" t="s">
        <v>690</v>
      </c>
      <c r="S79" s="129" t="s">
        <v>854</v>
      </c>
      <c r="V79" s="130" t="s">
        <v>844</v>
      </c>
      <c r="W79" s="131">
        <v>9754</v>
      </c>
    </row>
    <row r="80" spans="1:23" ht="15">
      <c r="A80" s="2"/>
      <c r="B80" s="2"/>
      <c r="C80" s="2"/>
      <c r="D80" s="2"/>
      <c r="E80" s="2"/>
      <c r="F80" s="2"/>
      <c r="G80" s="2"/>
      <c r="H80" s="3" t="s">
        <v>855</v>
      </c>
      <c r="I80" s="2">
        <f t="shared" si="86"/>
        <v>10345</v>
      </c>
      <c r="J80" s="2" t="str">
        <f t="shared" ref="J80:L80" si="89">INDEX($Z$3:$AA$23, MATCH(P80, $Z$3:$Z$23, 0), 2)</f>
        <v>Heating option to be determined: hybrid heat pumps</v>
      </c>
      <c r="K80" s="2" t="str">
        <f t="shared" si="89"/>
        <v>Heating option to be determined: heat pumps, heat networks or a mix</v>
      </c>
      <c r="L80" s="2" t="str">
        <f t="shared" si="89"/>
        <v>Geothermal and ambient heat</v>
      </c>
      <c r="M80" s="2"/>
      <c r="N80" s="2"/>
      <c r="O80" s="132" t="s">
        <v>855</v>
      </c>
      <c r="P80" s="132" t="s">
        <v>668</v>
      </c>
      <c r="Q80" s="132" t="s">
        <v>669</v>
      </c>
      <c r="R80" s="132" t="s">
        <v>690</v>
      </c>
      <c r="S80" s="132" t="s">
        <v>856</v>
      </c>
      <c r="V80" s="130" t="s">
        <v>846</v>
      </c>
      <c r="W80" s="131">
        <v>6809</v>
      </c>
    </row>
    <row r="81" spans="1:23" ht="15">
      <c r="A81" s="2"/>
      <c r="B81" s="2"/>
      <c r="C81" s="2"/>
      <c r="D81" s="2"/>
      <c r="E81" s="2"/>
      <c r="F81" s="2"/>
      <c r="G81" s="2"/>
      <c r="H81" s="3" t="s">
        <v>857</v>
      </c>
      <c r="I81" s="2">
        <f>W86</f>
        <v>5905</v>
      </c>
      <c r="J81" s="2" t="str">
        <f t="shared" ref="J81:L81" si="90">INDEX($Z$3:$AA$23, MATCH(P81, $Z$3:$Z$23, 0), 2)</f>
        <v>Heating option to be determined: hybrid heat pumps</v>
      </c>
      <c r="K81" s="2" t="str">
        <f t="shared" si="90"/>
        <v>Heating option to be determined: heat pumps, heat networks or a mix</v>
      </c>
      <c r="L81" s="2" t="str">
        <f t="shared" si="90"/>
        <v>Geothermal and ambient heat</v>
      </c>
      <c r="M81" s="2"/>
      <c r="N81" s="2"/>
      <c r="O81" s="129" t="s">
        <v>857</v>
      </c>
      <c r="P81" s="129" t="s">
        <v>668</v>
      </c>
      <c r="Q81" s="129" t="s">
        <v>669</v>
      </c>
      <c r="R81" s="129" t="s">
        <v>690</v>
      </c>
      <c r="S81" s="129" t="s">
        <v>760</v>
      </c>
      <c r="V81" s="130" t="s">
        <v>848</v>
      </c>
      <c r="W81" s="131">
        <v>14332</v>
      </c>
    </row>
    <row r="82" spans="1:23" ht="15">
      <c r="A82" s="2"/>
      <c r="B82" s="2"/>
      <c r="C82" s="2"/>
      <c r="D82" s="2"/>
      <c r="E82" s="2"/>
      <c r="F82" s="2"/>
      <c r="G82" s="2"/>
      <c r="H82" s="3" t="s">
        <v>858</v>
      </c>
      <c r="I82" s="2">
        <f t="shared" ref="I82:I85" si="91">INDEX($V$2:$W$116, MATCH($H82,$V$2:$V$116, 0), 2)</f>
        <v>0</v>
      </c>
      <c r="J82" s="2" t="str">
        <f t="shared" ref="J82:L82" si="92">INDEX($Z$3:$AA$23, MATCH(P82, $Z$3:$Z$23, 0), 2)</f>
        <v>Heat pumps</v>
      </c>
      <c r="K82" s="2" t="str">
        <f t="shared" si="92"/>
        <v>Heat pumps</v>
      </c>
      <c r="L82" s="2" t="str">
        <f t="shared" si="92"/>
        <v>Geothermal and ambient heat</v>
      </c>
      <c r="M82" s="2"/>
      <c r="N82" s="2"/>
      <c r="O82" s="132" t="s">
        <v>858</v>
      </c>
      <c r="P82" s="132" t="s">
        <v>736</v>
      </c>
      <c r="Q82" s="132" t="s">
        <v>736</v>
      </c>
      <c r="R82" s="132" t="s">
        <v>683</v>
      </c>
      <c r="S82" s="132" t="s">
        <v>859</v>
      </c>
      <c r="V82" s="130" t="s">
        <v>860</v>
      </c>
      <c r="W82" s="131">
        <v>5505</v>
      </c>
    </row>
    <row r="83" spans="1:23" ht="15">
      <c r="A83" s="2"/>
      <c r="B83" s="2"/>
      <c r="C83" s="2"/>
      <c r="D83" s="2"/>
      <c r="E83" s="2"/>
      <c r="F83" s="2"/>
      <c r="G83" s="2"/>
      <c r="H83" s="3" t="s">
        <v>861</v>
      </c>
      <c r="I83" s="2">
        <f t="shared" si="91"/>
        <v>5065</v>
      </c>
      <c r="J83" s="2" t="str">
        <f t="shared" ref="J83:L83" si="93">INDEX($Z$3:$AA$23, MATCH(P83, $Z$3:$Z$23, 0), 2)</f>
        <v>Heat district after 2030</v>
      </c>
      <c r="K83" s="2" t="str">
        <f t="shared" si="93"/>
        <v>Heat district</v>
      </c>
      <c r="L83" s="2" t="str">
        <f t="shared" si="93"/>
        <v>Geothermal and residual heat</v>
      </c>
      <c r="M83" s="2"/>
      <c r="N83" s="2"/>
      <c r="O83" s="129" t="s">
        <v>861</v>
      </c>
      <c r="P83" s="129" t="s">
        <v>711</v>
      </c>
      <c r="Q83" s="129" t="s">
        <v>687</v>
      </c>
      <c r="R83" s="129" t="s">
        <v>677</v>
      </c>
      <c r="S83" s="129" t="s">
        <v>862</v>
      </c>
      <c r="V83" s="130" t="s">
        <v>851</v>
      </c>
      <c r="W83" s="131">
        <v>4357</v>
      </c>
    </row>
    <row r="84" spans="1:23" ht="15">
      <c r="A84" s="2"/>
      <c r="B84" s="2"/>
      <c r="C84" s="2"/>
      <c r="D84" s="2"/>
      <c r="E84" s="2"/>
      <c r="F84" s="2"/>
      <c r="G84" s="2"/>
      <c r="H84" s="3" t="s">
        <v>863</v>
      </c>
      <c r="I84" s="2">
        <f t="shared" si="91"/>
        <v>3885</v>
      </c>
      <c r="J84" s="2" t="str">
        <f t="shared" ref="J84:L84" si="94">INDEX($Z$3:$AA$23, MATCH(P84, $Z$3:$Z$23, 0), 2)</f>
        <v>Heat district after 2030</v>
      </c>
      <c r="K84" s="2" t="str">
        <f t="shared" si="94"/>
        <v>Heat district</v>
      </c>
      <c r="L84" s="2" t="str">
        <f t="shared" si="94"/>
        <v>Geothermal and residual heat</v>
      </c>
      <c r="M84" s="2"/>
      <c r="N84" s="2"/>
      <c r="O84" s="132" t="s">
        <v>863</v>
      </c>
      <c r="P84" s="132" t="s">
        <v>711</v>
      </c>
      <c r="Q84" s="132" t="s">
        <v>687</v>
      </c>
      <c r="R84" s="132" t="s">
        <v>677</v>
      </c>
      <c r="S84" s="132" t="s">
        <v>862</v>
      </c>
      <c r="V84" s="130" t="s">
        <v>853</v>
      </c>
      <c r="W84" s="131">
        <v>2805</v>
      </c>
    </row>
    <row r="85" spans="1:23" ht="15">
      <c r="A85" s="2"/>
      <c r="B85" s="2"/>
      <c r="C85" s="2"/>
      <c r="D85" s="2"/>
      <c r="E85" s="2"/>
      <c r="F85" s="2"/>
      <c r="G85" s="2"/>
      <c r="H85" s="3" t="s">
        <v>864</v>
      </c>
      <c r="I85" s="2">
        <f t="shared" si="91"/>
        <v>7312</v>
      </c>
      <c r="J85" s="2" t="str">
        <f t="shared" ref="J85:L85" si="95">INDEX($Z$3:$AA$23, MATCH(P85, $Z$3:$Z$23, 0), 2)</f>
        <v>Heat district after 2030</v>
      </c>
      <c r="K85" s="2" t="str">
        <f t="shared" si="95"/>
        <v>Heat district</v>
      </c>
      <c r="L85" s="2" t="str">
        <f t="shared" si="95"/>
        <v>Geothermal and residual heat</v>
      </c>
      <c r="M85" s="2"/>
      <c r="N85" s="2"/>
      <c r="O85" s="129" t="s">
        <v>864</v>
      </c>
      <c r="P85" s="129" t="s">
        <v>711</v>
      </c>
      <c r="Q85" s="129" t="s">
        <v>687</v>
      </c>
      <c r="R85" s="129" t="s">
        <v>677</v>
      </c>
      <c r="S85" s="129" t="s">
        <v>862</v>
      </c>
      <c r="V85" s="130" t="s">
        <v>855</v>
      </c>
      <c r="W85" s="131">
        <v>10345</v>
      </c>
    </row>
    <row r="86" spans="1:23" ht="15">
      <c r="A86" s="2"/>
      <c r="B86" s="2"/>
      <c r="C86" s="2"/>
      <c r="D86" s="2"/>
      <c r="E86" s="2"/>
      <c r="F86" s="2"/>
      <c r="G86" s="2"/>
      <c r="H86" s="3" t="s">
        <v>865</v>
      </c>
      <c r="I86" s="2">
        <f>W91</f>
        <v>3339</v>
      </c>
      <c r="J86" s="2" t="str">
        <f t="shared" ref="J86:L86" si="96">INDEX($Z$3:$AA$23, MATCH(P86, $Z$3:$Z$23, 0), 2)</f>
        <v>Heat district after 2030</v>
      </c>
      <c r="K86" s="2" t="str">
        <f t="shared" si="96"/>
        <v>Heat district</v>
      </c>
      <c r="L86" s="2" t="str">
        <f t="shared" si="96"/>
        <v>Geothermal and residual heat</v>
      </c>
      <c r="M86" s="2"/>
      <c r="N86" s="2"/>
      <c r="O86" s="132" t="s">
        <v>865</v>
      </c>
      <c r="P86" s="132" t="s">
        <v>686</v>
      </c>
      <c r="Q86" s="132" t="s">
        <v>687</v>
      </c>
      <c r="R86" s="132" t="s">
        <v>677</v>
      </c>
      <c r="S86" s="132" t="s">
        <v>866</v>
      </c>
      <c r="V86" s="130" t="s">
        <v>867</v>
      </c>
      <c r="W86" s="131">
        <v>5905</v>
      </c>
    </row>
    <row r="87" spans="1:23" ht="15">
      <c r="A87" s="2"/>
      <c r="B87" s="2"/>
      <c r="C87" s="2"/>
      <c r="D87" s="2"/>
      <c r="E87" s="2"/>
      <c r="F87" s="2"/>
      <c r="G87" s="2"/>
      <c r="H87" s="3" t="s">
        <v>868</v>
      </c>
      <c r="I87" s="2">
        <f t="array" ref="I87">INDEX($V$2:$W$116, MATCH($H87,$V$2:$V$116, 0), 2)</f>
        <v>11481</v>
      </c>
      <c r="J87" s="2" t="str">
        <f t="shared" ref="J87:L87" si="97">INDEX($Z$3:$AA$23, MATCH(P87, $Z$3:$Z$23, 0), 2)</f>
        <v>Heating option to be determined: hybrid heat pumps</v>
      </c>
      <c r="K87" s="2" t="str">
        <f t="shared" si="97"/>
        <v>Heating option to be determined: heat pumps, heat networks or a mix</v>
      </c>
      <c r="L87" s="2" t="str">
        <f t="shared" si="97"/>
        <v>Ambient heat</v>
      </c>
      <c r="M87" s="2"/>
      <c r="N87" s="2"/>
      <c r="O87" s="129" t="s">
        <v>868</v>
      </c>
      <c r="P87" s="129" t="s">
        <v>668</v>
      </c>
      <c r="Q87" s="129" t="s">
        <v>669</v>
      </c>
      <c r="R87" s="129" t="s">
        <v>670</v>
      </c>
      <c r="S87" s="129" t="s">
        <v>869</v>
      </c>
      <c r="V87" s="130" t="s">
        <v>858</v>
      </c>
      <c r="W87" s="133"/>
    </row>
    <row r="88" spans="1:23" ht="15">
      <c r="A88" s="2"/>
      <c r="B88" s="2"/>
      <c r="C88" s="2"/>
      <c r="D88" s="2"/>
      <c r="E88" s="2"/>
      <c r="F88" s="2"/>
      <c r="G88" s="2"/>
      <c r="H88" s="3" t="s">
        <v>870</v>
      </c>
      <c r="I88" s="2">
        <f>W94</f>
        <v>813</v>
      </c>
      <c r="J88" s="2" t="str">
        <f t="shared" ref="J88:L88" si="98">INDEX($Z$3:$AA$23, MATCH(P88, $Z$3:$Z$23, 0), 2)</f>
        <v>Heating option to be determined: hybrid heat pumps</v>
      </c>
      <c r="K88" s="2" t="str">
        <f t="shared" si="98"/>
        <v>Heating option to be determined: heat pumps, heat networks or a mix</v>
      </c>
      <c r="L88" s="2" t="str">
        <f t="shared" si="98"/>
        <v>Ambient heat</v>
      </c>
      <c r="M88" s="2"/>
      <c r="N88" s="2"/>
      <c r="O88" s="132" t="s">
        <v>870</v>
      </c>
      <c r="P88" s="132" t="s">
        <v>668</v>
      </c>
      <c r="Q88" s="132" t="s">
        <v>669</v>
      </c>
      <c r="R88" s="132" t="s">
        <v>670</v>
      </c>
      <c r="S88" s="132" t="s">
        <v>871</v>
      </c>
      <c r="V88" s="130" t="s">
        <v>861</v>
      </c>
      <c r="W88" s="131">
        <v>5065</v>
      </c>
    </row>
    <row r="89" spans="1:23" ht="15">
      <c r="A89" s="2"/>
      <c r="B89" s="2"/>
      <c r="C89" s="2"/>
      <c r="D89" s="2"/>
      <c r="E89" s="2"/>
      <c r="F89" s="2"/>
      <c r="G89" s="2"/>
      <c r="H89" s="3" t="s">
        <v>872</v>
      </c>
      <c r="I89" s="2">
        <f t="shared" ref="I89:I94" si="99">INDEX($V$2:$W$116, MATCH($H89,$V$2:$V$116, 0), 2)</f>
        <v>4007</v>
      </c>
      <c r="J89" s="2" t="str">
        <f t="shared" ref="J89:L89" si="100">INDEX($Z$3:$AA$23, MATCH(P89, $Z$3:$Z$23, 0), 2)</f>
        <v>Heating option to be determined: hybrid heat pumps</v>
      </c>
      <c r="K89" s="2" t="str">
        <f t="shared" si="100"/>
        <v>Heating option to be determined: heat pumps, heat networks or a mix</v>
      </c>
      <c r="L89" s="2" t="str">
        <f t="shared" si="100"/>
        <v>Ambient heat</v>
      </c>
      <c r="M89" s="2"/>
      <c r="N89" s="2"/>
      <c r="O89" s="129" t="s">
        <v>872</v>
      </c>
      <c r="P89" s="129" t="s">
        <v>668</v>
      </c>
      <c r="Q89" s="129" t="s">
        <v>669</v>
      </c>
      <c r="R89" s="129" t="s">
        <v>670</v>
      </c>
      <c r="S89" s="129" t="s">
        <v>873</v>
      </c>
      <c r="V89" s="130" t="s">
        <v>863</v>
      </c>
      <c r="W89" s="131">
        <v>3885</v>
      </c>
    </row>
    <row r="90" spans="1:23" ht="15">
      <c r="A90" s="2"/>
      <c r="B90" s="2"/>
      <c r="C90" s="2"/>
      <c r="D90" s="2"/>
      <c r="E90" s="2"/>
      <c r="F90" s="2"/>
      <c r="G90" s="2"/>
      <c r="H90" s="3" t="s">
        <v>874</v>
      </c>
      <c r="I90" s="2">
        <f t="shared" si="99"/>
        <v>4329</v>
      </c>
      <c r="J90" s="2" t="str">
        <f t="shared" ref="J90:L90" si="101">INDEX($Z$3:$AA$23, MATCH(P90, $Z$3:$Z$23, 0), 2)</f>
        <v>Heating option to be determined: hybrid heat pumps</v>
      </c>
      <c r="K90" s="2" t="str">
        <f t="shared" si="101"/>
        <v>Heating option to be determined: heat pumps, heat networks or a mix</v>
      </c>
      <c r="L90" s="2" t="str">
        <f t="shared" si="101"/>
        <v>Geothermal and ambient heat</v>
      </c>
      <c r="M90" s="2"/>
      <c r="N90" s="2"/>
      <c r="O90" s="132" t="s">
        <v>874</v>
      </c>
      <c r="P90" s="132" t="s">
        <v>668</v>
      </c>
      <c r="Q90" s="132" t="s">
        <v>669</v>
      </c>
      <c r="R90" s="132" t="s">
        <v>690</v>
      </c>
      <c r="S90" s="132" t="s">
        <v>875</v>
      </c>
      <c r="V90" s="130" t="s">
        <v>864</v>
      </c>
      <c r="W90" s="131">
        <v>7312</v>
      </c>
    </row>
    <row r="91" spans="1:23" ht="15">
      <c r="A91" s="2"/>
      <c r="B91" s="2"/>
      <c r="C91" s="2"/>
      <c r="D91" s="2"/>
      <c r="E91" s="2"/>
      <c r="F91" s="2"/>
      <c r="G91" s="2"/>
      <c r="H91" s="3" t="s">
        <v>876</v>
      </c>
      <c r="I91" s="2">
        <f t="shared" si="99"/>
        <v>0</v>
      </c>
      <c r="J91" s="2" t="str">
        <f t="shared" ref="J91:L91" si="102">INDEX($Z$3:$AA$23, MATCH(P91, $Z$3:$Z$23, 0), 2)</f>
        <v>Mix of heat districts and heat pumps</v>
      </c>
      <c r="K91" s="2" t="str">
        <f t="shared" si="102"/>
        <v>Mix of heat districts and heat pumps</v>
      </c>
      <c r="L91" s="2" t="str">
        <f t="shared" si="102"/>
        <v>Geothermal and residual heat</v>
      </c>
      <c r="M91" s="2"/>
      <c r="N91" s="2"/>
      <c r="O91" s="129" t="s">
        <v>876</v>
      </c>
      <c r="P91" s="129" t="s">
        <v>714</v>
      </c>
      <c r="Q91" s="129" t="s">
        <v>701</v>
      </c>
      <c r="R91" s="129" t="s">
        <v>677</v>
      </c>
      <c r="S91" s="129" t="s">
        <v>877</v>
      </c>
      <c r="V91" s="130" t="s">
        <v>878</v>
      </c>
      <c r="W91" s="131">
        <v>3339</v>
      </c>
    </row>
    <row r="92" spans="1:23" ht="15">
      <c r="A92" s="2"/>
      <c r="B92" s="2"/>
      <c r="C92" s="2"/>
      <c r="D92" s="2"/>
      <c r="E92" s="2"/>
      <c r="F92" s="2"/>
      <c r="G92" s="2"/>
      <c r="H92" s="3" t="s">
        <v>879</v>
      </c>
      <c r="I92" s="2">
        <f t="shared" si="99"/>
        <v>102</v>
      </c>
      <c r="J92" s="2" t="str">
        <f t="shared" ref="J92:L92" si="103">INDEX($Z$3:$AA$23, MATCH(P92, $Z$3:$Z$23, 0), 2)</f>
        <v>Heat pumps</v>
      </c>
      <c r="K92" s="2" t="str">
        <f t="shared" si="103"/>
        <v>Heat pumps</v>
      </c>
      <c r="L92" s="2" t="str">
        <f t="shared" si="103"/>
        <v>Ambient heat</v>
      </c>
      <c r="M92" s="2"/>
      <c r="N92" s="2"/>
      <c r="O92" s="132" t="s">
        <v>879</v>
      </c>
      <c r="P92" s="132" t="s">
        <v>736</v>
      </c>
      <c r="Q92" s="132" t="s">
        <v>736</v>
      </c>
      <c r="R92" s="132" t="s">
        <v>670</v>
      </c>
      <c r="S92" s="132" t="s">
        <v>880</v>
      </c>
      <c r="V92" s="130" t="s">
        <v>881</v>
      </c>
      <c r="W92" s="131">
        <v>2299</v>
      </c>
    </row>
    <row r="93" spans="1:23" ht="15">
      <c r="A93" s="2"/>
      <c r="B93" s="2"/>
      <c r="C93" s="2"/>
      <c r="D93" s="2"/>
      <c r="E93" s="2"/>
      <c r="F93" s="2"/>
      <c r="G93" s="2"/>
      <c r="H93" s="3" t="s">
        <v>882</v>
      </c>
      <c r="I93" s="2">
        <f t="shared" si="99"/>
        <v>187</v>
      </c>
      <c r="J93" s="2" t="str">
        <f t="shared" ref="J93:L93" si="104">INDEX($Z$3:$AA$23, MATCH(P93, $Z$3:$Z$23, 0), 2)</f>
        <v>Heat pumps</v>
      </c>
      <c r="K93" s="2" t="str">
        <f t="shared" si="104"/>
        <v>Heat pumps</v>
      </c>
      <c r="L93" s="2" t="str">
        <f t="shared" si="104"/>
        <v>Geothermal and residual heat</v>
      </c>
      <c r="M93" s="2"/>
      <c r="N93" s="2"/>
      <c r="O93" s="129" t="s">
        <v>882</v>
      </c>
      <c r="P93" s="129" t="s">
        <v>736</v>
      </c>
      <c r="Q93" s="129" t="s">
        <v>736</v>
      </c>
      <c r="R93" s="129" t="s">
        <v>677</v>
      </c>
      <c r="S93" s="129" t="s">
        <v>880</v>
      </c>
      <c r="V93" s="130" t="s">
        <v>883</v>
      </c>
      <c r="W93" s="131">
        <v>2416</v>
      </c>
    </row>
    <row r="94" spans="1:23" ht="15">
      <c r="A94" s="2"/>
      <c r="B94" s="2"/>
      <c r="C94" s="2"/>
      <c r="D94" s="2"/>
      <c r="E94" s="2"/>
      <c r="F94" s="2"/>
      <c r="G94" s="2"/>
      <c r="H94" s="3" t="s">
        <v>884</v>
      </c>
      <c r="I94" s="2">
        <f t="shared" si="99"/>
        <v>5446</v>
      </c>
      <c r="J94" s="2" t="str">
        <f t="shared" ref="J94:L94" si="105">INDEX($Z$3:$AA$23, MATCH(P94, $Z$3:$Z$23, 0), 2)</f>
        <v>Heating option to be determined: hybrid heat pumps</v>
      </c>
      <c r="K94" s="2" t="str">
        <f t="shared" si="105"/>
        <v>Heating option to be determined: heat pumps, heat networks or a mix</v>
      </c>
      <c r="L94" s="2" t="str">
        <f t="shared" si="105"/>
        <v>Ambient heat</v>
      </c>
      <c r="M94" s="2"/>
      <c r="N94" s="2"/>
      <c r="O94" s="132" t="s">
        <v>884</v>
      </c>
      <c r="P94" s="132" t="s">
        <v>668</v>
      </c>
      <c r="Q94" s="132" t="s">
        <v>669</v>
      </c>
      <c r="R94" s="132" t="s">
        <v>670</v>
      </c>
      <c r="S94" s="132" t="s">
        <v>885</v>
      </c>
      <c r="V94" s="130" t="s">
        <v>886</v>
      </c>
      <c r="W94" s="131">
        <v>813</v>
      </c>
    </row>
    <row r="95" spans="1:23" ht="15">
      <c r="A95" s="2"/>
      <c r="B95" s="2"/>
      <c r="C95" s="2"/>
      <c r="D95" s="2"/>
      <c r="E95" s="2"/>
      <c r="F95" s="2"/>
      <c r="G95" s="2"/>
      <c r="H95" s="3" t="s">
        <v>887</v>
      </c>
      <c r="I95" s="2">
        <f>W103</f>
        <v>2577</v>
      </c>
      <c r="J95" s="2" t="str">
        <f t="shared" ref="J95:L95" si="106">INDEX($Z$3:$AA$23, MATCH(P95, $Z$3:$Z$23, 0), 2)</f>
        <v>Heat district after 2030</v>
      </c>
      <c r="K95" s="2" t="str">
        <f t="shared" si="106"/>
        <v>Heat district</v>
      </c>
      <c r="L95" s="2" t="str">
        <f t="shared" si="106"/>
        <v>Geothermal and residual heat</v>
      </c>
      <c r="M95" s="2"/>
      <c r="N95" s="2"/>
      <c r="O95" s="129" t="s">
        <v>887</v>
      </c>
      <c r="P95" s="129" t="s">
        <v>686</v>
      </c>
      <c r="Q95" s="129" t="s">
        <v>687</v>
      </c>
      <c r="R95" s="129" t="s">
        <v>677</v>
      </c>
      <c r="S95" s="129" t="s">
        <v>888</v>
      </c>
      <c r="V95" s="130" t="s">
        <v>868</v>
      </c>
      <c r="W95" s="131">
        <v>11481</v>
      </c>
    </row>
    <row r="96" spans="1:23" ht="29">
      <c r="A96" s="2"/>
      <c r="B96" s="2"/>
      <c r="C96" s="2"/>
      <c r="D96" s="2"/>
      <c r="E96" s="2"/>
      <c r="F96" s="2"/>
      <c r="G96" s="2"/>
      <c r="H96" s="3" t="s">
        <v>889</v>
      </c>
      <c r="I96" s="2">
        <f>W26</f>
        <v>10839</v>
      </c>
      <c r="J96" s="2" t="str">
        <f t="shared" ref="J96:L96" si="107">INDEX($Z$3:$AA$23, MATCH(P96, $Z$3:$Z$23, 0), 2)</f>
        <v>Mix of heat districts and heat pumps</v>
      </c>
      <c r="K96" s="2" t="str">
        <f t="shared" si="107"/>
        <v>Mix of heat districts and heat pumps</v>
      </c>
      <c r="L96" s="2" t="str">
        <f t="shared" si="107"/>
        <v>Geothermal and ambient heat</v>
      </c>
      <c r="M96" s="2"/>
      <c r="N96" s="2"/>
      <c r="O96" s="132" t="s">
        <v>889</v>
      </c>
      <c r="P96" s="132" t="s">
        <v>701</v>
      </c>
      <c r="Q96" s="132" t="s">
        <v>701</v>
      </c>
      <c r="R96" s="132" t="s">
        <v>690</v>
      </c>
      <c r="S96" s="132" t="s">
        <v>890</v>
      </c>
      <c r="V96" s="130" t="s">
        <v>891</v>
      </c>
      <c r="W96" s="131">
        <v>8589</v>
      </c>
    </row>
    <row r="97" spans="1:23" ht="29">
      <c r="A97" s="2"/>
      <c r="B97" s="2"/>
      <c r="C97" s="2"/>
      <c r="D97" s="2"/>
      <c r="E97" s="2"/>
      <c r="F97" s="2"/>
      <c r="G97" s="2"/>
      <c r="H97" s="3" t="s">
        <v>892</v>
      </c>
      <c r="I97" s="2"/>
      <c r="J97" s="2" t="str">
        <f t="shared" ref="J97:L97" si="108">INDEX($Z$3:$AA$23, MATCH(P97, $Z$3:$Z$23, 0), 2)</f>
        <v>Heat pumps</v>
      </c>
      <c r="K97" s="2" t="str">
        <f t="shared" si="108"/>
        <v>Heat pumps</v>
      </c>
      <c r="L97" s="2" t="str">
        <f t="shared" si="108"/>
        <v>Ambient heat</v>
      </c>
      <c r="M97" s="2"/>
      <c r="N97" s="2"/>
      <c r="O97" s="129" t="s">
        <v>892</v>
      </c>
      <c r="P97" s="129" t="s">
        <v>736</v>
      </c>
      <c r="Q97" s="129" t="s">
        <v>736</v>
      </c>
      <c r="R97" s="129" t="s">
        <v>670</v>
      </c>
      <c r="S97" s="129" t="s">
        <v>893</v>
      </c>
      <c r="V97" s="130" t="s">
        <v>872</v>
      </c>
      <c r="W97" s="131">
        <v>4007</v>
      </c>
    </row>
    <row r="98" spans="1:23" ht="29">
      <c r="A98" s="2"/>
      <c r="B98" s="2"/>
      <c r="C98" s="2"/>
      <c r="D98" s="2"/>
      <c r="E98" s="2"/>
      <c r="F98" s="2"/>
      <c r="G98" s="2"/>
      <c r="H98" s="3" t="s">
        <v>894</v>
      </c>
      <c r="I98" s="2">
        <f>SUM(W104,W31)</f>
        <v>9847</v>
      </c>
      <c r="J98" s="2" t="str">
        <f t="shared" ref="J98:L98" si="109">INDEX($Z$3:$AA$23, MATCH(P98, $Z$3:$Z$23, 0), 2)</f>
        <v>Heating option to be determined: hybrid heat pumps</v>
      </c>
      <c r="K98" s="2" t="str">
        <f t="shared" si="109"/>
        <v>Heating option to be determined: heat pumps, heat networks or a mix</v>
      </c>
      <c r="L98" s="2" t="str">
        <f t="shared" si="109"/>
        <v>Ambient heat</v>
      </c>
      <c r="M98" s="2"/>
      <c r="N98" s="2"/>
      <c r="O98" s="132" t="s">
        <v>894</v>
      </c>
      <c r="P98" s="132" t="s">
        <v>668</v>
      </c>
      <c r="Q98" s="132" t="s">
        <v>669</v>
      </c>
      <c r="R98" s="132" t="s">
        <v>670</v>
      </c>
      <c r="S98" s="132" t="s">
        <v>895</v>
      </c>
      <c r="V98" s="130" t="s">
        <v>874</v>
      </c>
      <c r="W98" s="131">
        <v>4329</v>
      </c>
    </row>
    <row r="99" spans="1:23" ht="15">
      <c r="A99" s="2"/>
      <c r="B99" s="2"/>
      <c r="C99" s="2"/>
      <c r="D99" s="2"/>
      <c r="E99" s="2"/>
      <c r="F99" s="2"/>
      <c r="G99" s="2"/>
      <c r="H99" s="3" t="s">
        <v>896</v>
      </c>
      <c r="I99" s="2">
        <f t="shared" ref="I99:I100" si="110">INDEX($V$2:$W$116, MATCH($H99,$V$2:$V$116, 0), 2)</f>
        <v>3135</v>
      </c>
      <c r="J99" s="2" t="str">
        <f t="shared" ref="J99:L99" si="111">INDEX($Z$3:$AA$23, MATCH(P99, $Z$3:$Z$23, 0), 2)</f>
        <v>Heat district after 2030</v>
      </c>
      <c r="K99" s="2" t="str">
        <f t="shared" si="111"/>
        <v>Heat district</v>
      </c>
      <c r="L99" s="2" t="str">
        <f t="shared" si="111"/>
        <v>Geothermal heat</v>
      </c>
      <c r="M99" s="2"/>
      <c r="N99" s="2"/>
      <c r="O99" s="129" t="s">
        <v>896</v>
      </c>
      <c r="P99" s="129" t="s">
        <v>711</v>
      </c>
      <c r="Q99" s="129" t="s">
        <v>687</v>
      </c>
      <c r="R99" s="129" t="s">
        <v>672</v>
      </c>
      <c r="S99" s="129" t="s">
        <v>897</v>
      </c>
      <c r="V99" s="130" t="s">
        <v>876</v>
      </c>
      <c r="W99" s="133"/>
    </row>
    <row r="100" spans="1:23" ht="15">
      <c r="A100" s="2"/>
      <c r="B100" s="2"/>
      <c r="C100" s="2"/>
      <c r="D100" s="2"/>
      <c r="E100" s="2"/>
      <c r="F100" s="2"/>
      <c r="G100" s="2"/>
      <c r="H100" s="3" t="s">
        <v>898</v>
      </c>
      <c r="I100" s="2">
        <f t="shared" si="110"/>
        <v>2053</v>
      </c>
      <c r="J100" s="2" t="str">
        <f t="shared" ref="J100:L100" si="112">INDEX($Z$3:$AA$23, MATCH(P100, $Z$3:$Z$23, 0), 2)</f>
        <v>Heat district before 2030</v>
      </c>
      <c r="K100" s="2" t="str">
        <f t="shared" si="112"/>
        <v>Heat district</v>
      </c>
      <c r="L100" s="2" t="str">
        <f t="shared" si="112"/>
        <v>Geothermal heat</v>
      </c>
      <c r="M100" s="2"/>
      <c r="N100" s="2"/>
      <c r="O100" s="132" t="s">
        <v>898</v>
      </c>
      <c r="P100" s="132" t="s">
        <v>721</v>
      </c>
      <c r="Q100" s="132" t="s">
        <v>687</v>
      </c>
      <c r="R100" s="132" t="s">
        <v>672</v>
      </c>
      <c r="S100" s="132" t="s">
        <v>899</v>
      </c>
      <c r="V100" s="130" t="s">
        <v>879</v>
      </c>
      <c r="W100" s="131">
        <v>102</v>
      </c>
    </row>
    <row r="101" spans="1:23" ht="29">
      <c r="A101" s="2"/>
      <c r="B101" s="2"/>
      <c r="C101" s="2"/>
      <c r="D101" s="2"/>
      <c r="E101" s="2"/>
      <c r="F101" s="2"/>
      <c r="G101" s="2"/>
      <c r="H101" s="3" t="s">
        <v>900</v>
      </c>
      <c r="I101" s="2">
        <f>W108</f>
        <v>4775</v>
      </c>
      <c r="J101" s="2" t="str">
        <f t="shared" ref="J101:L101" si="113">INDEX($Z$3:$AA$23, MATCH(P101, $Z$3:$Z$23, 0), 2)</f>
        <v>Heat district before 2030</v>
      </c>
      <c r="K101" s="2" t="str">
        <f t="shared" si="113"/>
        <v>Heat district</v>
      </c>
      <c r="L101" s="2" t="str">
        <f t="shared" si="113"/>
        <v>Geothermal and residual heat</v>
      </c>
      <c r="M101" s="2"/>
      <c r="N101" s="2"/>
      <c r="O101" s="129" t="s">
        <v>900</v>
      </c>
      <c r="P101" s="129" t="s">
        <v>721</v>
      </c>
      <c r="Q101" s="129" t="s">
        <v>687</v>
      </c>
      <c r="R101" s="129" t="s">
        <v>677</v>
      </c>
      <c r="S101" s="129" t="s">
        <v>722</v>
      </c>
      <c r="V101" s="130" t="s">
        <v>882</v>
      </c>
      <c r="W101" s="131">
        <v>187</v>
      </c>
    </row>
    <row r="102" spans="1:23" ht="15">
      <c r="A102" s="2"/>
      <c r="B102" s="2"/>
      <c r="C102" s="2"/>
      <c r="D102" s="2"/>
      <c r="E102" s="2"/>
      <c r="F102" s="2"/>
      <c r="G102" s="2"/>
      <c r="H102" s="3" t="s">
        <v>901</v>
      </c>
      <c r="I102" s="2">
        <f t="shared" ref="I102:I104" si="114">INDEX($V$2:$W$116, MATCH($H102,$V$2:$V$116, 0), 2)</f>
        <v>1056</v>
      </c>
      <c r="J102" s="2" t="str">
        <f t="shared" ref="J102:L102" si="115">INDEX($Z$3:$AA$23, MATCH(P102, $Z$3:$Z$23, 0), 2)</f>
        <v>Heating option to be determined: hybrid heat pumps</v>
      </c>
      <c r="K102" s="2" t="str">
        <f t="shared" si="115"/>
        <v>Heating option to be determined: heat pumps, heat networks or a mix</v>
      </c>
      <c r="L102" s="2" t="str">
        <f t="shared" si="115"/>
        <v>Ambient heat</v>
      </c>
      <c r="M102" s="2"/>
      <c r="N102" s="2"/>
      <c r="O102" s="132" t="s">
        <v>901</v>
      </c>
      <c r="P102" s="132" t="s">
        <v>668</v>
      </c>
      <c r="Q102" s="132" t="s">
        <v>669</v>
      </c>
      <c r="R102" s="132" t="s">
        <v>670</v>
      </c>
      <c r="S102" s="132" t="s">
        <v>902</v>
      </c>
      <c r="V102" s="130" t="s">
        <v>884</v>
      </c>
      <c r="W102" s="131">
        <v>5446</v>
      </c>
    </row>
    <row r="103" spans="1:23" ht="15">
      <c r="A103" s="2"/>
      <c r="B103" s="2"/>
      <c r="C103" s="2"/>
      <c r="D103" s="2"/>
      <c r="E103" s="2"/>
      <c r="F103" s="2"/>
      <c r="G103" s="2"/>
      <c r="H103" s="3" t="s">
        <v>903</v>
      </c>
      <c r="I103" s="2">
        <f t="shared" si="114"/>
        <v>1628</v>
      </c>
      <c r="J103" s="2" t="str">
        <f t="shared" ref="J103:L103" si="116">INDEX($Z$3:$AA$23, MATCH(P103, $Z$3:$Z$23, 0), 2)</f>
        <v>Heating option to be determined: hybrid heat pumps</v>
      </c>
      <c r="K103" s="2" t="str">
        <f t="shared" si="116"/>
        <v>Heating option to be determined: heat pumps, heat networks or a mix</v>
      </c>
      <c r="L103" s="2" t="str">
        <f t="shared" si="116"/>
        <v>Ambient heat</v>
      </c>
      <c r="M103" s="2"/>
      <c r="N103" s="2"/>
      <c r="O103" s="129" t="s">
        <v>903</v>
      </c>
      <c r="P103" s="129" t="s">
        <v>668</v>
      </c>
      <c r="Q103" s="129" t="s">
        <v>669</v>
      </c>
      <c r="R103" s="129" t="s">
        <v>670</v>
      </c>
      <c r="S103" s="129" t="s">
        <v>904</v>
      </c>
      <c r="V103" s="130" t="s">
        <v>905</v>
      </c>
      <c r="W103" s="131">
        <v>2577</v>
      </c>
    </row>
    <row r="104" spans="1:23" ht="15">
      <c r="A104" s="2"/>
      <c r="B104" s="2"/>
      <c r="C104" s="2"/>
      <c r="D104" s="2"/>
      <c r="E104" s="2"/>
      <c r="F104" s="2"/>
      <c r="G104" s="2"/>
      <c r="H104" s="3" t="s">
        <v>906</v>
      </c>
      <c r="I104" s="2">
        <f t="shared" si="114"/>
        <v>12607</v>
      </c>
      <c r="J104" s="2" t="str">
        <f t="shared" ref="J104:L104" si="117">INDEX($Z$3:$AA$23, MATCH(P104, $Z$3:$Z$23, 0), 2)</f>
        <v>Heating option to be determined: hybrid heat pumps</v>
      </c>
      <c r="K104" s="2" t="str">
        <f t="shared" si="117"/>
        <v>Heating option to be determined: heat pumps, heat networks or a mix</v>
      </c>
      <c r="L104" s="2" t="str">
        <f t="shared" si="117"/>
        <v>Geothermal and ambient heat</v>
      </c>
      <c r="M104" s="2"/>
      <c r="N104" s="2"/>
      <c r="O104" s="132" t="s">
        <v>906</v>
      </c>
      <c r="P104" s="132" t="s">
        <v>668</v>
      </c>
      <c r="Q104" s="132" t="s">
        <v>669</v>
      </c>
      <c r="R104" s="132" t="s">
        <v>690</v>
      </c>
      <c r="S104" s="132" t="s">
        <v>907</v>
      </c>
      <c r="V104" s="130" t="s">
        <v>908</v>
      </c>
      <c r="W104" s="131">
        <v>7216</v>
      </c>
    </row>
    <row r="105" spans="1:23" ht="15">
      <c r="A105" s="2"/>
      <c r="B105" s="2"/>
      <c r="C105" s="2"/>
      <c r="D105" s="2"/>
      <c r="E105" s="2"/>
      <c r="F105" s="2"/>
      <c r="G105" s="2"/>
      <c r="H105" s="3" t="s">
        <v>909</v>
      </c>
      <c r="I105" s="2">
        <f>W113</f>
        <v>3441</v>
      </c>
      <c r="J105" s="2" t="str">
        <f t="shared" ref="J105:L105" si="118">INDEX($Z$3:$AA$23, MATCH(P105, $Z$3:$Z$23, 0), 2)</f>
        <v>Heat pumps</v>
      </c>
      <c r="K105" s="2" t="str">
        <f t="shared" si="118"/>
        <v>Heat pumps</v>
      </c>
      <c r="L105" s="2" t="str">
        <f t="shared" si="118"/>
        <v>Ambient heat</v>
      </c>
      <c r="M105" s="2"/>
      <c r="N105" s="2"/>
      <c r="O105" s="129" t="s">
        <v>909</v>
      </c>
      <c r="P105" s="129" t="s">
        <v>736</v>
      </c>
      <c r="Q105" s="129" t="s">
        <v>736</v>
      </c>
      <c r="R105" s="129" t="s">
        <v>670</v>
      </c>
      <c r="S105" s="129" t="s">
        <v>910</v>
      </c>
      <c r="V105" s="130" t="s">
        <v>911</v>
      </c>
      <c r="W105" s="131">
        <v>4018</v>
      </c>
    </row>
    <row r="106" spans="1:23" ht="15">
      <c r="A106" s="2"/>
      <c r="B106" s="2"/>
      <c r="C106" s="2"/>
      <c r="D106" s="2"/>
      <c r="E106" s="2"/>
      <c r="F106" s="2"/>
      <c r="G106" s="2"/>
      <c r="H106" s="3" t="s">
        <v>912</v>
      </c>
      <c r="I106" s="2">
        <f t="shared" ref="I106:I108" si="119">INDEX($V$2:$W$116, MATCH($H106,$V$2:$V$116, 0), 2)</f>
        <v>692</v>
      </c>
      <c r="J106" s="2" t="str">
        <f t="shared" ref="J106:L106" si="120">INDEX($Z$3:$AA$23, MATCH(P106, $Z$3:$Z$23, 0), 2)</f>
        <v>Heating option to be determined: hybrid heat pumps</v>
      </c>
      <c r="K106" s="2" t="str">
        <f t="shared" si="120"/>
        <v>Heating option to be determined: heat pumps, heat networks or a mix</v>
      </c>
      <c r="L106" s="2" t="str">
        <f t="shared" si="120"/>
        <v>Geothermal and ambient heat</v>
      </c>
      <c r="M106" s="2"/>
      <c r="N106" s="2"/>
      <c r="O106" s="132" t="s">
        <v>912</v>
      </c>
      <c r="P106" s="132" t="s">
        <v>741</v>
      </c>
      <c r="Q106" s="132" t="s">
        <v>735</v>
      </c>
      <c r="R106" s="132" t="s">
        <v>690</v>
      </c>
      <c r="S106" s="132" t="s">
        <v>913</v>
      </c>
      <c r="V106" s="130" t="s">
        <v>896</v>
      </c>
      <c r="W106" s="131">
        <v>3135</v>
      </c>
    </row>
    <row r="107" spans="1:23" ht="15">
      <c r="A107" s="2"/>
      <c r="B107" s="2"/>
      <c r="C107" s="2"/>
      <c r="D107" s="2"/>
      <c r="E107" s="2"/>
      <c r="F107" s="2"/>
      <c r="G107" s="2"/>
      <c r="H107" s="3" t="s">
        <v>914</v>
      </c>
      <c r="I107" s="2">
        <f t="shared" si="119"/>
        <v>111</v>
      </c>
      <c r="J107" s="2" t="str">
        <f t="shared" ref="J107:L107" si="121">INDEX($Z$3:$AA$23, MATCH(P107, $Z$3:$Z$23, 0), 2)</f>
        <v>Heat pumps</v>
      </c>
      <c r="K107" s="2" t="str">
        <f t="shared" si="121"/>
        <v>Heat pumps</v>
      </c>
      <c r="L107" s="2" t="str">
        <f t="shared" si="121"/>
        <v>Ambient heat</v>
      </c>
      <c r="M107" s="2"/>
      <c r="N107" s="2"/>
      <c r="O107" s="129" t="s">
        <v>914</v>
      </c>
      <c r="P107" s="129" t="s">
        <v>736</v>
      </c>
      <c r="Q107" s="129" t="s">
        <v>736</v>
      </c>
      <c r="R107" s="129" t="s">
        <v>670</v>
      </c>
      <c r="S107" s="129" t="s">
        <v>915</v>
      </c>
      <c r="V107" s="130" t="s">
        <v>898</v>
      </c>
      <c r="W107" s="131">
        <v>2053</v>
      </c>
    </row>
    <row r="108" spans="1:23" ht="15">
      <c r="A108" s="2"/>
      <c r="B108" s="2"/>
      <c r="C108" s="2"/>
      <c r="D108" s="2"/>
      <c r="E108" s="2"/>
      <c r="F108" s="2"/>
      <c r="G108" s="2"/>
      <c r="H108" s="3" t="s">
        <v>916</v>
      </c>
      <c r="I108" s="2">
        <f t="shared" si="119"/>
        <v>7314</v>
      </c>
      <c r="J108" s="2" t="str">
        <f t="shared" ref="J108:L108" si="122">INDEX($Z$3:$AA$23, MATCH(P108, $Z$3:$Z$23, 0), 2)</f>
        <v>Heat district after 2030</v>
      </c>
      <c r="K108" s="2" t="str">
        <f t="shared" si="122"/>
        <v>Heat district</v>
      </c>
      <c r="L108" s="2" t="str">
        <f t="shared" si="122"/>
        <v>Geothermal and residual heat</v>
      </c>
      <c r="M108" s="2"/>
      <c r="N108" s="2"/>
      <c r="O108" s="132" t="s">
        <v>916</v>
      </c>
      <c r="P108" s="132" t="s">
        <v>686</v>
      </c>
      <c r="Q108" s="132" t="s">
        <v>687</v>
      </c>
      <c r="R108" s="132" t="s">
        <v>677</v>
      </c>
      <c r="S108" s="132" t="s">
        <v>917</v>
      </c>
      <c r="V108" s="130" t="s">
        <v>918</v>
      </c>
      <c r="W108" s="131">
        <v>4775</v>
      </c>
    </row>
    <row r="109" spans="1:23" ht="15">
      <c r="A109" s="2"/>
      <c r="B109" s="2"/>
      <c r="C109" s="2"/>
      <c r="D109" s="2"/>
      <c r="E109" s="2"/>
      <c r="F109" s="2"/>
      <c r="G109" s="2"/>
      <c r="H109" s="3"/>
      <c r="M109" s="2"/>
      <c r="N109" s="2"/>
      <c r="V109" s="130" t="s">
        <v>901</v>
      </c>
      <c r="W109" s="131">
        <v>1056</v>
      </c>
    </row>
    <row r="110" spans="1:23" ht="15">
      <c r="A110" s="2"/>
      <c r="B110" s="2"/>
      <c r="C110" s="2"/>
      <c r="D110" s="2"/>
      <c r="E110" s="2"/>
      <c r="F110" s="2"/>
      <c r="G110" s="2"/>
      <c r="H110" s="3"/>
      <c r="M110" s="2"/>
      <c r="N110" s="2"/>
      <c r="V110" s="130" t="s">
        <v>903</v>
      </c>
      <c r="W110" s="131">
        <v>1628</v>
      </c>
    </row>
    <row r="111" spans="1:23" ht="15">
      <c r="A111" s="2"/>
      <c r="B111" s="2"/>
      <c r="C111" s="2"/>
      <c r="D111" s="2"/>
      <c r="E111" s="2"/>
      <c r="F111" s="2"/>
      <c r="G111" s="2"/>
      <c r="H111" s="3"/>
      <c r="M111" s="2"/>
      <c r="N111" s="2"/>
      <c r="V111" s="130" t="s">
        <v>906</v>
      </c>
      <c r="W111" s="131">
        <v>12607</v>
      </c>
    </row>
    <row r="112" spans="1:23" ht="15">
      <c r="A112" s="2"/>
      <c r="B112" s="2"/>
      <c r="C112" s="2"/>
      <c r="D112" s="2"/>
      <c r="E112" s="2"/>
      <c r="F112" s="2"/>
      <c r="G112" s="2"/>
      <c r="H112" s="3"/>
      <c r="M112" s="2"/>
      <c r="N112" s="2"/>
      <c r="V112" s="130" t="s">
        <v>919</v>
      </c>
      <c r="W112" s="131">
        <v>7891</v>
      </c>
    </row>
    <row r="113" spans="1:23" ht="15">
      <c r="A113" s="2"/>
      <c r="B113" s="2"/>
      <c r="C113" s="2"/>
      <c r="D113" s="2"/>
      <c r="E113" s="2"/>
      <c r="F113" s="2"/>
      <c r="G113" s="2"/>
      <c r="H113" s="3"/>
      <c r="M113" s="2"/>
      <c r="N113" s="2"/>
      <c r="V113" s="130" t="s">
        <v>920</v>
      </c>
      <c r="W113" s="131">
        <v>3441</v>
      </c>
    </row>
    <row r="114" spans="1:23" ht="15">
      <c r="A114" s="2"/>
      <c r="B114" s="2"/>
      <c r="C114" s="2"/>
      <c r="D114" s="2"/>
      <c r="E114" s="2"/>
      <c r="F114" s="2"/>
      <c r="G114" s="2"/>
      <c r="H114" s="3"/>
      <c r="M114" s="2"/>
      <c r="N114" s="2"/>
      <c r="V114" s="130" t="s">
        <v>912</v>
      </c>
      <c r="W114" s="131">
        <v>692</v>
      </c>
    </row>
    <row r="115" spans="1:23" ht="15">
      <c r="A115" s="2"/>
      <c r="B115" s="2"/>
      <c r="C115" s="2"/>
      <c r="D115" s="2"/>
      <c r="E115" s="2"/>
      <c r="F115" s="2"/>
      <c r="G115" s="2"/>
      <c r="H115" s="3"/>
      <c r="M115" s="2"/>
      <c r="N115" s="2"/>
      <c r="V115" s="130" t="s">
        <v>914</v>
      </c>
      <c r="W115" s="131">
        <v>111</v>
      </c>
    </row>
    <row r="116" spans="1:23" ht="15">
      <c r="A116" s="2"/>
      <c r="B116" s="2"/>
      <c r="C116" s="2"/>
      <c r="D116" s="2"/>
      <c r="E116" s="2"/>
      <c r="F116" s="2"/>
      <c r="G116" s="2"/>
      <c r="H116" s="3"/>
      <c r="M116" s="2"/>
      <c r="N116" s="2"/>
      <c r="V116" s="130" t="s">
        <v>916</v>
      </c>
      <c r="W116" s="131">
        <v>7314</v>
      </c>
    </row>
    <row r="117" spans="1:23" ht="13">
      <c r="A117" s="2"/>
      <c r="B117" s="2"/>
      <c r="C117" s="2"/>
      <c r="D117" s="2"/>
      <c r="E117" s="2"/>
      <c r="F117" s="2"/>
      <c r="G117" s="2"/>
      <c r="H117" s="3"/>
      <c r="M117" s="2"/>
      <c r="N117" s="2"/>
    </row>
    <row r="118" spans="1:23" ht="13">
      <c r="A118" s="2"/>
      <c r="B118" s="2"/>
      <c r="C118" s="2"/>
      <c r="D118" s="2"/>
      <c r="E118" s="2"/>
      <c r="F118" s="2"/>
      <c r="G118" s="2"/>
      <c r="H118" s="3"/>
      <c r="M118" s="2"/>
      <c r="N118" s="2"/>
    </row>
    <row r="119" spans="1:23" ht="13">
      <c r="A119" s="2"/>
      <c r="B119" s="2"/>
      <c r="C119" s="2"/>
      <c r="D119" s="2"/>
      <c r="E119" s="2"/>
      <c r="F119" s="2"/>
      <c r="G119" s="2"/>
      <c r="H119" s="3"/>
      <c r="M119" s="2"/>
      <c r="N119" s="2"/>
    </row>
    <row r="120" spans="1:23" ht="13">
      <c r="A120" s="2"/>
      <c r="B120" s="2"/>
      <c r="C120" s="2"/>
      <c r="D120" s="2"/>
      <c r="E120" s="2"/>
      <c r="F120" s="2"/>
      <c r="G120" s="2"/>
      <c r="H120" s="3"/>
      <c r="M120" s="2"/>
      <c r="N120" s="2"/>
    </row>
    <row r="121" spans="1:23" ht="13">
      <c r="A121" s="2"/>
      <c r="B121" s="2"/>
      <c r="C121" s="2"/>
      <c r="D121" s="2"/>
      <c r="E121" s="2"/>
      <c r="F121" s="2"/>
      <c r="G121" s="2"/>
      <c r="H121" s="3"/>
      <c r="M121" s="2"/>
      <c r="N121" s="2"/>
    </row>
    <row r="122" spans="1:23" ht="13">
      <c r="A122" s="2"/>
      <c r="B122" s="2"/>
      <c r="C122" s="2"/>
      <c r="D122" s="2"/>
      <c r="E122" s="2"/>
      <c r="F122" s="2"/>
      <c r="G122" s="2"/>
      <c r="H122" s="3"/>
      <c r="M122" s="2"/>
      <c r="N122" s="2"/>
    </row>
    <row r="123" spans="1:23" ht="13">
      <c r="A123" s="2"/>
      <c r="B123" s="2"/>
      <c r="C123" s="2"/>
      <c r="D123" s="2"/>
      <c r="E123" s="2"/>
      <c r="F123" s="2"/>
      <c r="G123" s="2"/>
      <c r="H123" s="3"/>
      <c r="M123" s="2"/>
      <c r="N123" s="2"/>
    </row>
    <row r="124" spans="1:23" ht="13">
      <c r="A124" s="2"/>
      <c r="B124" s="2"/>
      <c r="C124" s="2"/>
      <c r="D124" s="2"/>
      <c r="E124" s="2"/>
      <c r="F124" s="2"/>
      <c r="G124" s="2"/>
      <c r="H124" s="3"/>
      <c r="M124" s="2"/>
      <c r="N124" s="2"/>
    </row>
    <row r="125" spans="1:23" ht="13">
      <c r="A125" s="2"/>
      <c r="B125" s="2"/>
      <c r="C125" s="2"/>
      <c r="D125" s="2"/>
      <c r="E125" s="2"/>
      <c r="F125" s="2"/>
      <c r="G125" s="2"/>
      <c r="H125" s="3"/>
      <c r="M125" s="2"/>
      <c r="N125" s="2"/>
    </row>
    <row r="126" spans="1:23" ht="13">
      <c r="A126" s="2"/>
      <c r="B126" s="2"/>
      <c r="C126" s="2"/>
      <c r="D126" s="2"/>
      <c r="E126" s="2"/>
      <c r="F126" s="2"/>
      <c r="G126" s="2"/>
      <c r="H126" s="3"/>
      <c r="M126" s="2"/>
      <c r="N126" s="2"/>
      <c r="W126" s="6"/>
    </row>
    <row r="127" spans="1:23" ht="13">
      <c r="A127" s="2"/>
      <c r="B127" s="2"/>
      <c r="C127" s="2"/>
      <c r="D127" s="2"/>
      <c r="E127" s="2"/>
      <c r="F127" s="2"/>
      <c r="G127" s="2"/>
      <c r="H127" s="3"/>
      <c r="M127" s="2"/>
      <c r="N127" s="2"/>
      <c r="W127" s="6"/>
    </row>
    <row r="128" spans="1:23" ht="13">
      <c r="A128" s="2"/>
      <c r="B128" s="2"/>
      <c r="C128" s="2"/>
      <c r="D128" s="2"/>
      <c r="E128" s="2"/>
      <c r="F128" s="2"/>
      <c r="G128" s="2"/>
      <c r="H128" s="3"/>
      <c r="M128" s="2"/>
      <c r="N128" s="2"/>
    </row>
    <row r="129" spans="1:14" ht="13">
      <c r="A129" s="2"/>
      <c r="B129" s="2"/>
      <c r="C129" s="2"/>
      <c r="D129" s="2"/>
      <c r="E129" s="2"/>
      <c r="F129" s="2"/>
      <c r="G129" s="2"/>
      <c r="H129" s="3"/>
      <c r="M129" s="2"/>
      <c r="N129" s="2"/>
    </row>
    <row r="130" spans="1:14" ht="13">
      <c r="A130" s="2"/>
      <c r="B130" s="2"/>
      <c r="C130" s="2"/>
      <c r="D130" s="2"/>
      <c r="E130" s="2"/>
      <c r="F130" s="2"/>
      <c r="G130" s="2"/>
      <c r="H130" s="3"/>
      <c r="M130" s="2"/>
      <c r="N130" s="2"/>
    </row>
  </sheetData>
  <hyperlinks>
    <hyperlink ref="S1" r:id="rId2" xr:uid="{00000000-0004-0000-0400-000000000000}"/>
    <hyperlink ref="X1" r:id="rId3" xr:uid="{00000000-0004-0000-0400-000001000000}"/>
  </hyperlinks>
  <pageMargins left="0.7" right="0.7" top="0.75" bottom="0.75" header="0.3" footer="0.3"/>
  <tableParts count="5">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K1013"/>
  <sheetViews>
    <sheetView topLeftCell="F129" workbookViewId="0"/>
  </sheetViews>
  <sheetFormatPr baseColWidth="10" defaultColWidth="12.6640625" defaultRowHeight="15.75" customHeight="1"/>
  <cols>
    <col min="1" max="1" width="24.5" customWidth="1"/>
    <col min="2" max="2" width="25.5" customWidth="1"/>
    <col min="3" max="3" width="31.6640625" customWidth="1"/>
    <col min="4" max="4" width="35.1640625" customWidth="1"/>
    <col min="5" max="5" width="34.33203125" customWidth="1"/>
    <col min="6" max="6" width="25.1640625" customWidth="1"/>
    <col min="8" max="8" width="25.6640625" customWidth="1"/>
    <col min="9" max="9" width="28.33203125" customWidth="1"/>
    <col min="20" max="20" width="15.6640625" customWidth="1"/>
  </cols>
  <sheetData>
    <row r="1" spans="1:37" ht="15.75" customHeight="1">
      <c r="A1" s="7" t="s">
        <v>921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75" customHeight="1">
      <c r="B2" s="6" t="s">
        <v>922</v>
      </c>
      <c r="C2" s="6"/>
      <c r="D2" s="6"/>
      <c r="E2" s="6"/>
    </row>
    <row r="3" spans="1:37" ht="15.75" customHeight="1">
      <c r="B3" s="134" t="s">
        <v>166</v>
      </c>
      <c r="C3" s="13" t="s">
        <v>923</v>
      </c>
      <c r="D3" s="13" t="s">
        <v>924</v>
      </c>
      <c r="E3" s="6"/>
      <c r="I3" s="6"/>
    </row>
    <row r="4" spans="1:37" ht="15.75" customHeight="1">
      <c r="B4" s="135" t="s">
        <v>925</v>
      </c>
      <c r="C4" s="136">
        <f t="shared" ref="C4:C7" si="0">C19</f>
        <v>0.49779396316540647</v>
      </c>
      <c r="D4" s="136">
        <f t="shared" ref="D4:D7" si="1">C102</f>
        <v>-0.27626614129571037</v>
      </c>
      <c r="E4" s="6"/>
      <c r="I4" s="6"/>
    </row>
    <row r="5" spans="1:37" ht="15.75" customHeight="1">
      <c r="B5" s="135" t="s">
        <v>44</v>
      </c>
      <c r="C5" s="136">
        <f t="shared" si="0"/>
        <v>0.21318174318082828</v>
      </c>
      <c r="D5" s="136">
        <f t="shared" si="1"/>
        <v>-0.42850879083114635</v>
      </c>
      <c r="E5" s="6"/>
      <c r="I5" s="6"/>
    </row>
    <row r="6" spans="1:37" ht="15.75" customHeight="1">
      <c r="B6" s="135" t="s">
        <v>45</v>
      </c>
      <c r="C6" s="136">
        <f t="shared" si="0"/>
        <v>0.97199579537510594</v>
      </c>
      <c r="D6" s="136">
        <f t="shared" si="1"/>
        <v>-0.23307757790437755</v>
      </c>
      <c r="E6" s="6"/>
      <c r="I6" s="6"/>
    </row>
    <row r="7" spans="1:37" ht="15.75" customHeight="1">
      <c r="B7" s="135" t="s">
        <v>46</v>
      </c>
      <c r="C7" s="136">
        <f t="shared" si="0"/>
        <v>1.8161742013921871</v>
      </c>
      <c r="D7" s="136">
        <f t="shared" si="1"/>
        <v>-0.1374550513278483</v>
      </c>
      <c r="E7" s="6"/>
    </row>
    <row r="8" spans="1:37" ht="15.75" customHeight="1">
      <c r="B8" s="6"/>
      <c r="C8" s="6"/>
      <c r="D8" s="6"/>
      <c r="E8" s="6"/>
    </row>
    <row r="9" spans="1:37" ht="15.75" customHeight="1">
      <c r="B9" s="6"/>
      <c r="C9" s="6"/>
      <c r="D9" s="6"/>
      <c r="E9" s="6"/>
      <c r="F9" s="6"/>
    </row>
    <row r="10" spans="1:37" ht="15.75" customHeight="1">
      <c r="A10" s="7" t="s">
        <v>926</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spans="1:37" ht="15.75" customHeight="1">
      <c r="A11" s="137" t="s">
        <v>927</v>
      </c>
      <c r="B11" s="138"/>
      <c r="C11" s="138"/>
      <c r="D11" s="138"/>
      <c r="E11" s="138"/>
      <c r="F11" s="6"/>
      <c r="G11" s="6"/>
    </row>
    <row r="12" spans="1:37" ht="15.75" customHeight="1">
      <c r="A12" s="139" t="s">
        <v>928</v>
      </c>
      <c r="B12" s="140" t="s">
        <v>929</v>
      </c>
      <c r="C12" s="6"/>
      <c r="D12" s="6"/>
      <c r="E12" s="6"/>
      <c r="F12" s="6"/>
    </row>
    <row r="13" spans="1:37" ht="15.75" customHeight="1">
      <c r="A13" s="4" t="s">
        <v>930</v>
      </c>
      <c r="B13" s="140" t="s">
        <v>931</v>
      </c>
      <c r="C13" s="6"/>
      <c r="D13" s="6"/>
      <c r="E13" s="6"/>
      <c r="F13" s="6"/>
    </row>
    <row r="14" spans="1:37" ht="15.75" customHeight="1">
      <c r="E14" s="6"/>
      <c r="G14" s="2" t="s">
        <v>932</v>
      </c>
      <c r="J14" s="2" t="s">
        <v>933</v>
      </c>
    </row>
    <row r="15" spans="1:37" ht="15.75" customHeight="1">
      <c r="A15" s="6"/>
      <c r="G15" s="4" t="s">
        <v>934</v>
      </c>
      <c r="H15" s="4" t="s">
        <v>935</v>
      </c>
      <c r="J15" s="13" t="s">
        <v>936</v>
      </c>
      <c r="K15" s="13">
        <v>2020</v>
      </c>
      <c r="L15" s="13">
        <v>2030</v>
      </c>
      <c r="M15" s="13">
        <v>2050</v>
      </c>
    </row>
    <row r="16" spans="1:37" ht="15.75" customHeight="1">
      <c r="A16" s="2" t="s">
        <v>937</v>
      </c>
      <c r="G16" s="2" t="s">
        <v>938</v>
      </c>
      <c r="H16" s="141">
        <v>3.4236409999999999</v>
      </c>
      <c r="J16" s="227" t="s">
        <v>939</v>
      </c>
      <c r="K16" s="225"/>
      <c r="L16" s="225"/>
      <c r="M16" s="225"/>
    </row>
    <row r="17" spans="1:37" ht="15.75" customHeight="1">
      <c r="A17" s="134" t="s">
        <v>166</v>
      </c>
      <c r="B17" s="134" t="s">
        <v>940</v>
      </c>
      <c r="C17" s="134" t="s">
        <v>941</v>
      </c>
      <c r="D17" s="13" t="s">
        <v>942</v>
      </c>
      <c r="E17" s="13" t="s">
        <v>943</v>
      </c>
      <c r="G17" s="2" t="s">
        <v>944</v>
      </c>
      <c r="H17" s="141">
        <v>18.021056000000002</v>
      </c>
      <c r="J17" s="142" t="s">
        <v>945</v>
      </c>
      <c r="K17" s="142">
        <f t="shared" ref="K17:M17" si="2">INDEX($A$26:$P$59, MATCH(K$15, $A$26:$A$59, 0), MATCH($J17, $A$26:$P$26, 0))</f>
        <v>261500</v>
      </c>
      <c r="L17" s="142">
        <f t="shared" si="2"/>
        <v>269500</v>
      </c>
      <c r="M17" s="142">
        <f t="shared" si="2"/>
        <v>270400</v>
      </c>
    </row>
    <row r="18" spans="1:37" ht="15.75" customHeight="1">
      <c r="A18" s="135" t="s">
        <v>946</v>
      </c>
      <c r="B18" s="143" t="s">
        <v>153</v>
      </c>
      <c r="C18" s="143" t="s">
        <v>153</v>
      </c>
      <c r="D18" s="144">
        <f t="shared" ref="D18:D22" si="3">$H$17</f>
        <v>18.021056000000002</v>
      </c>
      <c r="E18" s="144">
        <f>H16</f>
        <v>3.4236409999999999</v>
      </c>
      <c r="G18" s="2" t="s">
        <v>357</v>
      </c>
      <c r="H18" s="21">
        <f>SUM(H16:H17)</f>
        <v>21.444697000000001</v>
      </c>
      <c r="J18" s="142" t="s">
        <v>947</v>
      </c>
      <c r="K18" s="142">
        <f t="shared" ref="K18:M18" si="4">INDEX($A$26:$P$59, MATCH(K$15, $A$26:$A$59, 0), MATCH($J18, $A$26:$P$26, 0))</f>
        <v>265500</v>
      </c>
      <c r="L18" s="142">
        <f t="shared" si="4"/>
        <v>286600</v>
      </c>
      <c r="M18" s="142">
        <f t="shared" si="4"/>
        <v>306700</v>
      </c>
    </row>
    <row r="19" spans="1:37" ht="15.75" customHeight="1">
      <c r="A19" s="135" t="s">
        <v>925</v>
      </c>
      <c r="B19" s="136">
        <f>L22</f>
        <v>7.9472693032015096E-2</v>
      </c>
      <c r="C19" s="136">
        <f t="shared" ref="C19:C22" si="5">E19/E$18-1</f>
        <v>0.49779396316540647</v>
      </c>
      <c r="D19" s="144">
        <f t="shared" si="3"/>
        <v>18.021056000000002</v>
      </c>
      <c r="E19" s="144">
        <f t="shared" ref="E19:E22" si="6">$E$18+B19*SUM($D$18:$E$18)</f>
        <v>5.1279088218455753</v>
      </c>
      <c r="G19" s="6"/>
      <c r="H19" s="6"/>
      <c r="J19" s="143" t="s">
        <v>948</v>
      </c>
      <c r="K19" s="142">
        <f t="shared" ref="K19:M19" si="7">INDEX($A$26:$P$59, MATCH(K$15, $A$26:$A$59, 0), MATCH($J19, $A$26:$P$26, 0))</f>
        <v>269700</v>
      </c>
      <c r="L19" s="142">
        <f t="shared" si="7"/>
        <v>304700</v>
      </c>
      <c r="M19" s="142">
        <f t="shared" si="7"/>
        <v>347900</v>
      </c>
    </row>
    <row r="20" spans="1:37" ht="15.75" customHeight="1">
      <c r="A20" s="135" t="s">
        <v>44</v>
      </c>
      <c r="B20" s="136">
        <f t="shared" ref="B20:B22" si="8">M21</f>
        <v>3.4034416826003833E-2</v>
      </c>
      <c r="C20" s="136">
        <f t="shared" si="5"/>
        <v>0.21318174318082828</v>
      </c>
      <c r="D20" s="144">
        <f t="shared" si="3"/>
        <v>18.021056000000002</v>
      </c>
      <c r="E20" s="144">
        <f t="shared" si="6"/>
        <v>4.1534987564053543</v>
      </c>
      <c r="G20" s="6" t="s">
        <v>949</v>
      </c>
      <c r="J20" s="228" t="s">
        <v>950</v>
      </c>
      <c r="K20" s="225"/>
      <c r="L20" s="225"/>
      <c r="M20" s="225"/>
    </row>
    <row r="21" spans="1:37" ht="15.75" customHeight="1">
      <c r="A21" s="135" t="s">
        <v>45</v>
      </c>
      <c r="B21" s="146">
        <f t="shared" si="8"/>
        <v>0.15517890772128062</v>
      </c>
      <c r="C21" s="136">
        <f t="shared" si="5"/>
        <v>0.97199579537510594</v>
      </c>
      <c r="D21" s="144">
        <f t="shared" si="3"/>
        <v>18.021056000000002</v>
      </c>
      <c r="E21" s="144">
        <f t="shared" si="6"/>
        <v>6.751405656873823</v>
      </c>
      <c r="G21" s="45">
        <f>H16/H17</f>
        <v>0.18998004334485169</v>
      </c>
      <c r="J21" s="147" t="s">
        <v>945</v>
      </c>
      <c r="K21" s="147">
        <f t="shared" ref="K21:M21" si="9">INDEX($R$26:$AG$59, MATCH(K$15, $R$26:$R$59, 0), MATCH($J17, $R$26:$AG$26, 0))</f>
        <v>0</v>
      </c>
      <c r="L21" s="147">
        <f t="shared" si="9"/>
        <v>3.0592734225621365E-2</v>
      </c>
      <c r="M21" s="147">
        <f t="shared" si="9"/>
        <v>3.4034416826003833E-2</v>
      </c>
    </row>
    <row r="22" spans="1:37" ht="15.75" customHeight="1">
      <c r="A22" s="135" t="s">
        <v>46</v>
      </c>
      <c r="B22" s="146">
        <f t="shared" si="8"/>
        <v>0.2899517982944011</v>
      </c>
      <c r="C22" s="136">
        <f t="shared" si="5"/>
        <v>1.8161742013921871</v>
      </c>
      <c r="D22" s="144">
        <f t="shared" si="3"/>
        <v>18.021056000000002</v>
      </c>
      <c r="E22" s="144">
        <f t="shared" si="6"/>
        <v>9.641569459028549</v>
      </c>
      <c r="J22" s="147" t="s">
        <v>947</v>
      </c>
      <c r="K22" s="147">
        <f t="shared" ref="K22:M22" si="10">INDEX($R$26:$AG$59, MATCH(K$15, $R$26:$R$59, 0), MATCH($J18, $R$26:$AG$26, 0))</f>
        <v>0</v>
      </c>
      <c r="L22" s="147">
        <f t="shared" si="10"/>
        <v>7.9472693032015096E-2</v>
      </c>
      <c r="M22" s="147">
        <f t="shared" si="10"/>
        <v>0.15517890772128062</v>
      </c>
    </row>
    <row r="23" spans="1:37" ht="15.75" customHeight="1">
      <c r="A23" s="6"/>
      <c r="G23" s="148"/>
      <c r="H23" s="148"/>
      <c r="I23" s="148"/>
      <c r="J23" s="147" t="s">
        <v>948</v>
      </c>
      <c r="K23" s="147">
        <f t="shared" ref="K23:M23" si="11">INDEX($R$26:$AG$59, MATCH(K$15, $R$26:$R$59, 0), MATCH($J19, $R$26:$AG$26, 0))</f>
        <v>0</v>
      </c>
      <c r="L23" s="147">
        <f t="shared" si="11"/>
        <v>0.12977382276603633</v>
      </c>
      <c r="M23" s="147">
        <f t="shared" si="11"/>
        <v>0.2899517982944011</v>
      </c>
      <c r="P23" s="2"/>
      <c r="S23" s="4"/>
      <c r="W23" s="148"/>
      <c r="X23" s="148"/>
      <c r="Y23" s="148"/>
      <c r="Z23" s="148"/>
      <c r="AA23" s="148"/>
      <c r="AB23" s="6"/>
      <c r="AC23" s="148"/>
      <c r="AD23" s="148"/>
      <c r="AE23" s="148"/>
      <c r="AF23" s="148"/>
      <c r="AG23" s="2"/>
    </row>
    <row r="24" spans="1:37" ht="15.75" customHeight="1">
      <c r="E24" s="148"/>
      <c r="F24" s="148"/>
      <c r="G24" s="148"/>
      <c r="H24" s="148"/>
      <c r="I24" s="148"/>
      <c r="J24" s="148"/>
      <c r="K24" s="6"/>
      <c r="L24" s="148"/>
      <c r="M24" s="149"/>
      <c r="N24" s="148"/>
      <c r="O24" s="148"/>
      <c r="P24" s="2"/>
      <c r="S24" s="4"/>
      <c r="W24" s="148"/>
      <c r="X24" s="148"/>
      <c r="Y24" s="148"/>
      <c r="Z24" s="148"/>
      <c r="AA24" s="148"/>
      <c r="AB24" s="6"/>
      <c r="AC24" s="148"/>
      <c r="AD24" s="148"/>
      <c r="AE24" s="148"/>
      <c r="AF24" s="148"/>
      <c r="AG24" s="2"/>
    </row>
    <row r="25" spans="1:37" ht="15.75" customHeight="1">
      <c r="E25" s="148"/>
      <c r="F25" s="148"/>
      <c r="G25" s="148"/>
      <c r="H25" s="148"/>
      <c r="I25" s="148"/>
      <c r="J25" s="148"/>
      <c r="K25" s="6"/>
      <c r="L25" s="148"/>
      <c r="M25" s="148"/>
      <c r="N25" s="148"/>
      <c r="O25" s="148"/>
      <c r="P25" s="2"/>
      <c r="S25" s="4"/>
      <c r="W25" s="148"/>
      <c r="X25" s="148"/>
      <c r="Y25" s="148"/>
      <c r="Z25" s="148"/>
      <c r="AA25" s="148"/>
      <c r="AB25" s="6"/>
      <c r="AC25" s="148"/>
      <c r="AD25" s="148"/>
      <c r="AE25" s="148"/>
      <c r="AF25" s="148"/>
      <c r="AG25" s="2"/>
    </row>
    <row r="26" spans="1:37" ht="15.75" customHeight="1">
      <c r="A26" s="148"/>
      <c r="B26" s="149" t="s">
        <v>951</v>
      </c>
      <c r="C26" s="148"/>
      <c r="D26" s="148"/>
      <c r="E26" s="148"/>
      <c r="F26" s="148" t="s">
        <v>947</v>
      </c>
      <c r="G26" s="148"/>
      <c r="H26" s="148"/>
      <c r="I26" s="148"/>
      <c r="J26" s="148"/>
      <c r="K26" s="6" t="s">
        <v>945</v>
      </c>
      <c r="L26" s="148"/>
      <c r="M26" s="148"/>
      <c r="N26" s="148"/>
      <c r="O26" s="148"/>
      <c r="P26" s="2" t="s">
        <v>948</v>
      </c>
      <c r="S26" s="4" t="s">
        <v>952</v>
      </c>
      <c r="W26" s="148" t="s">
        <v>947</v>
      </c>
      <c r="X26" s="148"/>
      <c r="Y26" s="148"/>
      <c r="Z26" s="148"/>
      <c r="AA26" s="148"/>
      <c r="AB26" s="6" t="s">
        <v>945</v>
      </c>
      <c r="AC26" s="148"/>
      <c r="AD26" s="148"/>
      <c r="AE26" s="148"/>
      <c r="AF26" s="148"/>
      <c r="AG26" s="2" t="s">
        <v>948</v>
      </c>
    </row>
    <row r="27" spans="1:37" ht="15.75" customHeight="1">
      <c r="A27" s="148"/>
      <c r="B27" s="149" t="s">
        <v>953</v>
      </c>
      <c r="C27" s="148"/>
      <c r="D27" s="148"/>
      <c r="E27" s="148"/>
      <c r="F27" s="148"/>
      <c r="G27" s="149" t="s">
        <v>954</v>
      </c>
      <c r="H27" s="148"/>
      <c r="I27" s="148"/>
      <c r="J27" s="148"/>
      <c r="K27" s="148"/>
      <c r="L27" s="149" t="s">
        <v>955</v>
      </c>
      <c r="M27" s="148"/>
      <c r="N27" s="148"/>
      <c r="O27" s="148"/>
      <c r="P27" s="148"/>
      <c r="S27" s="4" t="s">
        <v>953</v>
      </c>
      <c r="X27" s="4" t="s">
        <v>954</v>
      </c>
      <c r="AC27" s="4" t="s">
        <v>955</v>
      </c>
      <c r="AI27" s="4" t="s">
        <v>956</v>
      </c>
    </row>
    <row r="28" spans="1:37" ht="15.75" customHeight="1">
      <c r="A28" s="150" t="s">
        <v>936</v>
      </c>
      <c r="B28" s="151" t="s">
        <v>957</v>
      </c>
      <c r="C28" s="151" t="s">
        <v>958</v>
      </c>
      <c r="D28" s="152" t="s">
        <v>959</v>
      </c>
      <c r="E28" s="152" t="s">
        <v>960</v>
      </c>
      <c r="F28" s="152" t="s">
        <v>357</v>
      </c>
      <c r="G28" s="151" t="s">
        <v>957</v>
      </c>
      <c r="H28" s="151" t="s">
        <v>958</v>
      </c>
      <c r="I28" s="152" t="s">
        <v>959</v>
      </c>
      <c r="J28" s="152" t="s">
        <v>960</v>
      </c>
      <c r="K28" s="152" t="s">
        <v>357</v>
      </c>
      <c r="L28" s="151" t="s">
        <v>957</v>
      </c>
      <c r="M28" s="151" t="s">
        <v>958</v>
      </c>
      <c r="N28" s="152" t="s">
        <v>959</v>
      </c>
      <c r="O28" s="152" t="s">
        <v>960</v>
      </c>
      <c r="P28" s="152" t="s">
        <v>357</v>
      </c>
      <c r="R28" s="153" t="s">
        <v>936</v>
      </c>
      <c r="S28" s="154" t="s">
        <v>957</v>
      </c>
      <c r="T28" s="154" t="s">
        <v>958</v>
      </c>
      <c r="U28" s="145" t="s">
        <v>959</v>
      </c>
      <c r="V28" s="145" t="s">
        <v>960</v>
      </c>
      <c r="W28" s="145" t="s">
        <v>357</v>
      </c>
      <c r="X28" s="154" t="s">
        <v>957</v>
      </c>
      <c r="Y28" s="154" t="s">
        <v>958</v>
      </c>
      <c r="Z28" s="145" t="s">
        <v>959</v>
      </c>
      <c r="AA28" s="145" t="s">
        <v>960</v>
      </c>
      <c r="AB28" s="145" t="s">
        <v>357</v>
      </c>
      <c r="AC28" s="154" t="s">
        <v>957</v>
      </c>
      <c r="AD28" s="154" t="s">
        <v>958</v>
      </c>
      <c r="AE28" s="145" t="s">
        <v>959</v>
      </c>
      <c r="AF28" s="145" t="s">
        <v>960</v>
      </c>
      <c r="AG28" s="145" t="s">
        <v>357</v>
      </c>
      <c r="AH28" s="145"/>
      <c r="AI28" s="155" t="s">
        <v>959</v>
      </c>
      <c r="AJ28" s="155" t="s">
        <v>960</v>
      </c>
      <c r="AK28" s="155" t="s">
        <v>357</v>
      </c>
    </row>
    <row r="29" spans="1:37" ht="15.75" customHeight="1">
      <c r="A29" s="22">
        <v>2020</v>
      </c>
      <c r="B29" s="22">
        <v>113600</v>
      </c>
      <c r="C29" s="22">
        <v>25000</v>
      </c>
      <c r="D29" s="22">
        <f t="shared" ref="D29:D59" si="12">SUM(B29:C29)</f>
        <v>138600</v>
      </c>
      <c r="E29" s="22">
        <v>125000</v>
      </c>
      <c r="F29" s="22">
        <v>265500</v>
      </c>
      <c r="G29" s="22">
        <v>110600</v>
      </c>
      <c r="H29" s="22">
        <v>24400</v>
      </c>
      <c r="I29" s="22">
        <f t="shared" ref="I29:I59" si="13">SUM(G29:H29)</f>
        <v>135000</v>
      </c>
      <c r="J29" s="22">
        <v>120700</v>
      </c>
      <c r="K29" s="22">
        <v>261500</v>
      </c>
      <c r="L29" s="22">
        <v>116700</v>
      </c>
      <c r="M29" s="22">
        <v>25600</v>
      </c>
      <c r="N29" s="22">
        <f t="shared" ref="N29:N59" si="14">SUM(L29:M29)</f>
        <v>142300</v>
      </c>
      <c r="O29" s="22">
        <v>127100</v>
      </c>
      <c r="P29" s="22">
        <v>269700</v>
      </c>
      <c r="R29" s="2">
        <v>2020</v>
      </c>
      <c r="S29" s="38">
        <f t="shared" ref="S29:AG29" si="15">B29/B$29-1</f>
        <v>0</v>
      </c>
      <c r="T29" s="38">
        <f t="shared" si="15"/>
        <v>0</v>
      </c>
      <c r="U29" s="38">
        <f t="shared" si="15"/>
        <v>0</v>
      </c>
      <c r="V29" s="38">
        <f t="shared" si="15"/>
        <v>0</v>
      </c>
      <c r="W29" s="38">
        <f t="shared" si="15"/>
        <v>0</v>
      </c>
      <c r="X29" s="38">
        <f t="shared" si="15"/>
        <v>0</v>
      </c>
      <c r="Y29" s="38">
        <f t="shared" si="15"/>
        <v>0</v>
      </c>
      <c r="Z29" s="38">
        <f t="shared" si="15"/>
        <v>0</v>
      </c>
      <c r="AA29" s="38">
        <f t="shared" si="15"/>
        <v>0</v>
      </c>
      <c r="AB29" s="38">
        <f t="shared" si="15"/>
        <v>0</v>
      </c>
      <c r="AC29" s="38">
        <f t="shared" si="15"/>
        <v>0</v>
      </c>
      <c r="AD29" s="38">
        <f t="shared" si="15"/>
        <v>0</v>
      </c>
      <c r="AE29" s="38">
        <f t="shared" si="15"/>
        <v>0</v>
      </c>
      <c r="AF29" s="38">
        <f t="shared" si="15"/>
        <v>0</v>
      </c>
      <c r="AG29" s="38">
        <f t="shared" si="15"/>
        <v>0</v>
      </c>
      <c r="AH29" s="38"/>
      <c r="AI29" s="38">
        <f t="shared" ref="AI29:AK29" si="16">(AE29-Z29)/2</f>
        <v>0</v>
      </c>
      <c r="AJ29" s="38">
        <f t="shared" si="16"/>
        <v>0</v>
      </c>
      <c r="AK29" s="38">
        <f t="shared" si="16"/>
        <v>0</v>
      </c>
    </row>
    <row r="30" spans="1:37" ht="15.75" customHeight="1">
      <c r="A30" s="22">
        <v>2021</v>
      </c>
      <c r="B30" s="22">
        <v>114300</v>
      </c>
      <c r="C30" s="22">
        <v>25200</v>
      </c>
      <c r="D30" s="22">
        <f t="shared" si="12"/>
        <v>139500</v>
      </c>
      <c r="E30" s="22">
        <v>126700</v>
      </c>
      <c r="F30" s="22">
        <v>268200</v>
      </c>
      <c r="G30" s="22">
        <v>110300</v>
      </c>
      <c r="H30" s="22">
        <v>24300</v>
      </c>
      <c r="I30" s="22">
        <f t="shared" si="13"/>
        <v>134600</v>
      </c>
      <c r="J30" s="22">
        <v>119900</v>
      </c>
      <c r="K30" s="22">
        <v>262400</v>
      </c>
      <c r="L30" s="22">
        <v>118500</v>
      </c>
      <c r="M30" s="22">
        <v>26000</v>
      </c>
      <c r="N30" s="22">
        <f t="shared" si="14"/>
        <v>144500</v>
      </c>
      <c r="O30" s="22">
        <v>130400</v>
      </c>
      <c r="P30" s="22">
        <v>274000</v>
      </c>
      <c r="R30" s="2">
        <v>2021</v>
      </c>
      <c r="S30" s="38">
        <f t="shared" ref="S30:AG30" si="17">B30/B$29-1</f>
        <v>6.1619718309859906E-3</v>
      </c>
      <c r="T30" s="38">
        <f t="shared" si="17"/>
        <v>8.0000000000000071E-3</v>
      </c>
      <c r="U30" s="38">
        <f t="shared" si="17"/>
        <v>6.4935064935065512E-3</v>
      </c>
      <c r="V30" s="38">
        <f t="shared" si="17"/>
        <v>1.3600000000000056E-2</v>
      </c>
      <c r="W30" s="38">
        <f t="shared" si="17"/>
        <v>1.0169491525423791E-2</v>
      </c>
      <c r="X30" s="38">
        <f t="shared" si="17"/>
        <v>-2.7124773960216508E-3</v>
      </c>
      <c r="Y30" s="38">
        <f t="shared" si="17"/>
        <v>-4.098360655737654E-3</v>
      </c>
      <c r="Z30" s="38">
        <f t="shared" si="17"/>
        <v>-2.962962962962945E-3</v>
      </c>
      <c r="AA30" s="38">
        <f t="shared" si="17"/>
        <v>-6.6280033140017069E-3</v>
      </c>
      <c r="AB30" s="38">
        <f t="shared" si="17"/>
        <v>3.4416826003824674E-3</v>
      </c>
      <c r="AC30" s="38">
        <f t="shared" si="17"/>
        <v>1.5424164524421524E-2</v>
      </c>
      <c r="AD30" s="38">
        <f t="shared" si="17"/>
        <v>1.5625E-2</v>
      </c>
      <c r="AE30" s="38">
        <f t="shared" si="17"/>
        <v>1.5460295151089154E-2</v>
      </c>
      <c r="AF30" s="38">
        <f t="shared" si="17"/>
        <v>2.5963808025176949E-2</v>
      </c>
      <c r="AG30" s="38">
        <f t="shared" si="17"/>
        <v>1.5943641082684534E-2</v>
      </c>
      <c r="AH30" s="38"/>
      <c r="AI30" s="38">
        <f t="shared" ref="AI30:AK30" si="18">(AE30-Z30)/2</f>
        <v>9.2116290570260495E-3</v>
      </c>
      <c r="AJ30" s="38">
        <f t="shared" si="18"/>
        <v>1.6295905669589328E-2</v>
      </c>
      <c r="AK30" s="38">
        <f t="shared" si="18"/>
        <v>6.2509792411510334E-3</v>
      </c>
    </row>
    <row r="31" spans="1:37" ht="15.75" customHeight="1">
      <c r="A31" s="22">
        <v>2022</v>
      </c>
      <c r="B31" s="22">
        <v>114800</v>
      </c>
      <c r="C31" s="22">
        <v>25300</v>
      </c>
      <c r="D31" s="22">
        <f t="shared" si="12"/>
        <v>140100</v>
      </c>
      <c r="E31" s="22">
        <v>128200</v>
      </c>
      <c r="F31" s="22">
        <v>270300</v>
      </c>
      <c r="G31" s="22">
        <v>109900</v>
      </c>
      <c r="H31" s="22">
        <v>24200</v>
      </c>
      <c r="I31" s="22">
        <f t="shared" si="13"/>
        <v>134100</v>
      </c>
      <c r="J31" s="22">
        <v>119800</v>
      </c>
      <c r="K31" s="22">
        <v>263100</v>
      </c>
      <c r="L31" s="22">
        <v>120000</v>
      </c>
      <c r="M31" s="22">
        <v>26400</v>
      </c>
      <c r="N31" s="22">
        <f t="shared" si="14"/>
        <v>146400</v>
      </c>
      <c r="O31" s="22">
        <v>134100</v>
      </c>
      <c r="P31" s="22">
        <v>277700</v>
      </c>
      <c r="R31" s="2">
        <v>2022</v>
      </c>
      <c r="S31" s="38">
        <f t="shared" ref="S31:AG31" si="19">B31/B$29-1</f>
        <v>1.0563380281690238E-2</v>
      </c>
      <c r="T31" s="38">
        <f t="shared" si="19"/>
        <v>1.2000000000000011E-2</v>
      </c>
      <c r="U31" s="38">
        <f t="shared" si="19"/>
        <v>1.0822510822510845E-2</v>
      </c>
      <c r="V31" s="38">
        <f t="shared" si="19"/>
        <v>2.5600000000000067E-2</v>
      </c>
      <c r="W31" s="38">
        <f t="shared" si="19"/>
        <v>1.8079096045197751E-2</v>
      </c>
      <c r="X31" s="38">
        <f t="shared" si="19"/>
        <v>-6.3291139240506666E-3</v>
      </c>
      <c r="Y31" s="38">
        <f t="shared" si="19"/>
        <v>-8.1967213114754189E-3</v>
      </c>
      <c r="Z31" s="38">
        <f t="shared" si="19"/>
        <v>-6.6666666666667096E-3</v>
      </c>
      <c r="AA31" s="38">
        <f t="shared" si="19"/>
        <v>-7.4565037282519064E-3</v>
      </c>
      <c r="AB31" s="38">
        <f t="shared" si="19"/>
        <v>6.1185468451243619E-3</v>
      </c>
      <c r="AC31" s="38">
        <f t="shared" si="19"/>
        <v>2.8277634961439535E-2</v>
      </c>
      <c r="AD31" s="38">
        <f t="shared" si="19"/>
        <v>3.125E-2</v>
      </c>
      <c r="AE31" s="38">
        <f t="shared" si="19"/>
        <v>2.8812368236120767E-2</v>
      </c>
      <c r="AF31" s="38">
        <f t="shared" si="19"/>
        <v>5.5074744295830147E-2</v>
      </c>
      <c r="AG31" s="38">
        <f t="shared" si="19"/>
        <v>2.9662588060808348E-2</v>
      </c>
      <c r="AH31" s="38"/>
      <c r="AI31" s="38">
        <f t="shared" ref="AI31:AK31" si="20">(AE31-Z31)/2</f>
        <v>1.7739517451393738E-2</v>
      </c>
      <c r="AJ31" s="38">
        <f t="shared" si="20"/>
        <v>3.1265624012041027E-2</v>
      </c>
      <c r="AK31" s="38">
        <f t="shared" si="20"/>
        <v>1.1772020607841993E-2</v>
      </c>
    </row>
    <row r="32" spans="1:37" ht="15.75" customHeight="1">
      <c r="A32" s="22">
        <v>2023</v>
      </c>
      <c r="B32" s="22">
        <v>115300</v>
      </c>
      <c r="C32" s="22">
        <v>25500</v>
      </c>
      <c r="D32" s="22">
        <f t="shared" si="12"/>
        <v>140800</v>
      </c>
      <c r="E32" s="22">
        <v>130000</v>
      </c>
      <c r="F32" s="22">
        <v>272700</v>
      </c>
      <c r="G32" s="22">
        <v>109600</v>
      </c>
      <c r="H32" s="22">
        <v>24200</v>
      </c>
      <c r="I32" s="22">
        <f t="shared" si="13"/>
        <v>133800</v>
      </c>
      <c r="J32" s="22">
        <v>119700</v>
      </c>
      <c r="K32" s="22">
        <v>264100</v>
      </c>
      <c r="L32" s="22">
        <v>121400</v>
      </c>
      <c r="M32" s="22">
        <v>26800</v>
      </c>
      <c r="N32" s="22">
        <f t="shared" si="14"/>
        <v>148200</v>
      </c>
      <c r="O32" s="22">
        <v>137400</v>
      </c>
      <c r="P32" s="22">
        <v>281600</v>
      </c>
      <c r="R32" s="2">
        <v>2023</v>
      </c>
      <c r="S32" s="38">
        <f t="shared" ref="S32:AG32" si="21">B32/B$29-1</f>
        <v>1.4964788732394263E-2</v>
      </c>
      <c r="T32" s="38">
        <f t="shared" si="21"/>
        <v>2.0000000000000018E-2</v>
      </c>
      <c r="U32" s="38">
        <f t="shared" si="21"/>
        <v>1.5873015873015817E-2</v>
      </c>
      <c r="V32" s="38">
        <f t="shared" si="21"/>
        <v>4.0000000000000036E-2</v>
      </c>
      <c r="W32" s="38">
        <f t="shared" si="21"/>
        <v>2.7118644067796627E-2</v>
      </c>
      <c r="X32" s="38">
        <f t="shared" si="21"/>
        <v>-9.0415913200723175E-3</v>
      </c>
      <c r="Y32" s="38">
        <f t="shared" si="21"/>
        <v>-8.1967213114754189E-3</v>
      </c>
      <c r="Z32" s="38">
        <f t="shared" si="21"/>
        <v>-8.8888888888888351E-3</v>
      </c>
      <c r="AA32" s="38">
        <f t="shared" si="21"/>
        <v>-8.2850041425021059E-3</v>
      </c>
      <c r="AB32" s="38">
        <f t="shared" si="21"/>
        <v>9.9426386233270048E-3</v>
      </c>
      <c r="AC32" s="38">
        <f t="shared" si="21"/>
        <v>4.0274207369322967E-2</v>
      </c>
      <c r="AD32" s="38">
        <f t="shared" si="21"/>
        <v>4.6875E-2</v>
      </c>
      <c r="AE32" s="38">
        <f t="shared" si="21"/>
        <v>4.146170063246668E-2</v>
      </c>
      <c r="AF32" s="38">
        <f t="shared" si="21"/>
        <v>8.1038552321007096E-2</v>
      </c>
      <c r="AG32" s="38">
        <f t="shared" si="21"/>
        <v>4.4123099740452254E-2</v>
      </c>
      <c r="AH32" s="38"/>
      <c r="AI32" s="38">
        <f t="shared" ref="AI32:AK32" si="22">(AE32-Z32)/2</f>
        <v>2.5175294760677758E-2</v>
      </c>
      <c r="AJ32" s="38">
        <f t="shared" si="22"/>
        <v>4.4661778231754601E-2</v>
      </c>
      <c r="AK32" s="38">
        <f t="shared" si="22"/>
        <v>1.7090230558562625E-2</v>
      </c>
    </row>
    <row r="33" spans="1:37" ht="15.75" customHeight="1">
      <c r="A33" s="22">
        <v>2024</v>
      </c>
      <c r="B33" s="22">
        <v>115800</v>
      </c>
      <c r="C33" s="22">
        <v>25600</v>
      </c>
      <c r="D33" s="22">
        <f t="shared" si="12"/>
        <v>141400</v>
      </c>
      <c r="E33" s="22">
        <v>132000</v>
      </c>
      <c r="F33" s="22">
        <v>275300</v>
      </c>
      <c r="G33" s="22">
        <v>109200</v>
      </c>
      <c r="H33" s="22">
        <v>24100</v>
      </c>
      <c r="I33" s="22">
        <f t="shared" si="13"/>
        <v>133300</v>
      </c>
      <c r="J33" s="22">
        <v>119900</v>
      </c>
      <c r="K33" s="22">
        <v>265400</v>
      </c>
      <c r="L33" s="22">
        <v>122700</v>
      </c>
      <c r="M33" s="22">
        <v>27200</v>
      </c>
      <c r="N33" s="22">
        <f t="shared" si="14"/>
        <v>149900</v>
      </c>
      <c r="O33" s="22">
        <v>140900</v>
      </c>
      <c r="P33" s="22">
        <v>285600</v>
      </c>
      <c r="R33" s="2">
        <v>2024</v>
      </c>
      <c r="S33" s="38">
        <f t="shared" ref="S33:AG33" si="23">B33/B$29-1</f>
        <v>1.936619718309851E-2</v>
      </c>
      <c r="T33" s="38">
        <f t="shared" si="23"/>
        <v>2.4000000000000021E-2</v>
      </c>
      <c r="U33" s="38">
        <f t="shared" si="23"/>
        <v>2.020202020202011E-2</v>
      </c>
      <c r="V33" s="38">
        <f t="shared" si="23"/>
        <v>5.600000000000005E-2</v>
      </c>
      <c r="W33" s="38">
        <f t="shared" si="23"/>
        <v>3.6911487758945372E-2</v>
      </c>
      <c r="X33" s="38">
        <f t="shared" si="23"/>
        <v>-1.2658227848101222E-2</v>
      </c>
      <c r="Y33" s="38">
        <f t="shared" si="23"/>
        <v>-1.2295081967213073E-2</v>
      </c>
      <c r="Z33" s="38">
        <f t="shared" si="23"/>
        <v>-1.25925925925926E-2</v>
      </c>
      <c r="AA33" s="38">
        <f t="shared" si="23"/>
        <v>-6.6280033140017069E-3</v>
      </c>
      <c r="AB33" s="38">
        <f t="shared" si="23"/>
        <v>1.4913957934990396E-2</v>
      </c>
      <c r="AC33" s="38">
        <f t="shared" si="23"/>
        <v>5.1413881748072043E-2</v>
      </c>
      <c r="AD33" s="38">
        <f t="shared" si="23"/>
        <v>6.25E-2</v>
      </c>
      <c r="AE33" s="38">
        <f t="shared" si="23"/>
        <v>5.3408292340126451E-2</v>
      </c>
      <c r="AF33" s="38">
        <f t="shared" si="23"/>
        <v>0.10857592446892217</v>
      </c>
      <c r="AG33" s="38">
        <f t="shared" si="23"/>
        <v>5.8954393770856539E-2</v>
      </c>
      <c r="AH33" s="38"/>
      <c r="AI33" s="38">
        <f t="shared" ref="AI33:AK33" si="24">(AE33-Z33)/2</f>
        <v>3.3000442466359525E-2</v>
      </c>
      <c r="AJ33" s="38">
        <f t="shared" si="24"/>
        <v>5.7601963891461938E-2</v>
      </c>
      <c r="AK33" s="38">
        <f t="shared" si="24"/>
        <v>2.2020217917933071E-2</v>
      </c>
    </row>
    <row r="34" spans="1:37" ht="15.75" customHeight="1">
      <c r="A34" s="22">
        <v>2025</v>
      </c>
      <c r="B34" s="22">
        <v>116100</v>
      </c>
      <c r="C34" s="22">
        <v>25800</v>
      </c>
      <c r="D34" s="22">
        <f t="shared" si="12"/>
        <v>141900</v>
      </c>
      <c r="E34" s="22">
        <v>134000</v>
      </c>
      <c r="F34" s="22">
        <v>277800</v>
      </c>
      <c r="G34" s="22">
        <v>108800</v>
      </c>
      <c r="H34" s="22">
        <v>24000</v>
      </c>
      <c r="I34" s="22">
        <f t="shared" si="13"/>
        <v>132800</v>
      </c>
      <c r="J34" s="22">
        <v>120500</v>
      </c>
      <c r="K34" s="22">
        <v>266500</v>
      </c>
      <c r="L34" s="22">
        <v>123900</v>
      </c>
      <c r="M34" s="22">
        <v>27600</v>
      </c>
      <c r="N34" s="22">
        <f t="shared" si="14"/>
        <v>151500</v>
      </c>
      <c r="O34" s="22">
        <v>144700</v>
      </c>
      <c r="P34" s="22">
        <v>289500</v>
      </c>
      <c r="R34" s="2">
        <v>2025</v>
      </c>
      <c r="S34" s="38">
        <f t="shared" ref="S34:AG34" si="25">B34/B$29-1</f>
        <v>2.2007042253521236E-2</v>
      </c>
      <c r="T34" s="38">
        <f t="shared" si="25"/>
        <v>3.2000000000000028E-2</v>
      </c>
      <c r="U34" s="38">
        <f t="shared" si="25"/>
        <v>2.3809523809523725E-2</v>
      </c>
      <c r="V34" s="38">
        <f t="shared" si="25"/>
        <v>7.2000000000000064E-2</v>
      </c>
      <c r="W34" s="38">
        <f t="shared" si="25"/>
        <v>4.6327683615819293E-2</v>
      </c>
      <c r="X34" s="38">
        <f t="shared" si="25"/>
        <v>-1.6274864376130238E-2</v>
      </c>
      <c r="Y34" s="38">
        <f t="shared" si="25"/>
        <v>-1.6393442622950838E-2</v>
      </c>
      <c r="Z34" s="38">
        <f t="shared" si="25"/>
        <v>-1.6296296296296253E-2</v>
      </c>
      <c r="AA34" s="38">
        <f t="shared" si="25"/>
        <v>-1.657000828500399E-3</v>
      </c>
      <c r="AB34" s="38">
        <f t="shared" si="25"/>
        <v>1.9120458891013437E-2</v>
      </c>
      <c r="AC34" s="38">
        <f t="shared" si="25"/>
        <v>6.1696658097686319E-2</v>
      </c>
      <c r="AD34" s="38">
        <f t="shared" si="25"/>
        <v>7.8125E-2</v>
      </c>
      <c r="AE34" s="38">
        <f t="shared" si="25"/>
        <v>6.4652143359100522E-2</v>
      </c>
      <c r="AF34" s="38">
        <f t="shared" si="25"/>
        <v>0.1384736428009441</v>
      </c>
      <c r="AG34" s="38">
        <f t="shared" si="25"/>
        <v>7.3414905450500667E-2</v>
      </c>
      <c r="AH34" s="38"/>
      <c r="AI34" s="38">
        <f t="shared" ref="AI34:AK34" si="26">(AE34-Z34)/2</f>
        <v>4.0474219827698388E-2</v>
      </c>
      <c r="AJ34" s="38">
        <f t="shared" si="26"/>
        <v>7.0065321814722248E-2</v>
      </c>
      <c r="AK34" s="38">
        <f t="shared" si="26"/>
        <v>2.7147223279743615E-2</v>
      </c>
    </row>
    <row r="35" spans="1:37" ht="15.75" customHeight="1">
      <c r="A35" s="22">
        <v>2026</v>
      </c>
      <c r="B35" s="22">
        <v>116600</v>
      </c>
      <c r="C35" s="22">
        <v>25900</v>
      </c>
      <c r="D35" s="22">
        <f t="shared" si="12"/>
        <v>142500</v>
      </c>
      <c r="E35" s="22">
        <v>135800</v>
      </c>
      <c r="F35" s="22">
        <v>280200</v>
      </c>
      <c r="G35" s="22">
        <v>108500</v>
      </c>
      <c r="H35" s="22">
        <v>23900</v>
      </c>
      <c r="I35" s="22">
        <f t="shared" si="13"/>
        <v>132400</v>
      </c>
      <c r="J35" s="22">
        <v>121100</v>
      </c>
      <c r="K35" s="22">
        <v>267700</v>
      </c>
      <c r="L35" s="22">
        <v>125300</v>
      </c>
      <c r="M35" s="22">
        <v>27900</v>
      </c>
      <c r="N35" s="22">
        <f t="shared" si="14"/>
        <v>153200</v>
      </c>
      <c r="O35" s="22">
        <v>148300</v>
      </c>
      <c r="P35" s="22">
        <v>293200</v>
      </c>
      <c r="R35" s="2">
        <v>2026</v>
      </c>
      <c r="S35" s="38">
        <f t="shared" ref="S35:AG35" si="27">B35/B$29-1</f>
        <v>2.6408450704225261E-2</v>
      </c>
      <c r="T35" s="38">
        <f t="shared" si="27"/>
        <v>3.6000000000000032E-2</v>
      </c>
      <c r="U35" s="38">
        <f t="shared" si="27"/>
        <v>2.813852813852824E-2</v>
      </c>
      <c r="V35" s="38">
        <f t="shared" si="27"/>
        <v>8.6400000000000032E-2</v>
      </c>
      <c r="W35" s="38">
        <f t="shared" si="27"/>
        <v>5.5367231638418168E-2</v>
      </c>
      <c r="X35" s="38">
        <f t="shared" si="27"/>
        <v>-1.8987341772151889E-2</v>
      </c>
      <c r="Y35" s="38">
        <f t="shared" si="27"/>
        <v>-2.0491803278688492E-2</v>
      </c>
      <c r="Z35" s="38">
        <f t="shared" si="27"/>
        <v>-1.9259259259259309E-2</v>
      </c>
      <c r="AA35" s="38">
        <f t="shared" si="27"/>
        <v>3.314001657000798E-3</v>
      </c>
      <c r="AB35" s="38">
        <f t="shared" si="27"/>
        <v>2.3709369024856652E-2</v>
      </c>
      <c r="AC35" s="38">
        <f t="shared" si="27"/>
        <v>7.3693230505569751E-2</v>
      </c>
      <c r="AD35" s="38">
        <f t="shared" si="27"/>
        <v>8.984375E-2</v>
      </c>
      <c r="AE35" s="38">
        <f t="shared" si="27"/>
        <v>7.6598735066760293E-2</v>
      </c>
      <c r="AF35" s="38">
        <f t="shared" si="27"/>
        <v>0.16679779701022812</v>
      </c>
      <c r="AG35" s="38">
        <f t="shared" si="27"/>
        <v>8.7133852428624481E-2</v>
      </c>
      <c r="AH35" s="38"/>
      <c r="AI35" s="38">
        <f t="shared" ref="AI35:AK35" si="28">(AE35-Z35)/2</f>
        <v>4.7928997163009801E-2</v>
      </c>
      <c r="AJ35" s="38">
        <f t="shared" si="28"/>
        <v>8.1741897676613662E-2</v>
      </c>
      <c r="AK35" s="38">
        <f t="shared" si="28"/>
        <v>3.1712241701883914E-2</v>
      </c>
    </row>
    <row r="36" spans="1:37" ht="15.75" customHeight="1">
      <c r="A36" s="22">
        <v>2027</v>
      </c>
      <c r="B36" s="22">
        <v>117100</v>
      </c>
      <c r="C36" s="22">
        <v>25900</v>
      </c>
      <c r="D36" s="22">
        <f t="shared" si="12"/>
        <v>143000</v>
      </c>
      <c r="E36" s="22">
        <v>137500</v>
      </c>
      <c r="F36" s="22">
        <v>282400</v>
      </c>
      <c r="G36" s="22">
        <v>108300</v>
      </c>
      <c r="H36" s="22">
        <v>23800</v>
      </c>
      <c r="I36" s="22">
        <f t="shared" si="13"/>
        <v>132100</v>
      </c>
      <c r="J36" s="22">
        <v>121500</v>
      </c>
      <c r="K36" s="22">
        <v>268700</v>
      </c>
      <c r="L36" s="22">
        <v>126500</v>
      </c>
      <c r="M36" s="22">
        <v>28300</v>
      </c>
      <c r="N36" s="22">
        <f t="shared" si="14"/>
        <v>154800</v>
      </c>
      <c r="O36" s="22">
        <v>151800</v>
      </c>
      <c r="P36" s="22">
        <v>296700</v>
      </c>
      <c r="R36" s="2">
        <v>2027</v>
      </c>
      <c r="S36" s="38">
        <f t="shared" ref="S36:AG36" si="29">B36/B$29-1</f>
        <v>3.0809859154929509E-2</v>
      </c>
      <c r="T36" s="38">
        <f t="shared" si="29"/>
        <v>3.6000000000000032E-2</v>
      </c>
      <c r="U36" s="38">
        <f t="shared" si="29"/>
        <v>3.1746031746031855E-2</v>
      </c>
      <c r="V36" s="38">
        <f t="shared" si="29"/>
        <v>0.10000000000000009</v>
      </c>
      <c r="W36" s="38">
        <f t="shared" si="29"/>
        <v>6.3653483992466953E-2</v>
      </c>
      <c r="X36" s="38">
        <f t="shared" si="29"/>
        <v>-2.0795660036166397E-2</v>
      </c>
      <c r="Y36" s="38">
        <f t="shared" si="29"/>
        <v>-2.4590163934426257E-2</v>
      </c>
      <c r="Z36" s="38">
        <f t="shared" si="29"/>
        <v>-2.1481481481481435E-2</v>
      </c>
      <c r="AA36" s="38">
        <f t="shared" si="29"/>
        <v>6.6280033140015959E-3</v>
      </c>
      <c r="AB36" s="38">
        <f t="shared" si="29"/>
        <v>2.7533460803059295E-2</v>
      </c>
      <c r="AC36" s="38">
        <f t="shared" si="29"/>
        <v>8.3976006855184249E-2</v>
      </c>
      <c r="AD36" s="38">
        <f t="shared" si="29"/>
        <v>0.10546875</v>
      </c>
      <c r="AE36" s="38">
        <f t="shared" si="29"/>
        <v>8.7842586085734364E-2</v>
      </c>
      <c r="AF36" s="38">
        <f t="shared" si="29"/>
        <v>0.1943351691581432</v>
      </c>
      <c r="AG36" s="38">
        <f t="shared" si="29"/>
        <v>0.10011123470522798</v>
      </c>
      <c r="AH36" s="38"/>
      <c r="AI36" s="38">
        <f t="shared" ref="AI36:AK36" si="30">(AE36-Z36)/2</f>
        <v>5.46620337836079E-2</v>
      </c>
      <c r="AJ36" s="38">
        <f t="shared" si="30"/>
        <v>9.38535829220708E-2</v>
      </c>
      <c r="AK36" s="38">
        <f t="shared" si="30"/>
        <v>3.6288886951084343E-2</v>
      </c>
    </row>
    <row r="37" spans="1:37" ht="15.75" customHeight="1">
      <c r="A37" s="22">
        <v>2028</v>
      </c>
      <c r="B37" s="22">
        <v>117200</v>
      </c>
      <c r="C37" s="22">
        <v>26000</v>
      </c>
      <c r="D37" s="22">
        <f t="shared" si="12"/>
        <v>143200</v>
      </c>
      <c r="E37" s="22">
        <v>138600</v>
      </c>
      <c r="F37" s="22">
        <v>283700</v>
      </c>
      <c r="G37" s="22">
        <v>107800</v>
      </c>
      <c r="H37" s="22">
        <v>23600</v>
      </c>
      <c r="I37" s="22">
        <f t="shared" si="13"/>
        <v>131400</v>
      </c>
      <c r="J37" s="22">
        <v>121900</v>
      </c>
      <c r="K37" s="22">
        <v>268900</v>
      </c>
      <c r="L37" s="22">
        <v>127500</v>
      </c>
      <c r="M37" s="22">
        <v>28500</v>
      </c>
      <c r="N37" s="22">
        <f t="shared" si="14"/>
        <v>156000</v>
      </c>
      <c r="O37" s="22">
        <v>155100</v>
      </c>
      <c r="P37" s="22">
        <v>299400</v>
      </c>
      <c r="R37" s="2">
        <v>2028</v>
      </c>
      <c r="S37" s="38">
        <f t="shared" ref="S37:AG37" si="31">B37/B$29-1</f>
        <v>3.1690140845070491E-2</v>
      </c>
      <c r="T37" s="38">
        <f t="shared" si="31"/>
        <v>4.0000000000000036E-2</v>
      </c>
      <c r="U37" s="38">
        <f t="shared" si="31"/>
        <v>3.3189033189033212E-2</v>
      </c>
      <c r="V37" s="38">
        <f t="shared" si="31"/>
        <v>0.10880000000000001</v>
      </c>
      <c r="W37" s="38">
        <f t="shared" si="31"/>
        <v>6.8549905838041436E-2</v>
      </c>
      <c r="X37" s="38">
        <f t="shared" si="31"/>
        <v>-2.5316455696202556E-2</v>
      </c>
      <c r="Y37" s="38">
        <f t="shared" si="31"/>
        <v>-3.2786885245901676E-2</v>
      </c>
      <c r="Z37" s="38">
        <f t="shared" si="31"/>
        <v>-2.6666666666666616E-2</v>
      </c>
      <c r="AA37" s="38">
        <f t="shared" si="31"/>
        <v>9.9420049710023939E-3</v>
      </c>
      <c r="AB37" s="38">
        <f t="shared" si="31"/>
        <v>2.8298279158699868E-2</v>
      </c>
      <c r="AC37" s="38">
        <f t="shared" si="31"/>
        <v>9.2544987146529589E-2</v>
      </c>
      <c r="AD37" s="38">
        <f t="shared" si="31"/>
        <v>0.11328125</v>
      </c>
      <c r="AE37" s="38">
        <f t="shared" si="31"/>
        <v>9.6275474349964973E-2</v>
      </c>
      <c r="AF37" s="38">
        <f t="shared" si="31"/>
        <v>0.22029897718332014</v>
      </c>
      <c r="AG37" s="38">
        <f t="shared" si="31"/>
        <v>0.11012235817575089</v>
      </c>
      <c r="AH37" s="38"/>
      <c r="AI37" s="38">
        <f t="shared" ref="AI37:AK37" si="32">(AE37-Z37)/2</f>
        <v>6.1471070508315795E-2</v>
      </c>
      <c r="AJ37" s="38">
        <f t="shared" si="32"/>
        <v>0.10517848610615887</v>
      </c>
      <c r="AK37" s="38">
        <f t="shared" si="32"/>
        <v>4.0912039508525511E-2</v>
      </c>
    </row>
    <row r="38" spans="1:37" ht="15.75" customHeight="1">
      <c r="A38" s="22">
        <v>2029</v>
      </c>
      <c r="B38" s="22">
        <v>117500</v>
      </c>
      <c r="C38" s="22">
        <v>26000</v>
      </c>
      <c r="D38" s="22">
        <f t="shared" si="12"/>
        <v>143500</v>
      </c>
      <c r="E38" s="22">
        <v>139800</v>
      </c>
      <c r="F38" s="22">
        <v>285100</v>
      </c>
      <c r="G38" s="22">
        <v>107300</v>
      </c>
      <c r="H38" s="22">
        <v>23500</v>
      </c>
      <c r="I38" s="22">
        <f t="shared" si="13"/>
        <v>130800</v>
      </c>
      <c r="J38" s="22">
        <v>121800</v>
      </c>
      <c r="K38" s="22">
        <v>269200</v>
      </c>
      <c r="L38" s="22">
        <v>128600</v>
      </c>
      <c r="M38" s="22">
        <v>28800</v>
      </c>
      <c r="N38" s="22">
        <f t="shared" si="14"/>
        <v>157400</v>
      </c>
      <c r="O38" s="22">
        <v>157800</v>
      </c>
      <c r="P38" s="22">
        <v>302000</v>
      </c>
      <c r="R38" s="2">
        <v>2029</v>
      </c>
      <c r="S38" s="38">
        <f t="shared" ref="S38:AG38" si="33">B38/B$29-1</f>
        <v>3.4330985915492995E-2</v>
      </c>
      <c r="T38" s="38">
        <f t="shared" si="33"/>
        <v>4.0000000000000036E-2</v>
      </c>
      <c r="U38" s="38">
        <f t="shared" si="33"/>
        <v>3.5353535353535248E-2</v>
      </c>
      <c r="V38" s="38">
        <f t="shared" si="33"/>
        <v>0.11840000000000006</v>
      </c>
      <c r="W38" s="38">
        <f t="shared" si="33"/>
        <v>7.3822975517890743E-2</v>
      </c>
      <c r="X38" s="38">
        <f t="shared" si="33"/>
        <v>-2.9837251356238714E-2</v>
      </c>
      <c r="Y38" s="38">
        <f t="shared" si="33"/>
        <v>-3.688524590163933E-2</v>
      </c>
      <c r="Z38" s="38">
        <f t="shared" si="33"/>
        <v>-3.1111111111111089E-2</v>
      </c>
      <c r="AA38" s="38">
        <f t="shared" si="33"/>
        <v>9.1135045567523054E-3</v>
      </c>
      <c r="AB38" s="38">
        <f t="shared" si="33"/>
        <v>2.9445506692160617E-2</v>
      </c>
      <c r="AC38" s="38">
        <f t="shared" si="33"/>
        <v>0.10197086546700951</v>
      </c>
      <c r="AD38" s="38">
        <f t="shared" si="33"/>
        <v>0.125</v>
      </c>
      <c r="AE38" s="38">
        <f t="shared" si="33"/>
        <v>0.1061138439915672</v>
      </c>
      <c r="AF38" s="38">
        <f t="shared" si="33"/>
        <v>0.24154209284028316</v>
      </c>
      <c r="AG38" s="38">
        <f t="shared" si="33"/>
        <v>0.11976269929551364</v>
      </c>
      <c r="AH38" s="38"/>
      <c r="AI38" s="38">
        <f t="shared" ref="AI38:AK38" si="34">(AE38-Z38)/2</f>
        <v>6.8612477551339146E-2</v>
      </c>
      <c r="AJ38" s="38">
        <f t="shared" si="34"/>
        <v>0.11621429414176543</v>
      </c>
      <c r="AK38" s="38">
        <f t="shared" si="34"/>
        <v>4.5158596301676512E-2</v>
      </c>
    </row>
    <row r="39" spans="1:37" ht="15.75" customHeight="1">
      <c r="A39" s="22">
        <v>2030</v>
      </c>
      <c r="B39" s="22">
        <v>117700</v>
      </c>
      <c r="C39" s="22">
        <v>26000</v>
      </c>
      <c r="D39" s="22">
        <f t="shared" si="12"/>
        <v>143700</v>
      </c>
      <c r="E39" s="22">
        <v>141000</v>
      </c>
      <c r="F39" s="22">
        <v>286600</v>
      </c>
      <c r="G39" s="22">
        <v>106900</v>
      </c>
      <c r="H39" s="22">
        <v>23300</v>
      </c>
      <c r="I39" s="22">
        <f t="shared" si="13"/>
        <v>130200</v>
      </c>
      <c r="J39" s="22">
        <v>121700</v>
      </c>
      <c r="K39" s="22">
        <v>269500</v>
      </c>
      <c r="L39" s="22">
        <v>129500</v>
      </c>
      <c r="M39" s="22">
        <v>29100</v>
      </c>
      <c r="N39" s="22">
        <f t="shared" si="14"/>
        <v>158600</v>
      </c>
      <c r="O39" s="22">
        <v>160600</v>
      </c>
      <c r="P39" s="22">
        <v>304700</v>
      </c>
      <c r="R39" s="2">
        <v>2030</v>
      </c>
      <c r="S39" s="38">
        <f t="shared" ref="S39:AG39" si="35">B39/B$29-1</f>
        <v>3.6091549295774739E-2</v>
      </c>
      <c r="T39" s="38">
        <f t="shared" si="35"/>
        <v>4.0000000000000036E-2</v>
      </c>
      <c r="U39" s="38">
        <f t="shared" si="35"/>
        <v>3.6796536796536827E-2</v>
      </c>
      <c r="V39" s="38">
        <f t="shared" si="35"/>
        <v>0.12799999999999989</v>
      </c>
      <c r="W39" s="38">
        <f t="shared" si="35"/>
        <v>7.9472693032015096E-2</v>
      </c>
      <c r="X39" s="38">
        <f t="shared" si="35"/>
        <v>-3.3453887884267619E-2</v>
      </c>
      <c r="Y39" s="38">
        <f t="shared" si="35"/>
        <v>-4.5081967213114749E-2</v>
      </c>
      <c r="Z39" s="38">
        <f t="shared" si="35"/>
        <v>-3.5555555555555562E-2</v>
      </c>
      <c r="AA39" s="38">
        <f t="shared" si="35"/>
        <v>8.2850041425019949E-3</v>
      </c>
      <c r="AB39" s="38">
        <f t="shared" si="35"/>
        <v>3.0592734225621365E-2</v>
      </c>
      <c r="AC39" s="38">
        <f t="shared" si="35"/>
        <v>0.10968294772922027</v>
      </c>
      <c r="AD39" s="38">
        <f t="shared" si="35"/>
        <v>0.13671875</v>
      </c>
      <c r="AE39" s="38">
        <f t="shared" si="35"/>
        <v>0.11454673225579759</v>
      </c>
      <c r="AF39" s="38">
        <f t="shared" si="35"/>
        <v>0.26357199055861535</v>
      </c>
      <c r="AG39" s="38">
        <f t="shared" si="35"/>
        <v>0.12977382276603633</v>
      </c>
      <c r="AH39" s="38"/>
      <c r="AI39" s="38">
        <f t="shared" ref="AI39:AK39" si="36">(AE39-Z39)/2</f>
        <v>7.5051143905676576E-2</v>
      </c>
      <c r="AJ39" s="38">
        <f t="shared" si="36"/>
        <v>0.12764349320805668</v>
      </c>
      <c r="AK39" s="38">
        <f t="shared" si="36"/>
        <v>4.9590544270207482E-2</v>
      </c>
    </row>
    <row r="40" spans="1:37" ht="15.75" customHeight="1">
      <c r="A40" s="22">
        <v>2031</v>
      </c>
      <c r="B40" s="22">
        <v>117900</v>
      </c>
      <c r="C40" s="22">
        <v>26100</v>
      </c>
      <c r="D40" s="22">
        <f t="shared" si="12"/>
        <v>144000</v>
      </c>
      <c r="E40" s="22">
        <v>142300</v>
      </c>
      <c r="F40" s="22">
        <v>288100</v>
      </c>
      <c r="G40" s="22">
        <v>106400</v>
      </c>
      <c r="H40" s="22">
        <v>23200</v>
      </c>
      <c r="I40" s="22">
        <f t="shared" si="13"/>
        <v>129600</v>
      </c>
      <c r="J40" s="22">
        <v>121800</v>
      </c>
      <c r="K40" s="22">
        <v>269900</v>
      </c>
      <c r="L40" s="22">
        <v>130500</v>
      </c>
      <c r="M40" s="22">
        <v>29300</v>
      </c>
      <c r="N40" s="22">
        <f t="shared" si="14"/>
        <v>159800</v>
      </c>
      <c r="O40" s="22">
        <v>163300</v>
      </c>
      <c r="P40" s="22">
        <v>307500</v>
      </c>
      <c r="R40" s="2">
        <v>2031</v>
      </c>
      <c r="S40" s="38">
        <f t="shared" ref="S40:AG40" si="37">B40/B$29-1</f>
        <v>3.785211267605626E-2</v>
      </c>
      <c r="T40" s="38">
        <f t="shared" si="37"/>
        <v>4.4000000000000039E-2</v>
      </c>
      <c r="U40" s="38">
        <f t="shared" si="37"/>
        <v>3.8961038961038863E-2</v>
      </c>
      <c r="V40" s="38">
        <f t="shared" si="37"/>
        <v>0.13840000000000008</v>
      </c>
      <c r="W40" s="38">
        <f t="shared" si="37"/>
        <v>8.5122410546139449E-2</v>
      </c>
      <c r="X40" s="38">
        <f t="shared" si="37"/>
        <v>-3.7974683544303778E-2</v>
      </c>
      <c r="Y40" s="38">
        <f t="shared" si="37"/>
        <v>-4.9180327868852514E-2</v>
      </c>
      <c r="Z40" s="38">
        <f t="shared" si="37"/>
        <v>-4.0000000000000036E-2</v>
      </c>
      <c r="AA40" s="38">
        <f t="shared" si="37"/>
        <v>9.1135045567523054E-3</v>
      </c>
      <c r="AB40" s="38">
        <f t="shared" si="37"/>
        <v>3.2122370936902511E-2</v>
      </c>
      <c r="AC40" s="38">
        <f t="shared" si="37"/>
        <v>0.11825192802056561</v>
      </c>
      <c r="AD40" s="38">
        <f t="shared" si="37"/>
        <v>0.14453125</v>
      </c>
      <c r="AE40" s="38">
        <f t="shared" si="37"/>
        <v>0.1229796205200282</v>
      </c>
      <c r="AF40" s="38">
        <f t="shared" si="37"/>
        <v>0.28481510621557837</v>
      </c>
      <c r="AG40" s="38">
        <f t="shared" si="37"/>
        <v>0.14015572858731917</v>
      </c>
      <c r="AH40" s="38"/>
      <c r="AI40" s="38">
        <f t="shared" ref="AI40:AK40" si="38">(AE40-Z40)/2</f>
        <v>8.1489810260014117E-2</v>
      </c>
      <c r="AJ40" s="38">
        <f t="shared" si="38"/>
        <v>0.13785080082941303</v>
      </c>
      <c r="AK40" s="38">
        <f t="shared" si="38"/>
        <v>5.4016678825208331E-2</v>
      </c>
    </row>
    <row r="41" spans="1:37" ht="15.75" customHeight="1">
      <c r="A41" s="22">
        <v>2032</v>
      </c>
      <c r="B41" s="22">
        <v>118000</v>
      </c>
      <c r="C41" s="22">
        <v>26100</v>
      </c>
      <c r="D41" s="22">
        <f t="shared" si="12"/>
        <v>144100</v>
      </c>
      <c r="E41" s="22">
        <v>143600</v>
      </c>
      <c r="F41" s="22">
        <v>289500</v>
      </c>
      <c r="G41" s="22">
        <v>105900</v>
      </c>
      <c r="H41" s="22">
        <v>23100</v>
      </c>
      <c r="I41" s="22">
        <f t="shared" si="13"/>
        <v>129000</v>
      </c>
      <c r="J41" s="22">
        <v>121800</v>
      </c>
      <c r="K41" s="22">
        <v>270300</v>
      </c>
      <c r="L41" s="22">
        <v>131400</v>
      </c>
      <c r="M41" s="22">
        <v>29600</v>
      </c>
      <c r="N41" s="22">
        <f t="shared" si="14"/>
        <v>161000</v>
      </c>
      <c r="O41" s="22">
        <v>166100</v>
      </c>
      <c r="P41" s="22">
        <v>310200</v>
      </c>
      <c r="R41" s="2">
        <v>2032</v>
      </c>
      <c r="S41" s="38">
        <f t="shared" ref="S41:AG41" si="39">B41/B$29-1</f>
        <v>3.8732394366197243E-2</v>
      </c>
      <c r="T41" s="38">
        <f t="shared" si="39"/>
        <v>4.4000000000000039E-2</v>
      </c>
      <c r="U41" s="38">
        <f t="shared" si="39"/>
        <v>3.9682539682539764E-2</v>
      </c>
      <c r="V41" s="38">
        <f t="shared" si="39"/>
        <v>0.14880000000000004</v>
      </c>
      <c r="W41" s="38">
        <f t="shared" si="39"/>
        <v>9.0395480225988756E-2</v>
      </c>
      <c r="X41" s="38">
        <f t="shared" si="39"/>
        <v>-4.2495479204339937E-2</v>
      </c>
      <c r="Y41" s="38">
        <f t="shared" si="39"/>
        <v>-5.3278688524590168E-2</v>
      </c>
      <c r="Z41" s="38">
        <f t="shared" si="39"/>
        <v>-4.4444444444444398E-2</v>
      </c>
      <c r="AA41" s="38">
        <f t="shared" si="39"/>
        <v>9.1135045567523054E-3</v>
      </c>
      <c r="AB41" s="38">
        <f t="shared" si="39"/>
        <v>3.3652007648183657E-2</v>
      </c>
      <c r="AC41" s="38">
        <f t="shared" si="39"/>
        <v>0.12596401028277637</v>
      </c>
      <c r="AD41" s="38">
        <f t="shared" si="39"/>
        <v>0.15625</v>
      </c>
      <c r="AE41" s="38">
        <f t="shared" si="39"/>
        <v>0.13141250878425859</v>
      </c>
      <c r="AF41" s="38">
        <f t="shared" si="39"/>
        <v>0.30684500393391034</v>
      </c>
      <c r="AG41" s="38">
        <f t="shared" si="39"/>
        <v>0.15016685205784208</v>
      </c>
      <c r="AH41" s="38"/>
      <c r="AI41" s="38">
        <f t="shared" ref="AI41:AK41" si="40">(AE41-Z41)/2</f>
        <v>8.7928476614351492E-2</v>
      </c>
      <c r="AJ41" s="38">
        <f t="shared" si="40"/>
        <v>0.14886574968857902</v>
      </c>
      <c r="AK41" s="38">
        <f t="shared" si="40"/>
        <v>5.8257422204829212E-2</v>
      </c>
    </row>
    <row r="42" spans="1:37" ht="15.75" customHeight="1">
      <c r="A42" s="22">
        <v>2033</v>
      </c>
      <c r="B42" s="22">
        <v>118100</v>
      </c>
      <c r="C42" s="22">
        <v>26200</v>
      </c>
      <c r="D42" s="22">
        <f t="shared" si="12"/>
        <v>144300</v>
      </c>
      <c r="E42" s="22">
        <v>144900</v>
      </c>
      <c r="F42" s="22">
        <v>291000</v>
      </c>
      <c r="G42" s="22">
        <v>105400</v>
      </c>
      <c r="H42" s="22">
        <v>22900</v>
      </c>
      <c r="I42" s="22">
        <f t="shared" si="13"/>
        <v>128300</v>
      </c>
      <c r="J42" s="22">
        <v>122000</v>
      </c>
      <c r="K42" s="22">
        <v>270700</v>
      </c>
      <c r="L42" s="22">
        <v>132300</v>
      </c>
      <c r="M42" s="22">
        <v>29900</v>
      </c>
      <c r="N42" s="22">
        <f t="shared" si="14"/>
        <v>162200</v>
      </c>
      <c r="O42" s="22">
        <v>168900</v>
      </c>
      <c r="P42" s="22">
        <v>312800</v>
      </c>
      <c r="R42" s="2">
        <v>2033</v>
      </c>
      <c r="S42" s="38">
        <f t="shared" ref="S42:AG42" si="41">B42/B$29-1</f>
        <v>3.9612676056338003E-2</v>
      </c>
      <c r="T42" s="38">
        <f t="shared" si="41"/>
        <v>4.8000000000000043E-2</v>
      </c>
      <c r="U42" s="38">
        <f t="shared" si="41"/>
        <v>4.1125541125541121E-2</v>
      </c>
      <c r="V42" s="38">
        <f t="shared" si="41"/>
        <v>0.15920000000000001</v>
      </c>
      <c r="W42" s="38">
        <f t="shared" si="41"/>
        <v>9.6045197740112886E-2</v>
      </c>
      <c r="X42" s="38">
        <f t="shared" si="41"/>
        <v>-4.7016274864376095E-2</v>
      </c>
      <c r="Y42" s="38">
        <f t="shared" si="41"/>
        <v>-6.1475409836065587E-2</v>
      </c>
      <c r="Z42" s="38">
        <f t="shared" si="41"/>
        <v>-4.9629629629629579E-2</v>
      </c>
      <c r="AA42" s="38">
        <f t="shared" si="41"/>
        <v>1.0770505385252704E-2</v>
      </c>
      <c r="AB42" s="38">
        <f t="shared" si="41"/>
        <v>3.5181644359464581E-2</v>
      </c>
      <c r="AC42" s="38">
        <f t="shared" si="41"/>
        <v>0.13367609254498714</v>
      </c>
      <c r="AD42" s="38">
        <f t="shared" si="41"/>
        <v>0.16796875</v>
      </c>
      <c r="AE42" s="38">
        <f t="shared" si="41"/>
        <v>0.1398453970484892</v>
      </c>
      <c r="AF42" s="38">
        <f t="shared" si="41"/>
        <v>0.32887490165224231</v>
      </c>
      <c r="AG42" s="38">
        <f t="shared" si="41"/>
        <v>0.15980719317760483</v>
      </c>
      <c r="AH42" s="38"/>
      <c r="AI42" s="38">
        <f t="shared" ref="AI42:AK42" si="42">(AE42-Z42)/2</f>
        <v>9.4737513339059387E-2</v>
      </c>
      <c r="AJ42" s="38">
        <f t="shared" si="42"/>
        <v>0.1590521981334948</v>
      </c>
      <c r="AK42" s="38">
        <f t="shared" si="42"/>
        <v>6.2312774409070126E-2</v>
      </c>
    </row>
    <row r="43" spans="1:37" ht="15.75" customHeight="1">
      <c r="A43" s="22">
        <v>2034</v>
      </c>
      <c r="B43" s="22">
        <v>118200</v>
      </c>
      <c r="C43" s="22">
        <v>26200</v>
      </c>
      <c r="D43" s="22">
        <f t="shared" si="12"/>
        <v>144400</v>
      </c>
      <c r="E43" s="22">
        <v>146100</v>
      </c>
      <c r="F43" s="22">
        <v>292400</v>
      </c>
      <c r="G43" s="22">
        <v>104900</v>
      </c>
      <c r="H43" s="22">
        <v>22800</v>
      </c>
      <c r="I43" s="22">
        <f t="shared" si="13"/>
        <v>127700</v>
      </c>
      <c r="J43" s="22">
        <v>122200</v>
      </c>
      <c r="K43" s="22">
        <v>271000</v>
      </c>
      <c r="L43" s="22">
        <v>133100</v>
      </c>
      <c r="M43" s="22">
        <v>30200</v>
      </c>
      <c r="N43" s="22">
        <f t="shared" si="14"/>
        <v>163300</v>
      </c>
      <c r="O43" s="22">
        <v>171800</v>
      </c>
      <c r="P43" s="22">
        <v>315400</v>
      </c>
      <c r="R43" s="2">
        <v>2034</v>
      </c>
      <c r="S43" s="38">
        <f t="shared" ref="S43:AG43" si="43">B43/B$29-1</f>
        <v>4.0492957746478764E-2</v>
      </c>
      <c r="T43" s="38">
        <f t="shared" si="43"/>
        <v>4.8000000000000043E-2</v>
      </c>
      <c r="U43" s="38">
        <f t="shared" si="43"/>
        <v>4.1847041847041799E-2</v>
      </c>
      <c r="V43" s="38">
        <f t="shared" si="43"/>
        <v>0.16880000000000006</v>
      </c>
      <c r="W43" s="38">
        <f t="shared" si="43"/>
        <v>0.10131826741996242</v>
      </c>
      <c r="X43" s="38">
        <f t="shared" si="43"/>
        <v>-5.1537070524412254E-2</v>
      </c>
      <c r="Y43" s="38">
        <f t="shared" si="43"/>
        <v>-6.557377049180324E-2</v>
      </c>
      <c r="Z43" s="38">
        <f t="shared" si="43"/>
        <v>-5.4074074074074052E-2</v>
      </c>
      <c r="AA43" s="38">
        <f t="shared" si="43"/>
        <v>1.2427506213753103E-2</v>
      </c>
      <c r="AB43" s="38">
        <f t="shared" si="43"/>
        <v>3.632887189292533E-2</v>
      </c>
      <c r="AC43" s="38">
        <f t="shared" si="43"/>
        <v>0.14053127677806332</v>
      </c>
      <c r="AD43" s="38">
        <f t="shared" si="43"/>
        <v>0.1796875</v>
      </c>
      <c r="AE43" s="38">
        <f t="shared" si="43"/>
        <v>0.14757554462403366</v>
      </c>
      <c r="AF43" s="38">
        <f t="shared" si="43"/>
        <v>0.35169158143194346</v>
      </c>
      <c r="AG43" s="38">
        <f t="shared" si="43"/>
        <v>0.16944753429736736</v>
      </c>
      <c r="AH43" s="38"/>
      <c r="AI43" s="38">
        <f t="shared" ref="AI43:AK43" si="44">(AE43-Z43)/2</f>
        <v>0.10082480934905386</v>
      </c>
      <c r="AJ43" s="38">
        <f t="shared" si="44"/>
        <v>0.16963203760909518</v>
      </c>
      <c r="AK43" s="38">
        <f t="shared" si="44"/>
        <v>6.6559331202221017E-2</v>
      </c>
    </row>
    <row r="44" spans="1:37" ht="15.75" customHeight="1">
      <c r="A44" s="22">
        <v>2035</v>
      </c>
      <c r="B44" s="22">
        <v>118200</v>
      </c>
      <c r="C44" s="22">
        <v>26300</v>
      </c>
      <c r="D44" s="22">
        <f t="shared" si="12"/>
        <v>144500</v>
      </c>
      <c r="E44" s="22">
        <v>147300</v>
      </c>
      <c r="F44" s="22">
        <v>293600</v>
      </c>
      <c r="G44" s="22">
        <v>104400</v>
      </c>
      <c r="H44" s="22">
        <v>22700</v>
      </c>
      <c r="I44" s="22">
        <f t="shared" si="13"/>
        <v>127100</v>
      </c>
      <c r="J44" s="22">
        <v>122300</v>
      </c>
      <c r="K44" s="22">
        <v>271300</v>
      </c>
      <c r="L44" s="22">
        <v>133900</v>
      </c>
      <c r="M44" s="22">
        <v>30500</v>
      </c>
      <c r="N44" s="22">
        <f t="shared" si="14"/>
        <v>164400</v>
      </c>
      <c r="O44" s="22">
        <v>174500</v>
      </c>
      <c r="P44" s="22">
        <v>317800</v>
      </c>
      <c r="R44" s="2">
        <v>2035</v>
      </c>
      <c r="S44" s="38">
        <f t="shared" ref="S44:AG44" si="45">B44/B$29-1</f>
        <v>4.0492957746478764E-2</v>
      </c>
      <c r="T44" s="38">
        <f t="shared" si="45"/>
        <v>5.2000000000000046E-2</v>
      </c>
      <c r="U44" s="38">
        <f t="shared" si="45"/>
        <v>4.2568542568542478E-2</v>
      </c>
      <c r="V44" s="38">
        <f t="shared" si="45"/>
        <v>0.17839999999999989</v>
      </c>
      <c r="W44" s="38">
        <f t="shared" si="45"/>
        <v>0.10583804143126185</v>
      </c>
      <c r="X44" s="38">
        <f t="shared" si="45"/>
        <v>-5.6057866184448413E-2</v>
      </c>
      <c r="Y44" s="38">
        <f t="shared" si="45"/>
        <v>-6.9672131147541005E-2</v>
      </c>
      <c r="Z44" s="38">
        <f t="shared" si="45"/>
        <v>-5.8518518518518525E-2</v>
      </c>
      <c r="AA44" s="38">
        <f t="shared" si="45"/>
        <v>1.3256006628003414E-2</v>
      </c>
      <c r="AB44" s="38">
        <f t="shared" si="45"/>
        <v>3.74760994263863E-2</v>
      </c>
      <c r="AC44" s="38">
        <f t="shared" si="45"/>
        <v>0.14738646101113972</v>
      </c>
      <c r="AD44" s="38">
        <f t="shared" si="45"/>
        <v>0.19140625</v>
      </c>
      <c r="AE44" s="38">
        <f t="shared" si="45"/>
        <v>0.15530569219957835</v>
      </c>
      <c r="AF44" s="38">
        <f t="shared" si="45"/>
        <v>0.37293469708890647</v>
      </c>
      <c r="AG44" s="38">
        <f t="shared" si="45"/>
        <v>0.17834631071561002</v>
      </c>
      <c r="AH44" s="38"/>
      <c r="AI44" s="38">
        <f t="shared" ref="AI44:AK44" si="46">(AE44-Z44)/2</f>
        <v>0.10691210535904844</v>
      </c>
      <c r="AJ44" s="38">
        <f t="shared" si="46"/>
        <v>0.17983934523045153</v>
      </c>
      <c r="AK44" s="38">
        <f t="shared" si="46"/>
        <v>7.0435105644611862E-2</v>
      </c>
    </row>
    <row r="45" spans="1:37" ht="15.75" customHeight="1">
      <c r="A45" s="22">
        <v>2036</v>
      </c>
      <c r="B45" s="22">
        <v>118300</v>
      </c>
      <c r="C45" s="22">
        <v>26400</v>
      </c>
      <c r="D45" s="22">
        <f t="shared" si="12"/>
        <v>144700</v>
      </c>
      <c r="E45" s="22">
        <v>148400</v>
      </c>
      <c r="F45" s="22">
        <v>294900</v>
      </c>
      <c r="G45" s="22">
        <v>103800</v>
      </c>
      <c r="H45" s="22">
        <v>22600</v>
      </c>
      <c r="I45" s="22">
        <f t="shared" si="13"/>
        <v>126400</v>
      </c>
      <c r="J45" s="22">
        <v>122400</v>
      </c>
      <c r="K45" s="22">
        <v>271500</v>
      </c>
      <c r="L45" s="22">
        <v>134700</v>
      </c>
      <c r="M45" s="22">
        <v>30800</v>
      </c>
      <c r="N45" s="22">
        <f t="shared" si="14"/>
        <v>165500</v>
      </c>
      <c r="O45" s="22">
        <v>177200</v>
      </c>
      <c r="P45" s="22">
        <v>320300</v>
      </c>
      <c r="R45" s="2">
        <v>2036</v>
      </c>
      <c r="S45" s="38">
        <f t="shared" ref="S45:AG45" si="47">B45/B$29-1</f>
        <v>4.1373239436619746E-2</v>
      </c>
      <c r="T45" s="38">
        <f t="shared" si="47"/>
        <v>5.600000000000005E-2</v>
      </c>
      <c r="U45" s="38">
        <f t="shared" si="47"/>
        <v>4.4011544011544057E-2</v>
      </c>
      <c r="V45" s="38">
        <f t="shared" si="47"/>
        <v>0.18720000000000003</v>
      </c>
      <c r="W45" s="38">
        <f t="shared" si="47"/>
        <v>0.11073446327683611</v>
      </c>
      <c r="X45" s="38">
        <f t="shared" si="47"/>
        <v>-6.1482820976491825E-2</v>
      </c>
      <c r="Y45" s="38">
        <f t="shared" si="47"/>
        <v>-7.3770491803278659E-2</v>
      </c>
      <c r="Z45" s="38">
        <f t="shared" si="47"/>
        <v>-6.3703703703703707E-2</v>
      </c>
      <c r="AA45" s="38">
        <f t="shared" si="47"/>
        <v>1.4084507042253502E-2</v>
      </c>
      <c r="AB45" s="38">
        <f t="shared" si="47"/>
        <v>3.8240917782026873E-2</v>
      </c>
      <c r="AC45" s="38">
        <f t="shared" si="47"/>
        <v>0.15424164524421591</v>
      </c>
      <c r="AD45" s="38">
        <f t="shared" si="47"/>
        <v>0.203125</v>
      </c>
      <c r="AE45" s="38">
        <f t="shared" si="47"/>
        <v>0.16303583977512304</v>
      </c>
      <c r="AF45" s="38">
        <f t="shared" si="47"/>
        <v>0.39417781274586949</v>
      </c>
      <c r="AG45" s="38">
        <f t="shared" si="47"/>
        <v>0.18761586948461262</v>
      </c>
      <c r="AH45" s="38"/>
      <c r="AI45" s="38">
        <f t="shared" ref="AI45:AK45" si="48">(AE45-Z45)/2</f>
        <v>0.11336977173941337</v>
      </c>
      <c r="AJ45" s="38">
        <f t="shared" si="48"/>
        <v>0.190046652851808</v>
      </c>
      <c r="AK45" s="38">
        <f t="shared" si="48"/>
        <v>7.4687475851292873E-2</v>
      </c>
    </row>
    <row r="46" spans="1:37" ht="15.75" customHeight="1">
      <c r="A46" s="22">
        <v>2037</v>
      </c>
      <c r="B46" s="22">
        <v>118300</v>
      </c>
      <c r="C46" s="22">
        <v>26400</v>
      </c>
      <c r="D46" s="22">
        <f t="shared" si="12"/>
        <v>144700</v>
      </c>
      <c r="E46" s="22">
        <v>149400</v>
      </c>
      <c r="F46" s="22">
        <v>296000</v>
      </c>
      <c r="G46" s="22">
        <v>103300</v>
      </c>
      <c r="H46" s="22">
        <v>22500</v>
      </c>
      <c r="I46" s="22">
        <f t="shared" si="13"/>
        <v>125800</v>
      </c>
      <c r="J46" s="22">
        <v>122500</v>
      </c>
      <c r="K46" s="22">
        <v>271600</v>
      </c>
      <c r="L46" s="22">
        <v>135500</v>
      </c>
      <c r="M46" s="22">
        <v>31000</v>
      </c>
      <c r="N46" s="22">
        <f t="shared" si="14"/>
        <v>166500</v>
      </c>
      <c r="O46" s="22">
        <v>179800</v>
      </c>
      <c r="P46" s="22">
        <v>322500</v>
      </c>
      <c r="R46" s="2">
        <v>2037</v>
      </c>
      <c r="S46" s="38">
        <f t="shared" ref="S46:AG46" si="49">B46/B$29-1</f>
        <v>4.1373239436619746E-2</v>
      </c>
      <c r="T46" s="38">
        <f t="shared" si="49"/>
        <v>5.600000000000005E-2</v>
      </c>
      <c r="U46" s="38">
        <f t="shared" si="49"/>
        <v>4.4011544011544057E-2</v>
      </c>
      <c r="V46" s="38">
        <f t="shared" si="49"/>
        <v>0.19520000000000004</v>
      </c>
      <c r="W46" s="38">
        <f t="shared" si="49"/>
        <v>0.11487758945386073</v>
      </c>
      <c r="X46" s="38">
        <f t="shared" si="49"/>
        <v>-6.6003616636527984E-2</v>
      </c>
      <c r="Y46" s="38">
        <f t="shared" si="49"/>
        <v>-7.7868852459016424E-2</v>
      </c>
      <c r="Z46" s="38">
        <f t="shared" si="49"/>
        <v>-6.814814814814818E-2</v>
      </c>
      <c r="AA46" s="38">
        <f t="shared" si="49"/>
        <v>1.4913007456503813E-2</v>
      </c>
      <c r="AB46" s="38">
        <f t="shared" si="49"/>
        <v>3.8623326959847049E-2</v>
      </c>
      <c r="AC46" s="38">
        <f t="shared" si="49"/>
        <v>0.16109682947729209</v>
      </c>
      <c r="AD46" s="38">
        <f t="shared" si="49"/>
        <v>0.2109375</v>
      </c>
      <c r="AE46" s="38">
        <f t="shared" si="49"/>
        <v>0.1700632466619818</v>
      </c>
      <c r="AF46" s="38">
        <f t="shared" si="49"/>
        <v>0.41463414634146334</v>
      </c>
      <c r="AG46" s="38">
        <f t="shared" si="49"/>
        <v>0.19577308120133474</v>
      </c>
      <c r="AH46" s="38"/>
      <c r="AI46" s="38">
        <f t="shared" ref="AI46:AK46" si="50">(AE46-Z46)/2</f>
        <v>0.11910569740506499</v>
      </c>
      <c r="AJ46" s="38">
        <f t="shared" si="50"/>
        <v>0.19986056944247976</v>
      </c>
      <c r="AK46" s="38">
        <f t="shared" si="50"/>
        <v>7.8574877120743847E-2</v>
      </c>
    </row>
    <row r="47" spans="1:37" ht="15.75" customHeight="1">
      <c r="A47" s="22">
        <v>2038</v>
      </c>
      <c r="B47" s="22">
        <v>118400</v>
      </c>
      <c r="C47" s="22">
        <v>26400</v>
      </c>
      <c r="D47" s="22">
        <f t="shared" si="12"/>
        <v>144800</v>
      </c>
      <c r="E47" s="22">
        <v>150500</v>
      </c>
      <c r="F47" s="22">
        <v>297100</v>
      </c>
      <c r="G47" s="22">
        <v>102800</v>
      </c>
      <c r="H47" s="22">
        <v>22300</v>
      </c>
      <c r="I47" s="22">
        <f t="shared" si="13"/>
        <v>125100</v>
      </c>
      <c r="J47" s="22">
        <v>122500</v>
      </c>
      <c r="K47" s="22">
        <v>271800</v>
      </c>
      <c r="L47" s="22">
        <v>136300</v>
      </c>
      <c r="M47" s="22">
        <v>31300</v>
      </c>
      <c r="N47" s="22">
        <f t="shared" si="14"/>
        <v>167600</v>
      </c>
      <c r="O47" s="22">
        <v>182200</v>
      </c>
      <c r="P47" s="22">
        <v>324800</v>
      </c>
      <c r="R47" s="2">
        <v>2038</v>
      </c>
      <c r="S47" s="38">
        <f t="shared" ref="S47:AG47" si="51">B47/B$29-1</f>
        <v>4.2253521126760507E-2</v>
      </c>
      <c r="T47" s="38">
        <f t="shared" si="51"/>
        <v>5.600000000000005E-2</v>
      </c>
      <c r="U47" s="38">
        <f t="shared" si="51"/>
        <v>4.4733044733044736E-2</v>
      </c>
      <c r="V47" s="38">
        <f t="shared" si="51"/>
        <v>0.20399999999999996</v>
      </c>
      <c r="W47" s="38">
        <f t="shared" si="51"/>
        <v>0.11902071563088512</v>
      </c>
      <c r="X47" s="38">
        <f t="shared" si="51"/>
        <v>-7.0524412296564143E-2</v>
      </c>
      <c r="Y47" s="38">
        <f t="shared" si="51"/>
        <v>-8.6065573770491843E-2</v>
      </c>
      <c r="Z47" s="38">
        <f t="shared" si="51"/>
        <v>-7.3333333333333361E-2</v>
      </c>
      <c r="AA47" s="38">
        <f t="shared" si="51"/>
        <v>1.4913007456503813E-2</v>
      </c>
      <c r="AB47" s="38">
        <f t="shared" si="51"/>
        <v>3.9388145315487622E-2</v>
      </c>
      <c r="AC47" s="38">
        <f t="shared" si="51"/>
        <v>0.1679520137103685</v>
      </c>
      <c r="AD47" s="38">
        <f t="shared" si="51"/>
        <v>0.22265625</v>
      </c>
      <c r="AE47" s="38">
        <f t="shared" si="51"/>
        <v>0.17779339423752627</v>
      </c>
      <c r="AF47" s="38">
        <f t="shared" si="51"/>
        <v>0.4335169158143195</v>
      </c>
      <c r="AG47" s="38">
        <f t="shared" si="51"/>
        <v>0.20430107526881724</v>
      </c>
      <c r="AH47" s="38"/>
      <c r="AI47" s="38">
        <f t="shared" ref="AI47:AK47" si="52">(AE47-Z47)/2</f>
        <v>0.12556336378542982</v>
      </c>
      <c r="AJ47" s="38">
        <f t="shared" si="52"/>
        <v>0.20930195417890785</v>
      </c>
      <c r="AK47" s="38">
        <f t="shared" si="52"/>
        <v>8.2456464976664812E-2</v>
      </c>
    </row>
    <row r="48" spans="1:37" ht="15.75" customHeight="1">
      <c r="A48" s="22">
        <v>2039</v>
      </c>
      <c r="B48" s="22">
        <v>118400</v>
      </c>
      <c r="C48" s="22">
        <v>26500</v>
      </c>
      <c r="D48" s="22">
        <f t="shared" si="12"/>
        <v>144900</v>
      </c>
      <c r="E48" s="22">
        <v>151400</v>
      </c>
      <c r="F48" s="22">
        <v>298100</v>
      </c>
      <c r="G48" s="22">
        <v>102300</v>
      </c>
      <c r="H48" s="22">
        <v>22300</v>
      </c>
      <c r="I48" s="22">
        <f t="shared" si="13"/>
        <v>124600</v>
      </c>
      <c r="J48" s="22">
        <v>122500</v>
      </c>
      <c r="K48" s="22">
        <v>271800</v>
      </c>
      <c r="L48" s="22">
        <v>137000</v>
      </c>
      <c r="M48" s="22">
        <v>31600</v>
      </c>
      <c r="N48" s="22">
        <f t="shared" si="14"/>
        <v>168600</v>
      </c>
      <c r="O48" s="22">
        <v>184700</v>
      </c>
      <c r="P48" s="22">
        <v>327000</v>
      </c>
      <c r="R48" s="2">
        <v>2039</v>
      </c>
      <c r="S48" s="38">
        <f t="shared" ref="S48:AG48" si="53">B48/B$29-1</f>
        <v>4.2253521126760507E-2</v>
      </c>
      <c r="T48" s="38">
        <f t="shared" si="53"/>
        <v>6.0000000000000053E-2</v>
      </c>
      <c r="U48" s="38">
        <f t="shared" si="53"/>
        <v>4.5454545454545414E-2</v>
      </c>
      <c r="V48" s="38">
        <f t="shared" si="53"/>
        <v>0.21120000000000005</v>
      </c>
      <c r="W48" s="38">
        <f t="shared" si="53"/>
        <v>0.12278719397363469</v>
      </c>
      <c r="X48" s="38">
        <f t="shared" si="53"/>
        <v>-7.5045207956600413E-2</v>
      </c>
      <c r="Y48" s="38">
        <f t="shared" si="53"/>
        <v>-8.6065573770491843E-2</v>
      </c>
      <c r="Z48" s="38">
        <f t="shared" si="53"/>
        <v>-7.7037037037037015E-2</v>
      </c>
      <c r="AA48" s="38">
        <f t="shared" si="53"/>
        <v>1.4913007456503813E-2</v>
      </c>
      <c r="AB48" s="38">
        <f t="shared" si="53"/>
        <v>3.9388145315487622E-2</v>
      </c>
      <c r="AC48" s="38">
        <f t="shared" si="53"/>
        <v>0.1739502999143101</v>
      </c>
      <c r="AD48" s="38">
        <f t="shared" si="53"/>
        <v>0.234375</v>
      </c>
      <c r="AE48" s="38">
        <f t="shared" si="53"/>
        <v>0.18482080112438504</v>
      </c>
      <c r="AF48" s="38">
        <f t="shared" si="53"/>
        <v>0.4531864673485444</v>
      </c>
      <c r="AG48" s="38">
        <f t="shared" si="53"/>
        <v>0.21245828698553959</v>
      </c>
      <c r="AH48" s="38"/>
      <c r="AI48" s="38">
        <f t="shared" ref="AI48:AK48" si="54">(AE48-Z48)/2</f>
        <v>0.13092891908071103</v>
      </c>
      <c r="AJ48" s="38">
        <f t="shared" si="54"/>
        <v>0.21913672994602029</v>
      </c>
      <c r="AK48" s="38">
        <f t="shared" si="54"/>
        <v>8.6535070835025985E-2</v>
      </c>
    </row>
    <row r="49" spans="1:37" ht="15.75" customHeight="1">
      <c r="A49" s="22">
        <v>2040</v>
      </c>
      <c r="B49" s="22">
        <v>118400</v>
      </c>
      <c r="C49" s="22">
        <v>26600</v>
      </c>
      <c r="D49" s="22">
        <f t="shared" si="12"/>
        <v>145000</v>
      </c>
      <c r="E49" s="22">
        <v>152200</v>
      </c>
      <c r="F49" s="22">
        <v>299100</v>
      </c>
      <c r="G49" s="22">
        <v>101700</v>
      </c>
      <c r="H49" s="22">
        <v>22200</v>
      </c>
      <c r="I49" s="22">
        <f t="shared" si="13"/>
        <v>123900</v>
      </c>
      <c r="J49" s="22">
        <v>122500</v>
      </c>
      <c r="K49" s="22">
        <v>271800</v>
      </c>
      <c r="L49" s="22">
        <v>137700</v>
      </c>
      <c r="M49" s="22">
        <v>31900</v>
      </c>
      <c r="N49" s="22">
        <f t="shared" si="14"/>
        <v>169600</v>
      </c>
      <c r="O49" s="22">
        <v>187100</v>
      </c>
      <c r="P49" s="22">
        <v>329100</v>
      </c>
      <c r="R49" s="2">
        <v>2040</v>
      </c>
      <c r="S49" s="38">
        <f t="shared" ref="S49:AG49" si="55">B49/B$29-1</f>
        <v>4.2253521126760507E-2</v>
      </c>
      <c r="T49" s="38">
        <f t="shared" si="55"/>
        <v>6.4000000000000057E-2</v>
      </c>
      <c r="U49" s="38">
        <f t="shared" si="55"/>
        <v>4.6176046176046093E-2</v>
      </c>
      <c r="V49" s="38">
        <f t="shared" si="55"/>
        <v>0.21760000000000002</v>
      </c>
      <c r="W49" s="38">
        <f t="shared" si="55"/>
        <v>0.12655367231638426</v>
      </c>
      <c r="X49" s="38">
        <f t="shared" si="55"/>
        <v>-8.0470162748643714E-2</v>
      </c>
      <c r="Y49" s="38">
        <f t="shared" si="55"/>
        <v>-9.0163934426229497E-2</v>
      </c>
      <c r="Z49" s="38">
        <f t="shared" si="55"/>
        <v>-8.2222222222222197E-2</v>
      </c>
      <c r="AA49" s="38">
        <f t="shared" si="55"/>
        <v>1.4913007456503813E-2</v>
      </c>
      <c r="AB49" s="38">
        <f t="shared" si="55"/>
        <v>3.9388145315487622E-2</v>
      </c>
      <c r="AC49" s="38">
        <f t="shared" si="55"/>
        <v>0.17994858611825193</v>
      </c>
      <c r="AD49" s="38">
        <f t="shared" si="55"/>
        <v>0.24609375</v>
      </c>
      <c r="AE49" s="38">
        <f t="shared" si="55"/>
        <v>0.1918482080112438</v>
      </c>
      <c r="AF49" s="38">
        <f t="shared" si="55"/>
        <v>0.47206923682140056</v>
      </c>
      <c r="AG49" s="38">
        <f t="shared" si="55"/>
        <v>0.22024471635150178</v>
      </c>
      <c r="AH49" s="38"/>
      <c r="AI49" s="38">
        <f t="shared" ref="AI49:AK49" si="56">(AE49-Z49)/2</f>
        <v>0.137035215116733</v>
      </c>
      <c r="AJ49" s="38">
        <f t="shared" si="56"/>
        <v>0.22857811468244837</v>
      </c>
      <c r="AK49" s="38">
        <f t="shared" si="56"/>
        <v>9.0428285518007079E-2</v>
      </c>
    </row>
    <row r="50" spans="1:37" ht="15.75" customHeight="1">
      <c r="A50" s="22">
        <v>2041</v>
      </c>
      <c r="B50" s="22">
        <v>118300</v>
      </c>
      <c r="C50" s="22">
        <v>26700</v>
      </c>
      <c r="D50" s="22">
        <f t="shared" si="12"/>
        <v>145000</v>
      </c>
      <c r="E50" s="22">
        <v>153100</v>
      </c>
      <c r="F50" s="22">
        <v>300000</v>
      </c>
      <c r="G50" s="22">
        <v>101200</v>
      </c>
      <c r="H50" s="22">
        <v>22100</v>
      </c>
      <c r="I50" s="22">
        <f t="shared" si="13"/>
        <v>123300</v>
      </c>
      <c r="J50" s="22">
        <v>122300</v>
      </c>
      <c r="K50" s="22">
        <v>271800</v>
      </c>
      <c r="L50" s="22">
        <v>138400</v>
      </c>
      <c r="M50" s="22">
        <v>32300</v>
      </c>
      <c r="N50" s="22">
        <f t="shared" si="14"/>
        <v>170700</v>
      </c>
      <c r="O50" s="22">
        <v>189400</v>
      </c>
      <c r="P50" s="22">
        <v>331100</v>
      </c>
      <c r="R50" s="2">
        <v>2041</v>
      </c>
      <c r="S50" s="38">
        <f t="shared" ref="S50:AG50" si="57">B50/B$29-1</f>
        <v>4.1373239436619746E-2</v>
      </c>
      <c r="T50" s="38">
        <f t="shared" si="57"/>
        <v>6.800000000000006E-2</v>
      </c>
      <c r="U50" s="38">
        <f t="shared" si="57"/>
        <v>4.6176046176046093E-2</v>
      </c>
      <c r="V50" s="38">
        <f t="shared" si="57"/>
        <v>0.22480000000000011</v>
      </c>
      <c r="W50" s="38">
        <f t="shared" si="57"/>
        <v>0.12994350282485878</v>
      </c>
      <c r="X50" s="38">
        <f t="shared" si="57"/>
        <v>-8.4990958408679873E-2</v>
      </c>
      <c r="Y50" s="38">
        <f t="shared" si="57"/>
        <v>-9.4262295081967262E-2</v>
      </c>
      <c r="Z50" s="38">
        <f t="shared" si="57"/>
        <v>-8.666666666666667E-2</v>
      </c>
      <c r="AA50" s="38">
        <f t="shared" si="57"/>
        <v>1.3256006628003414E-2</v>
      </c>
      <c r="AB50" s="38">
        <f t="shared" si="57"/>
        <v>3.9388145315487622E-2</v>
      </c>
      <c r="AC50" s="38">
        <f t="shared" si="57"/>
        <v>0.18594687232219376</v>
      </c>
      <c r="AD50" s="38">
        <f t="shared" si="57"/>
        <v>0.26171875</v>
      </c>
      <c r="AE50" s="38">
        <f t="shared" si="57"/>
        <v>0.19957835558678849</v>
      </c>
      <c r="AF50" s="38">
        <f t="shared" si="57"/>
        <v>0.49016522423288755</v>
      </c>
      <c r="AG50" s="38">
        <f t="shared" si="57"/>
        <v>0.22766036336670381</v>
      </c>
      <c r="AH50" s="38"/>
      <c r="AI50" s="38">
        <f t="shared" ref="AI50:AK50" si="58">(AE50-Z50)/2</f>
        <v>0.14312251112672758</v>
      </c>
      <c r="AJ50" s="38">
        <f t="shared" si="58"/>
        <v>0.23845460880244207</v>
      </c>
      <c r="AK50" s="38">
        <f t="shared" si="58"/>
        <v>9.4136109025608095E-2</v>
      </c>
    </row>
    <row r="51" spans="1:37" ht="13">
      <c r="A51" s="22">
        <v>2042</v>
      </c>
      <c r="B51" s="22">
        <v>118300</v>
      </c>
      <c r="C51" s="22">
        <v>26800</v>
      </c>
      <c r="D51" s="22">
        <f t="shared" si="12"/>
        <v>145100</v>
      </c>
      <c r="E51" s="22">
        <v>153800</v>
      </c>
      <c r="F51" s="22">
        <v>300800</v>
      </c>
      <c r="G51" s="22">
        <v>100600</v>
      </c>
      <c r="H51" s="22">
        <v>22000</v>
      </c>
      <c r="I51" s="22">
        <f t="shared" si="13"/>
        <v>122600</v>
      </c>
      <c r="J51" s="22">
        <v>122200</v>
      </c>
      <c r="K51" s="22">
        <v>271600</v>
      </c>
      <c r="L51" s="22">
        <v>139100</v>
      </c>
      <c r="M51" s="22">
        <v>32600</v>
      </c>
      <c r="N51" s="22">
        <f t="shared" si="14"/>
        <v>171700</v>
      </c>
      <c r="O51" s="22">
        <v>191700</v>
      </c>
      <c r="P51" s="22">
        <v>333000</v>
      </c>
      <c r="R51" s="2">
        <v>2042</v>
      </c>
      <c r="S51" s="38">
        <f t="shared" ref="S51:AG51" si="59">B51/B$29-1</f>
        <v>4.1373239436619746E-2</v>
      </c>
      <c r="T51" s="38">
        <f t="shared" si="59"/>
        <v>7.2000000000000064E-2</v>
      </c>
      <c r="U51" s="38">
        <f t="shared" si="59"/>
        <v>4.6897546897546993E-2</v>
      </c>
      <c r="V51" s="38">
        <f t="shared" si="59"/>
        <v>0.23039999999999994</v>
      </c>
      <c r="W51" s="38">
        <f t="shared" si="59"/>
        <v>0.13295668549905848</v>
      </c>
      <c r="X51" s="38">
        <f t="shared" si="59"/>
        <v>-9.0415913200723286E-2</v>
      </c>
      <c r="Y51" s="38">
        <f t="shared" si="59"/>
        <v>-9.8360655737704916E-2</v>
      </c>
      <c r="Z51" s="38">
        <f t="shared" si="59"/>
        <v>-9.1851851851851851E-2</v>
      </c>
      <c r="AA51" s="38">
        <f t="shared" si="59"/>
        <v>1.2427506213753103E-2</v>
      </c>
      <c r="AB51" s="38">
        <f t="shared" si="59"/>
        <v>3.8623326959847049E-2</v>
      </c>
      <c r="AC51" s="38">
        <f t="shared" si="59"/>
        <v>0.19194515852613536</v>
      </c>
      <c r="AD51" s="38">
        <f t="shared" si="59"/>
        <v>0.2734375</v>
      </c>
      <c r="AE51" s="38">
        <f t="shared" si="59"/>
        <v>0.20660576247364726</v>
      </c>
      <c r="AF51" s="38">
        <f t="shared" si="59"/>
        <v>0.50826121164437454</v>
      </c>
      <c r="AG51" s="38">
        <f t="shared" si="59"/>
        <v>0.23470522803114569</v>
      </c>
      <c r="AH51" s="38"/>
      <c r="AI51" s="38">
        <f t="shared" ref="AI51:AK51" si="60">(AE51-Z51)/2</f>
        <v>0.14922880716274955</v>
      </c>
      <c r="AJ51" s="38">
        <f t="shared" si="60"/>
        <v>0.24791685271531072</v>
      </c>
      <c r="AK51" s="38">
        <f t="shared" si="60"/>
        <v>9.8040950535649318E-2</v>
      </c>
    </row>
    <row r="52" spans="1:37" ht="13">
      <c r="A52" s="22">
        <v>2043</v>
      </c>
      <c r="B52" s="22">
        <v>118300</v>
      </c>
      <c r="C52" s="22">
        <v>26900</v>
      </c>
      <c r="D52" s="22">
        <f t="shared" si="12"/>
        <v>145200</v>
      </c>
      <c r="E52" s="22">
        <v>154500</v>
      </c>
      <c r="F52" s="22">
        <v>301500</v>
      </c>
      <c r="G52" s="22">
        <v>100100</v>
      </c>
      <c r="H52" s="22">
        <v>22000</v>
      </c>
      <c r="I52" s="22">
        <f t="shared" si="13"/>
        <v>122100</v>
      </c>
      <c r="J52" s="22">
        <v>122000</v>
      </c>
      <c r="K52" s="22">
        <v>271500</v>
      </c>
      <c r="L52" s="22">
        <v>139800</v>
      </c>
      <c r="M52" s="22">
        <v>32900</v>
      </c>
      <c r="N52" s="22">
        <f t="shared" si="14"/>
        <v>172700</v>
      </c>
      <c r="O52" s="22">
        <v>193900</v>
      </c>
      <c r="P52" s="22">
        <v>334900</v>
      </c>
      <c r="R52" s="2">
        <v>2043</v>
      </c>
      <c r="S52" s="38">
        <f t="shared" ref="S52:AG52" si="61">B52/B$29-1</f>
        <v>4.1373239436619746E-2</v>
      </c>
      <c r="T52" s="38">
        <f t="shared" si="61"/>
        <v>7.6000000000000068E-2</v>
      </c>
      <c r="U52" s="38">
        <f t="shared" si="61"/>
        <v>4.7619047619047672E-2</v>
      </c>
      <c r="V52" s="38">
        <f t="shared" si="61"/>
        <v>0.23599999999999999</v>
      </c>
      <c r="W52" s="38">
        <f t="shared" si="61"/>
        <v>0.13559322033898313</v>
      </c>
      <c r="X52" s="38">
        <f t="shared" si="61"/>
        <v>-9.4936708860759444E-2</v>
      </c>
      <c r="Y52" s="38">
        <f t="shared" si="61"/>
        <v>-9.8360655737704916E-2</v>
      </c>
      <c r="Z52" s="38">
        <f t="shared" si="61"/>
        <v>-9.5555555555555505E-2</v>
      </c>
      <c r="AA52" s="38">
        <f t="shared" si="61"/>
        <v>1.0770505385252704E-2</v>
      </c>
      <c r="AB52" s="38">
        <f t="shared" si="61"/>
        <v>3.8240917782026873E-2</v>
      </c>
      <c r="AC52" s="38">
        <f t="shared" si="61"/>
        <v>0.19794344473007719</v>
      </c>
      <c r="AD52" s="38">
        <f t="shared" si="61"/>
        <v>0.28515625</v>
      </c>
      <c r="AE52" s="38">
        <f t="shared" si="61"/>
        <v>0.21363316936050603</v>
      </c>
      <c r="AF52" s="38">
        <f t="shared" si="61"/>
        <v>0.52557041699449258</v>
      </c>
      <c r="AG52" s="38">
        <f t="shared" si="61"/>
        <v>0.24175009269558778</v>
      </c>
      <c r="AH52" s="38"/>
      <c r="AI52" s="38">
        <f t="shared" ref="AI52:AK52" si="62">(AE52-Z52)/2</f>
        <v>0.15459436245803077</v>
      </c>
      <c r="AJ52" s="38">
        <f t="shared" si="62"/>
        <v>0.25739995580461994</v>
      </c>
      <c r="AK52" s="38">
        <f t="shared" si="62"/>
        <v>0.10175458745678045</v>
      </c>
    </row>
    <row r="53" spans="1:37" ht="13">
      <c r="A53" s="22">
        <v>2044</v>
      </c>
      <c r="B53" s="22">
        <v>118300</v>
      </c>
      <c r="C53" s="22">
        <v>26900</v>
      </c>
      <c r="D53" s="22">
        <f t="shared" si="12"/>
        <v>145200</v>
      </c>
      <c r="E53" s="22">
        <v>155200</v>
      </c>
      <c r="F53" s="22">
        <v>302300</v>
      </c>
      <c r="G53" s="22">
        <v>99600</v>
      </c>
      <c r="H53" s="22">
        <v>21900</v>
      </c>
      <c r="I53" s="22">
        <f t="shared" si="13"/>
        <v>121500</v>
      </c>
      <c r="J53" s="22">
        <v>121800</v>
      </c>
      <c r="K53" s="22">
        <v>271300</v>
      </c>
      <c r="L53" s="22">
        <v>140600</v>
      </c>
      <c r="M53" s="22">
        <v>33200</v>
      </c>
      <c r="N53" s="22">
        <f t="shared" si="14"/>
        <v>173800</v>
      </c>
      <c r="O53" s="22">
        <v>196000</v>
      </c>
      <c r="P53" s="22">
        <v>336800</v>
      </c>
      <c r="R53" s="2">
        <v>2044</v>
      </c>
      <c r="S53" s="38">
        <f t="shared" ref="S53:AG53" si="63">B53/B$29-1</f>
        <v>4.1373239436619746E-2</v>
      </c>
      <c r="T53" s="38">
        <f t="shared" si="63"/>
        <v>7.6000000000000068E-2</v>
      </c>
      <c r="U53" s="38">
        <f t="shared" si="63"/>
        <v>4.7619047619047672E-2</v>
      </c>
      <c r="V53" s="38">
        <f t="shared" si="63"/>
        <v>0.24160000000000004</v>
      </c>
      <c r="W53" s="38">
        <f t="shared" si="63"/>
        <v>0.13860640301318261</v>
      </c>
      <c r="X53" s="38">
        <f t="shared" si="63"/>
        <v>-9.9457504520795714E-2</v>
      </c>
      <c r="Y53" s="38">
        <f t="shared" si="63"/>
        <v>-0.10245901639344257</v>
      </c>
      <c r="Z53" s="38">
        <f t="shared" si="63"/>
        <v>-9.9999999999999978E-2</v>
      </c>
      <c r="AA53" s="38">
        <f t="shared" si="63"/>
        <v>9.1135045567523054E-3</v>
      </c>
      <c r="AB53" s="38">
        <f t="shared" si="63"/>
        <v>3.74760994263863E-2</v>
      </c>
      <c r="AC53" s="38">
        <f t="shared" si="63"/>
        <v>0.20479862896315337</v>
      </c>
      <c r="AD53" s="38">
        <f t="shared" si="63"/>
        <v>0.296875</v>
      </c>
      <c r="AE53" s="38">
        <f t="shared" si="63"/>
        <v>0.22136331693605049</v>
      </c>
      <c r="AF53" s="38">
        <f t="shared" si="63"/>
        <v>0.54209284028324145</v>
      </c>
      <c r="AG53" s="38">
        <f t="shared" si="63"/>
        <v>0.24879495736002966</v>
      </c>
      <c r="AH53" s="38"/>
      <c r="AI53" s="38">
        <f t="shared" ref="AI53:AK53" si="64">(AE53-Z53)/2</f>
        <v>0.16068165846802523</v>
      </c>
      <c r="AJ53" s="38">
        <f t="shared" si="64"/>
        <v>0.26648966786324457</v>
      </c>
      <c r="AK53" s="38">
        <f t="shared" si="64"/>
        <v>0.10565942896682168</v>
      </c>
    </row>
    <row r="54" spans="1:37" ht="13">
      <c r="A54" s="22">
        <v>2045</v>
      </c>
      <c r="B54" s="22">
        <v>118300</v>
      </c>
      <c r="C54" s="22">
        <v>27000</v>
      </c>
      <c r="D54" s="22">
        <f t="shared" si="12"/>
        <v>145300</v>
      </c>
      <c r="E54" s="22">
        <v>155800</v>
      </c>
      <c r="F54" s="22">
        <v>303000</v>
      </c>
      <c r="G54" s="22">
        <v>99100</v>
      </c>
      <c r="H54" s="22">
        <v>21800</v>
      </c>
      <c r="I54" s="22">
        <f t="shared" si="13"/>
        <v>120900</v>
      </c>
      <c r="J54" s="22">
        <v>121600</v>
      </c>
      <c r="K54" s="22">
        <v>271100</v>
      </c>
      <c r="L54" s="22">
        <v>141300</v>
      </c>
      <c r="M54" s="22">
        <v>33500</v>
      </c>
      <c r="N54" s="22">
        <f t="shared" si="14"/>
        <v>174800</v>
      </c>
      <c r="O54" s="22">
        <v>198200</v>
      </c>
      <c r="P54" s="22">
        <v>338700</v>
      </c>
      <c r="R54" s="2">
        <v>2045</v>
      </c>
      <c r="S54" s="38">
        <f t="shared" ref="S54:AG54" si="65">B54/B$29-1</f>
        <v>4.1373239436619746E-2</v>
      </c>
      <c r="T54" s="38">
        <f t="shared" si="65"/>
        <v>8.0000000000000071E-2</v>
      </c>
      <c r="U54" s="38">
        <f t="shared" si="65"/>
        <v>4.834054834054835E-2</v>
      </c>
      <c r="V54" s="38">
        <f t="shared" si="65"/>
        <v>0.24639999999999995</v>
      </c>
      <c r="W54" s="38">
        <f t="shared" si="65"/>
        <v>0.14124293785310726</v>
      </c>
      <c r="X54" s="38">
        <f t="shared" si="65"/>
        <v>-0.10397830018083187</v>
      </c>
      <c r="Y54" s="38">
        <f t="shared" si="65"/>
        <v>-0.10655737704918034</v>
      </c>
      <c r="Z54" s="38">
        <f t="shared" si="65"/>
        <v>-0.10444444444444445</v>
      </c>
      <c r="AA54" s="38">
        <f t="shared" si="65"/>
        <v>7.4565037282519064E-3</v>
      </c>
      <c r="AB54" s="38">
        <f t="shared" si="65"/>
        <v>3.6711281070745727E-2</v>
      </c>
      <c r="AC54" s="38">
        <f t="shared" si="65"/>
        <v>0.2107969151670952</v>
      </c>
      <c r="AD54" s="38">
        <f t="shared" si="65"/>
        <v>0.30859375</v>
      </c>
      <c r="AE54" s="38">
        <f t="shared" si="65"/>
        <v>0.22839072382290926</v>
      </c>
      <c r="AF54" s="38">
        <f t="shared" si="65"/>
        <v>0.55940204563335949</v>
      </c>
      <c r="AG54" s="38">
        <f t="shared" si="65"/>
        <v>0.25583982202447153</v>
      </c>
      <c r="AH54" s="38"/>
      <c r="AI54" s="38">
        <f t="shared" ref="AI54:AK54" si="66">(AE54-Z54)/2</f>
        <v>0.16641758413367685</v>
      </c>
      <c r="AJ54" s="38">
        <f t="shared" si="66"/>
        <v>0.27597277095255379</v>
      </c>
      <c r="AK54" s="38">
        <f t="shared" si="66"/>
        <v>0.1095642704768629</v>
      </c>
    </row>
    <row r="55" spans="1:37" ht="13">
      <c r="A55" s="22">
        <v>2046</v>
      </c>
      <c r="B55" s="22">
        <v>118400</v>
      </c>
      <c r="C55" s="22">
        <v>27000</v>
      </c>
      <c r="D55" s="22">
        <f t="shared" si="12"/>
        <v>145400</v>
      </c>
      <c r="E55" s="22">
        <v>156400</v>
      </c>
      <c r="F55" s="22">
        <v>303700</v>
      </c>
      <c r="G55" s="22">
        <v>98600</v>
      </c>
      <c r="H55" s="22">
        <v>21700</v>
      </c>
      <c r="I55" s="22">
        <f t="shared" si="13"/>
        <v>120300</v>
      </c>
      <c r="J55" s="22">
        <v>121300</v>
      </c>
      <c r="K55" s="22">
        <v>270900</v>
      </c>
      <c r="L55" s="22">
        <v>142000</v>
      </c>
      <c r="M55" s="22">
        <v>33700</v>
      </c>
      <c r="N55" s="22">
        <f t="shared" si="14"/>
        <v>175700</v>
      </c>
      <c r="O55" s="22">
        <v>200200</v>
      </c>
      <c r="P55" s="22">
        <v>340400</v>
      </c>
      <c r="R55" s="2">
        <v>2046</v>
      </c>
      <c r="S55" s="38">
        <f t="shared" ref="S55:AG55" si="67">B55/B$29-1</f>
        <v>4.2253521126760507E-2</v>
      </c>
      <c r="T55" s="38">
        <f t="shared" si="67"/>
        <v>8.0000000000000071E-2</v>
      </c>
      <c r="U55" s="38">
        <f t="shared" si="67"/>
        <v>4.9062049062049029E-2</v>
      </c>
      <c r="V55" s="38">
        <f t="shared" si="67"/>
        <v>0.25120000000000009</v>
      </c>
      <c r="W55" s="38">
        <f t="shared" si="67"/>
        <v>0.14387947269303192</v>
      </c>
      <c r="X55" s="38">
        <f t="shared" si="67"/>
        <v>-0.10849909584086803</v>
      </c>
      <c r="Y55" s="38">
        <f t="shared" si="67"/>
        <v>-0.11065573770491799</v>
      </c>
      <c r="Z55" s="38">
        <f t="shared" si="67"/>
        <v>-0.10888888888888892</v>
      </c>
      <c r="AA55" s="38">
        <f t="shared" si="67"/>
        <v>4.9710024855011969E-3</v>
      </c>
      <c r="AB55" s="38">
        <f t="shared" si="67"/>
        <v>3.5946462715105154E-2</v>
      </c>
      <c r="AC55" s="38">
        <f t="shared" si="67"/>
        <v>0.21679520137103681</v>
      </c>
      <c r="AD55" s="38">
        <f t="shared" si="67"/>
        <v>0.31640625</v>
      </c>
      <c r="AE55" s="38">
        <f t="shared" si="67"/>
        <v>0.23471539002108233</v>
      </c>
      <c r="AF55" s="38">
        <f t="shared" si="67"/>
        <v>0.57513768686073963</v>
      </c>
      <c r="AG55" s="38">
        <f t="shared" si="67"/>
        <v>0.26214312198739331</v>
      </c>
      <c r="AH55" s="38"/>
      <c r="AI55" s="38">
        <f t="shared" ref="AI55:AK55" si="68">(AE55-Z55)/2</f>
        <v>0.17180213945498563</v>
      </c>
      <c r="AJ55" s="38">
        <f t="shared" si="68"/>
        <v>0.28508334218761922</v>
      </c>
      <c r="AK55" s="38">
        <f t="shared" si="68"/>
        <v>0.11309832963614408</v>
      </c>
    </row>
    <row r="56" spans="1:37" ht="13">
      <c r="A56" s="22">
        <v>2047</v>
      </c>
      <c r="B56" s="22">
        <v>118400</v>
      </c>
      <c r="C56" s="22">
        <v>27100</v>
      </c>
      <c r="D56" s="22">
        <f t="shared" si="12"/>
        <v>145500</v>
      </c>
      <c r="E56" s="22">
        <v>157000</v>
      </c>
      <c r="F56" s="22">
        <v>304400</v>
      </c>
      <c r="G56" s="22">
        <v>98200</v>
      </c>
      <c r="H56" s="22">
        <v>21600</v>
      </c>
      <c r="I56" s="22">
        <f t="shared" si="13"/>
        <v>119800</v>
      </c>
      <c r="J56" s="22">
        <v>121000</v>
      </c>
      <c r="K56" s="22">
        <v>270800</v>
      </c>
      <c r="L56" s="22">
        <v>142700</v>
      </c>
      <c r="M56" s="22">
        <v>34000</v>
      </c>
      <c r="N56" s="22">
        <f t="shared" si="14"/>
        <v>176700</v>
      </c>
      <c r="O56" s="22">
        <v>202200</v>
      </c>
      <c r="P56" s="22">
        <v>342300</v>
      </c>
      <c r="R56" s="2">
        <v>2047</v>
      </c>
      <c r="S56" s="38">
        <f t="shared" ref="S56:AG56" si="69">B56/B$29-1</f>
        <v>4.2253521126760507E-2</v>
      </c>
      <c r="T56" s="38">
        <f t="shared" si="69"/>
        <v>8.4000000000000075E-2</v>
      </c>
      <c r="U56" s="38">
        <f t="shared" si="69"/>
        <v>4.9783549783549708E-2</v>
      </c>
      <c r="V56" s="38">
        <f t="shared" si="69"/>
        <v>0.25600000000000001</v>
      </c>
      <c r="W56" s="38">
        <f t="shared" si="69"/>
        <v>0.14651600753295679</v>
      </c>
      <c r="X56" s="38">
        <f t="shared" si="69"/>
        <v>-0.11211573236889694</v>
      </c>
      <c r="Y56" s="38">
        <f t="shared" si="69"/>
        <v>-0.11475409836065575</v>
      </c>
      <c r="Z56" s="38">
        <f t="shared" si="69"/>
        <v>-0.11259259259259258</v>
      </c>
      <c r="AA56" s="38">
        <f t="shared" si="69"/>
        <v>2.4855012427507095E-3</v>
      </c>
      <c r="AB56" s="38">
        <f t="shared" si="69"/>
        <v>3.5564053537284979E-2</v>
      </c>
      <c r="AC56" s="38">
        <f t="shared" si="69"/>
        <v>0.22279348757497863</v>
      </c>
      <c r="AD56" s="38">
        <f t="shared" si="69"/>
        <v>0.328125</v>
      </c>
      <c r="AE56" s="38">
        <f t="shared" si="69"/>
        <v>0.24174279690794087</v>
      </c>
      <c r="AF56" s="38">
        <f t="shared" si="69"/>
        <v>0.59087332808811954</v>
      </c>
      <c r="AG56" s="38">
        <f t="shared" si="69"/>
        <v>0.26918798665183541</v>
      </c>
      <c r="AH56" s="38"/>
      <c r="AI56" s="38">
        <f t="shared" ref="AI56:AK56" si="70">(AE56-Z56)/2</f>
        <v>0.17716769475026672</v>
      </c>
      <c r="AJ56" s="38">
        <f t="shared" si="70"/>
        <v>0.29419391342268442</v>
      </c>
      <c r="AK56" s="38">
        <f t="shared" si="70"/>
        <v>0.11681196655727522</v>
      </c>
    </row>
    <row r="57" spans="1:37" ht="13">
      <c r="A57" s="22">
        <v>2048</v>
      </c>
      <c r="B57" s="22">
        <v>118400</v>
      </c>
      <c r="C57" s="22">
        <v>27200</v>
      </c>
      <c r="D57" s="22">
        <f t="shared" si="12"/>
        <v>145600</v>
      </c>
      <c r="E57" s="22">
        <v>157700</v>
      </c>
      <c r="F57" s="22">
        <v>305200</v>
      </c>
      <c r="G57" s="22">
        <v>97700</v>
      </c>
      <c r="H57" s="22">
        <v>21500</v>
      </c>
      <c r="I57" s="22">
        <f t="shared" si="13"/>
        <v>119200</v>
      </c>
      <c r="J57" s="22">
        <v>120700</v>
      </c>
      <c r="K57" s="22">
        <v>270600</v>
      </c>
      <c r="L57" s="22">
        <v>143500</v>
      </c>
      <c r="M57" s="22">
        <v>34300</v>
      </c>
      <c r="N57" s="22">
        <f t="shared" si="14"/>
        <v>177800</v>
      </c>
      <c r="O57" s="22">
        <v>204300</v>
      </c>
      <c r="P57" s="22">
        <v>344100</v>
      </c>
      <c r="R57" s="2">
        <v>2048</v>
      </c>
      <c r="S57" s="38">
        <f t="shared" ref="S57:AG57" si="71">B57/B$29-1</f>
        <v>4.2253521126760507E-2</v>
      </c>
      <c r="T57" s="38">
        <f t="shared" si="71"/>
        <v>8.8000000000000078E-2</v>
      </c>
      <c r="U57" s="38">
        <f t="shared" si="71"/>
        <v>5.0505050505050608E-2</v>
      </c>
      <c r="V57" s="38">
        <f t="shared" si="71"/>
        <v>0.26160000000000005</v>
      </c>
      <c r="W57" s="38">
        <f t="shared" si="71"/>
        <v>0.14952919020715627</v>
      </c>
      <c r="X57" s="38">
        <f t="shared" si="71"/>
        <v>-0.1166365280289331</v>
      </c>
      <c r="Y57" s="38">
        <f t="shared" si="71"/>
        <v>-0.11885245901639341</v>
      </c>
      <c r="Z57" s="38">
        <f t="shared" si="71"/>
        <v>-0.11703703703703705</v>
      </c>
      <c r="AA57" s="38">
        <f t="shared" si="71"/>
        <v>0</v>
      </c>
      <c r="AB57" s="38">
        <f t="shared" si="71"/>
        <v>3.4799235181644406E-2</v>
      </c>
      <c r="AC57" s="38">
        <f t="shared" si="71"/>
        <v>0.22964867180805482</v>
      </c>
      <c r="AD57" s="38">
        <f t="shared" si="71"/>
        <v>0.33984375</v>
      </c>
      <c r="AE57" s="38">
        <f t="shared" si="71"/>
        <v>0.24947294448348556</v>
      </c>
      <c r="AF57" s="38">
        <f t="shared" si="71"/>
        <v>0.60739575137686863</v>
      </c>
      <c r="AG57" s="38">
        <f t="shared" si="71"/>
        <v>0.27586206896551735</v>
      </c>
      <c r="AH57" s="38"/>
      <c r="AI57" s="38">
        <f t="shared" ref="AI57:AK57" si="72">(AE57-Z57)/2</f>
        <v>0.1832549907602613</v>
      </c>
      <c r="AJ57" s="38">
        <f t="shared" si="72"/>
        <v>0.30369787568843432</v>
      </c>
      <c r="AK57" s="38">
        <f t="shared" si="72"/>
        <v>0.12053141689193647</v>
      </c>
    </row>
    <row r="58" spans="1:37" ht="13">
      <c r="A58" s="22">
        <v>2049</v>
      </c>
      <c r="B58" s="22">
        <v>118500</v>
      </c>
      <c r="C58" s="22">
        <v>27200</v>
      </c>
      <c r="D58" s="22">
        <f t="shared" si="12"/>
        <v>145700</v>
      </c>
      <c r="E58" s="22">
        <v>158300</v>
      </c>
      <c r="F58" s="22">
        <v>305900</v>
      </c>
      <c r="G58" s="22">
        <v>97400</v>
      </c>
      <c r="H58" s="22">
        <v>21400</v>
      </c>
      <c r="I58" s="22">
        <f t="shared" si="13"/>
        <v>118800</v>
      </c>
      <c r="J58" s="22">
        <v>120500</v>
      </c>
      <c r="K58" s="22">
        <v>270500</v>
      </c>
      <c r="L58" s="22">
        <v>144300</v>
      </c>
      <c r="M58" s="22">
        <v>34600</v>
      </c>
      <c r="N58" s="22">
        <f t="shared" si="14"/>
        <v>178900</v>
      </c>
      <c r="O58" s="22">
        <v>206300</v>
      </c>
      <c r="P58" s="22">
        <v>346000</v>
      </c>
      <c r="R58" s="2">
        <v>2049</v>
      </c>
      <c r="S58" s="38">
        <f t="shared" ref="S58:AG58" si="73">B58/B$29-1</f>
        <v>4.313380281690149E-2</v>
      </c>
      <c r="T58" s="38">
        <f t="shared" si="73"/>
        <v>8.8000000000000078E-2</v>
      </c>
      <c r="U58" s="38">
        <f t="shared" si="73"/>
        <v>5.1226551226551287E-2</v>
      </c>
      <c r="V58" s="38">
        <f t="shared" si="73"/>
        <v>0.26639999999999997</v>
      </c>
      <c r="W58" s="38">
        <f t="shared" si="73"/>
        <v>0.15216572504708092</v>
      </c>
      <c r="X58" s="38">
        <f t="shared" si="73"/>
        <v>-0.11934900542495475</v>
      </c>
      <c r="Y58" s="38">
        <f t="shared" si="73"/>
        <v>-0.12295081967213117</v>
      </c>
      <c r="Z58" s="38">
        <f t="shared" si="73"/>
        <v>-0.12</v>
      </c>
      <c r="AA58" s="38">
        <f t="shared" si="73"/>
        <v>-1.657000828500399E-3</v>
      </c>
      <c r="AB58" s="38">
        <f t="shared" si="73"/>
        <v>3.4416826003824008E-2</v>
      </c>
      <c r="AC58" s="38">
        <f t="shared" si="73"/>
        <v>0.236503856041131</v>
      </c>
      <c r="AD58" s="38">
        <f t="shared" si="73"/>
        <v>0.3515625</v>
      </c>
      <c r="AE58" s="38">
        <f t="shared" si="73"/>
        <v>0.25720309205903025</v>
      </c>
      <c r="AF58" s="38">
        <f t="shared" si="73"/>
        <v>0.62313139260424855</v>
      </c>
      <c r="AG58" s="38">
        <f t="shared" si="73"/>
        <v>0.28290693362995922</v>
      </c>
      <c r="AH58" s="38"/>
      <c r="AI58" s="38">
        <f t="shared" ref="AI58:AK58" si="74">(AE58-Z58)/2</f>
        <v>0.18860154602951512</v>
      </c>
      <c r="AJ58" s="38">
        <f t="shared" si="74"/>
        <v>0.31239419671637447</v>
      </c>
      <c r="AK58" s="38">
        <f t="shared" si="74"/>
        <v>0.12424505381306761</v>
      </c>
    </row>
    <row r="59" spans="1:37" ht="13">
      <c r="A59" s="22">
        <v>2050</v>
      </c>
      <c r="B59" s="22">
        <v>118500</v>
      </c>
      <c r="C59" s="22">
        <v>27200</v>
      </c>
      <c r="D59" s="22">
        <f t="shared" si="12"/>
        <v>145700</v>
      </c>
      <c r="E59" s="22">
        <v>159000</v>
      </c>
      <c r="F59" s="22">
        <v>306700</v>
      </c>
      <c r="G59" s="22">
        <v>96900</v>
      </c>
      <c r="H59" s="22">
        <v>21200</v>
      </c>
      <c r="I59" s="22">
        <f t="shared" si="13"/>
        <v>118100</v>
      </c>
      <c r="J59" s="22">
        <v>120300</v>
      </c>
      <c r="K59" s="22">
        <v>270400</v>
      </c>
      <c r="L59" s="22">
        <v>145000</v>
      </c>
      <c r="M59" s="22">
        <v>34800</v>
      </c>
      <c r="N59" s="22">
        <f t="shared" si="14"/>
        <v>179800</v>
      </c>
      <c r="O59" s="22">
        <v>208400</v>
      </c>
      <c r="P59" s="22">
        <v>347900</v>
      </c>
      <c r="R59" s="2">
        <v>2050</v>
      </c>
      <c r="S59" s="38">
        <f t="shared" ref="S59:AG59" si="75">B59/B$29-1</f>
        <v>4.313380281690149E-2</v>
      </c>
      <c r="T59" s="38">
        <f t="shared" si="75"/>
        <v>8.8000000000000078E-2</v>
      </c>
      <c r="U59" s="38">
        <f t="shared" si="75"/>
        <v>5.1226551226551287E-2</v>
      </c>
      <c r="V59" s="38">
        <f t="shared" si="75"/>
        <v>0.27200000000000002</v>
      </c>
      <c r="W59" s="38">
        <f t="shared" si="75"/>
        <v>0.15517890772128062</v>
      </c>
      <c r="X59" s="38">
        <f t="shared" si="75"/>
        <v>-0.1238698010849909</v>
      </c>
      <c r="Y59" s="38">
        <f t="shared" si="75"/>
        <v>-0.13114754098360659</v>
      </c>
      <c r="Z59" s="38">
        <f t="shared" si="75"/>
        <v>-0.12518518518518518</v>
      </c>
      <c r="AA59" s="38">
        <f t="shared" si="75"/>
        <v>-3.314001657000798E-3</v>
      </c>
      <c r="AB59" s="38">
        <f t="shared" si="75"/>
        <v>3.4034416826003833E-2</v>
      </c>
      <c r="AC59" s="38">
        <f t="shared" si="75"/>
        <v>0.24250214224507283</v>
      </c>
      <c r="AD59" s="38">
        <f t="shared" si="75"/>
        <v>0.359375</v>
      </c>
      <c r="AE59" s="38">
        <f t="shared" si="75"/>
        <v>0.26352775825720309</v>
      </c>
      <c r="AF59" s="38">
        <f t="shared" si="75"/>
        <v>0.63965381589299763</v>
      </c>
      <c r="AG59" s="38">
        <f t="shared" si="75"/>
        <v>0.2899517982944011</v>
      </c>
      <c r="AH59" s="38"/>
      <c r="AI59" s="38">
        <f t="shared" ref="AI59:AK59" si="76">(AE59-Z59)/2</f>
        <v>0.19435647172119414</v>
      </c>
      <c r="AJ59" s="38">
        <f t="shared" si="76"/>
        <v>0.32148390877499922</v>
      </c>
      <c r="AK59" s="38">
        <f t="shared" si="76"/>
        <v>0.12795869073419863</v>
      </c>
    </row>
    <row r="60" spans="1:37" ht="13">
      <c r="B60" s="6"/>
      <c r="C60" s="6"/>
      <c r="D60" s="6"/>
      <c r="E60" s="6"/>
      <c r="F60" s="6"/>
      <c r="K60" s="6"/>
      <c r="L60" s="6"/>
      <c r="P60" s="6"/>
    </row>
    <row r="61" spans="1:37" ht="13">
      <c r="A61" s="4" t="s">
        <v>961</v>
      </c>
      <c r="B61" s="6"/>
      <c r="C61" s="6"/>
      <c r="D61" s="6"/>
      <c r="E61" s="116" t="s">
        <v>962</v>
      </c>
      <c r="F61" s="6"/>
    </row>
    <row r="62" spans="1:37" ht="13">
      <c r="A62" s="153" t="s">
        <v>936</v>
      </c>
      <c r="B62" s="2" t="s">
        <v>963</v>
      </c>
      <c r="C62" s="6" t="s">
        <v>964</v>
      </c>
      <c r="D62" s="6" t="s">
        <v>965</v>
      </c>
      <c r="E62" s="2" t="s">
        <v>963</v>
      </c>
      <c r="F62" s="6" t="s">
        <v>964</v>
      </c>
      <c r="G62" s="6" t="s">
        <v>965</v>
      </c>
    </row>
    <row r="63" spans="1:37" ht="13">
      <c r="A63" s="2">
        <v>2020</v>
      </c>
      <c r="B63" s="6">
        <f t="shared" ref="B63:B93" si="77">K29</f>
        <v>261500</v>
      </c>
      <c r="C63" s="6">
        <f t="shared" ref="C63:C93" si="78">F29</f>
        <v>265500</v>
      </c>
      <c r="D63" s="6">
        <f t="shared" ref="D63:D93" si="79">P29</f>
        <v>269700</v>
      </c>
      <c r="E63" s="6">
        <f t="shared" ref="E63:E93" si="80">B63</f>
        <v>261500</v>
      </c>
      <c r="F63" s="6">
        <f t="shared" ref="F63:G63" si="81">C63-B63</f>
        <v>4000</v>
      </c>
      <c r="G63" s="6">
        <f t="shared" si="81"/>
        <v>4200</v>
      </c>
    </row>
    <row r="64" spans="1:37" ht="13">
      <c r="A64" s="2">
        <v>2021</v>
      </c>
      <c r="B64" s="6">
        <f t="shared" si="77"/>
        <v>262400</v>
      </c>
      <c r="C64" s="6">
        <f t="shared" si="78"/>
        <v>268200</v>
      </c>
      <c r="D64" s="6">
        <f t="shared" si="79"/>
        <v>274000</v>
      </c>
      <c r="E64" s="6">
        <f t="shared" si="80"/>
        <v>262400</v>
      </c>
      <c r="F64" s="6">
        <f t="shared" ref="F64:G64" si="82">C64-B64</f>
        <v>5800</v>
      </c>
      <c r="G64" s="6">
        <f t="shared" si="82"/>
        <v>5800</v>
      </c>
    </row>
    <row r="65" spans="1:7" ht="13">
      <c r="A65" s="2">
        <v>2022</v>
      </c>
      <c r="B65" s="6">
        <f t="shared" si="77"/>
        <v>263100</v>
      </c>
      <c r="C65" s="6">
        <f t="shared" si="78"/>
        <v>270300</v>
      </c>
      <c r="D65" s="6">
        <f t="shared" si="79"/>
        <v>277700</v>
      </c>
      <c r="E65" s="6">
        <f t="shared" si="80"/>
        <v>263100</v>
      </c>
      <c r="F65" s="6">
        <f t="shared" ref="F65:G65" si="83">C65-B65</f>
        <v>7200</v>
      </c>
      <c r="G65" s="6">
        <f t="shared" si="83"/>
        <v>7400</v>
      </c>
    </row>
    <row r="66" spans="1:7" ht="13">
      <c r="A66" s="2">
        <v>2023</v>
      </c>
      <c r="B66" s="6">
        <f t="shared" si="77"/>
        <v>264100</v>
      </c>
      <c r="C66" s="6">
        <f t="shared" si="78"/>
        <v>272700</v>
      </c>
      <c r="D66" s="6">
        <f t="shared" si="79"/>
        <v>281600</v>
      </c>
      <c r="E66" s="6">
        <f t="shared" si="80"/>
        <v>264100</v>
      </c>
      <c r="F66" s="6">
        <f t="shared" ref="F66:G66" si="84">C66-B66</f>
        <v>8600</v>
      </c>
      <c r="G66" s="6">
        <f t="shared" si="84"/>
        <v>8900</v>
      </c>
    </row>
    <row r="67" spans="1:7" ht="13">
      <c r="A67" s="2">
        <v>2024</v>
      </c>
      <c r="B67" s="6">
        <f t="shared" si="77"/>
        <v>265400</v>
      </c>
      <c r="C67" s="6">
        <f t="shared" si="78"/>
        <v>275300</v>
      </c>
      <c r="D67" s="6">
        <f t="shared" si="79"/>
        <v>285600</v>
      </c>
      <c r="E67" s="6">
        <f t="shared" si="80"/>
        <v>265400</v>
      </c>
      <c r="F67" s="6">
        <f t="shared" ref="F67:G67" si="85">C67-B67</f>
        <v>9900</v>
      </c>
      <c r="G67" s="6">
        <f t="shared" si="85"/>
        <v>10300</v>
      </c>
    </row>
    <row r="68" spans="1:7" ht="13">
      <c r="A68" s="2">
        <v>2025</v>
      </c>
      <c r="B68" s="6">
        <f t="shared" si="77"/>
        <v>266500</v>
      </c>
      <c r="C68" s="6">
        <f t="shared" si="78"/>
        <v>277800</v>
      </c>
      <c r="D68" s="6">
        <f t="shared" si="79"/>
        <v>289500</v>
      </c>
      <c r="E68" s="6">
        <f t="shared" si="80"/>
        <v>266500</v>
      </c>
      <c r="F68" s="6">
        <f t="shared" ref="F68:G68" si="86">C68-B68</f>
        <v>11300</v>
      </c>
      <c r="G68" s="6">
        <f t="shared" si="86"/>
        <v>11700</v>
      </c>
    </row>
    <row r="69" spans="1:7" ht="13">
      <c r="A69" s="2">
        <v>2026</v>
      </c>
      <c r="B69" s="6">
        <f t="shared" si="77"/>
        <v>267700</v>
      </c>
      <c r="C69" s="6">
        <f t="shared" si="78"/>
        <v>280200</v>
      </c>
      <c r="D69" s="6">
        <f t="shared" si="79"/>
        <v>293200</v>
      </c>
      <c r="E69" s="6">
        <f t="shared" si="80"/>
        <v>267700</v>
      </c>
      <c r="F69" s="6">
        <f t="shared" ref="F69:G69" si="87">C69-B69</f>
        <v>12500</v>
      </c>
      <c r="G69" s="6">
        <f t="shared" si="87"/>
        <v>13000</v>
      </c>
    </row>
    <row r="70" spans="1:7" ht="13">
      <c r="A70" s="2">
        <v>2027</v>
      </c>
      <c r="B70" s="6">
        <f t="shared" si="77"/>
        <v>268700</v>
      </c>
      <c r="C70" s="6">
        <f t="shared" si="78"/>
        <v>282400</v>
      </c>
      <c r="D70" s="6">
        <f t="shared" si="79"/>
        <v>296700</v>
      </c>
      <c r="E70" s="6">
        <f t="shared" si="80"/>
        <v>268700</v>
      </c>
      <c r="F70" s="6">
        <f t="shared" ref="F70:G70" si="88">C70-B70</f>
        <v>13700</v>
      </c>
      <c r="G70" s="6">
        <f t="shared" si="88"/>
        <v>14300</v>
      </c>
    </row>
    <row r="71" spans="1:7" ht="13">
      <c r="A71" s="2">
        <v>2028</v>
      </c>
      <c r="B71" s="6">
        <f t="shared" si="77"/>
        <v>268900</v>
      </c>
      <c r="C71" s="6">
        <f t="shared" si="78"/>
        <v>283700</v>
      </c>
      <c r="D71" s="6">
        <f t="shared" si="79"/>
        <v>299400</v>
      </c>
      <c r="E71" s="6">
        <f t="shared" si="80"/>
        <v>268900</v>
      </c>
      <c r="F71" s="6">
        <f t="shared" ref="F71:G71" si="89">C71-B71</f>
        <v>14800</v>
      </c>
      <c r="G71" s="6">
        <f t="shared" si="89"/>
        <v>15700</v>
      </c>
    </row>
    <row r="72" spans="1:7" ht="13">
      <c r="A72" s="2">
        <v>2029</v>
      </c>
      <c r="B72" s="6">
        <f t="shared" si="77"/>
        <v>269200</v>
      </c>
      <c r="C72" s="6">
        <f t="shared" si="78"/>
        <v>285100</v>
      </c>
      <c r="D72" s="6">
        <f t="shared" si="79"/>
        <v>302000</v>
      </c>
      <c r="E72" s="6">
        <f t="shared" si="80"/>
        <v>269200</v>
      </c>
      <c r="F72" s="6">
        <f t="shared" ref="F72:G72" si="90">C72-B72</f>
        <v>15900</v>
      </c>
      <c r="G72" s="6">
        <f t="shared" si="90"/>
        <v>16900</v>
      </c>
    </row>
    <row r="73" spans="1:7" ht="13">
      <c r="A73" s="2">
        <v>2030</v>
      </c>
      <c r="B73" s="6">
        <f t="shared" si="77"/>
        <v>269500</v>
      </c>
      <c r="C73" s="6">
        <f t="shared" si="78"/>
        <v>286600</v>
      </c>
      <c r="D73" s="6">
        <f t="shared" si="79"/>
        <v>304700</v>
      </c>
      <c r="E73" s="6">
        <f t="shared" si="80"/>
        <v>269500</v>
      </c>
      <c r="F73" s="6">
        <f t="shared" ref="F73:G73" si="91">C73-B73</f>
        <v>17100</v>
      </c>
      <c r="G73" s="6">
        <f t="shared" si="91"/>
        <v>18100</v>
      </c>
    </row>
    <row r="74" spans="1:7" ht="13">
      <c r="A74" s="2">
        <v>2031</v>
      </c>
      <c r="B74" s="6">
        <f t="shared" si="77"/>
        <v>269900</v>
      </c>
      <c r="C74" s="6">
        <f t="shared" si="78"/>
        <v>288100</v>
      </c>
      <c r="D74" s="6">
        <f t="shared" si="79"/>
        <v>307500</v>
      </c>
      <c r="E74" s="6">
        <f t="shared" si="80"/>
        <v>269900</v>
      </c>
      <c r="F74" s="6">
        <f t="shared" ref="F74:G74" si="92">C74-B74</f>
        <v>18200</v>
      </c>
      <c r="G74" s="6">
        <f t="shared" si="92"/>
        <v>19400</v>
      </c>
    </row>
    <row r="75" spans="1:7" ht="13">
      <c r="A75" s="2">
        <v>2032</v>
      </c>
      <c r="B75" s="6">
        <f t="shared" si="77"/>
        <v>270300</v>
      </c>
      <c r="C75" s="6">
        <f t="shared" si="78"/>
        <v>289500</v>
      </c>
      <c r="D75" s="6">
        <f t="shared" si="79"/>
        <v>310200</v>
      </c>
      <c r="E75" s="6">
        <f t="shared" si="80"/>
        <v>270300</v>
      </c>
      <c r="F75" s="6">
        <f t="shared" ref="F75:G75" si="93">C75-B75</f>
        <v>19200</v>
      </c>
      <c r="G75" s="6">
        <f t="shared" si="93"/>
        <v>20700</v>
      </c>
    </row>
    <row r="76" spans="1:7" ht="13">
      <c r="A76" s="2">
        <v>2033</v>
      </c>
      <c r="B76" s="6">
        <f t="shared" si="77"/>
        <v>270700</v>
      </c>
      <c r="C76" s="6">
        <f t="shared" si="78"/>
        <v>291000</v>
      </c>
      <c r="D76" s="6">
        <f t="shared" si="79"/>
        <v>312800</v>
      </c>
      <c r="E76" s="6">
        <f t="shared" si="80"/>
        <v>270700</v>
      </c>
      <c r="F76" s="6">
        <f t="shared" ref="F76:G76" si="94">C76-B76</f>
        <v>20300</v>
      </c>
      <c r="G76" s="6">
        <f t="shared" si="94"/>
        <v>21800</v>
      </c>
    </row>
    <row r="77" spans="1:7" ht="13">
      <c r="A77" s="2">
        <v>2034</v>
      </c>
      <c r="B77" s="6">
        <f t="shared" si="77"/>
        <v>271000</v>
      </c>
      <c r="C77" s="6">
        <f t="shared" si="78"/>
        <v>292400</v>
      </c>
      <c r="D77" s="6">
        <f t="shared" si="79"/>
        <v>315400</v>
      </c>
      <c r="E77" s="6">
        <f t="shared" si="80"/>
        <v>271000</v>
      </c>
      <c r="F77" s="6">
        <f t="shared" ref="F77:G77" si="95">C77-B77</f>
        <v>21400</v>
      </c>
      <c r="G77" s="6">
        <f t="shared" si="95"/>
        <v>23000</v>
      </c>
    </row>
    <row r="78" spans="1:7" ht="13">
      <c r="A78" s="2">
        <v>2035</v>
      </c>
      <c r="B78" s="6">
        <f t="shared" si="77"/>
        <v>271300</v>
      </c>
      <c r="C78" s="6">
        <f t="shared" si="78"/>
        <v>293600</v>
      </c>
      <c r="D78" s="6">
        <f t="shared" si="79"/>
        <v>317800</v>
      </c>
      <c r="E78" s="6">
        <f t="shared" si="80"/>
        <v>271300</v>
      </c>
      <c r="F78" s="6">
        <f t="shared" ref="F78:G78" si="96">C78-B78</f>
        <v>22300</v>
      </c>
      <c r="G78" s="6">
        <f t="shared" si="96"/>
        <v>24200</v>
      </c>
    </row>
    <row r="79" spans="1:7" ht="13">
      <c r="A79" s="2">
        <v>2036</v>
      </c>
      <c r="B79" s="6">
        <f t="shared" si="77"/>
        <v>271500</v>
      </c>
      <c r="C79" s="6">
        <f t="shared" si="78"/>
        <v>294900</v>
      </c>
      <c r="D79" s="6">
        <f t="shared" si="79"/>
        <v>320300</v>
      </c>
      <c r="E79" s="6">
        <f t="shared" si="80"/>
        <v>271500</v>
      </c>
      <c r="F79" s="6">
        <f t="shared" ref="F79:G79" si="97">C79-B79</f>
        <v>23400</v>
      </c>
      <c r="G79" s="6">
        <f t="shared" si="97"/>
        <v>25400</v>
      </c>
    </row>
    <row r="80" spans="1:7" ht="13">
      <c r="A80" s="2">
        <v>2037</v>
      </c>
      <c r="B80" s="6">
        <f t="shared" si="77"/>
        <v>271600</v>
      </c>
      <c r="C80" s="6">
        <f t="shared" si="78"/>
        <v>296000</v>
      </c>
      <c r="D80" s="6">
        <f t="shared" si="79"/>
        <v>322500</v>
      </c>
      <c r="E80" s="6">
        <f t="shared" si="80"/>
        <v>271600</v>
      </c>
      <c r="F80" s="6">
        <f t="shared" ref="F80:G80" si="98">C80-B80</f>
        <v>24400</v>
      </c>
      <c r="G80" s="6">
        <f t="shared" si="98"/>
        <v>26500</v>
      </c>
    </row>
    <row r="81" spans="1:36" ht="13">
      <c r="A81" s="2">
        <v>2038</v>
      </c>
      <c r="B81" s="6">
        <f t="shared" si="77"/>
        <v>271800</v>
      </c>
      <c r="C81" s="6">
        <f t="shared" si="78"/>
        <v>297100</v>
      </c>
      <c r="D81" s="6">
        <f t="shared" si="79"/>
        <v>324800</v>
      </c>
      <c r="E81" s="6">
        <f t="shared" si="80"/>
        <v>271800</v>
      </c>
      <c r="F81" s="6">
        <f t="shared" ref="F81:G81" si="99">C81-B81</f>
        <v>25300</v>
      </c>
      <c r="G81" s="6">
        <f t="shared" si="99"/>
        <v>27700</v>
      </c>
    </row>
    <row r="82" spans="1:36" ht="13">
      <c r="A82" s="2">
        <v>2039</v>
      </c>
      <c r="B82" s="6">
        <f t="shared" si="77"/>
        <v>271800</v>
      </c>
      <c r="C82" s="6">
        <f t="shared" si="78"/>
        <v>298100</v>
      </c>
      <c r="D82" s="6">
        <f t="shared" si="79"/>
        <v>327000</v>
      </c>
      <c r="E82" s="6">
        <f t="shared" si="80"/>
        <v>271800</v>
      </c>
      <c r="F82" s="6">
        <f t="shared" ref="F82:G82" si="100">C82-B82</f>
        <v>26300</v>
      </c>
      <c r="G82" s="6">
        <f t="shared" si="100"/>
        <v>28900</v>
      </c>
    </row>
    <row r="83" spans="1:36" ht="13">
      <c r="A83" s="2">
        <v>2040</v>
      </c>
      <c r="B83" s="6">
        <f t="shared" si="77"/>
        <v>271800</v>
      </c>
      <c r="C83" s="6">
        <f t="shared" si="78"/>
        <v>299100</v>
      </c>
      <c r="D83" s="6">
        <f t="shared" si="79"/>
        <v>329100</v>
      </c>
      <c r="E83" s="6">
        <f t="shared" si="80"/>
        <v>271800</v>
      </c>
      <c r="F83" s="6">
        <f t="shared" ref="F83:G83" si="101">C83-B83</f>
        <v>27300</v>
      </c>
      <c r="G83" s="6">
        <f t="shared" si="101"/>
        <v>30000</v>
      </c>
    </row>
    <row r="84" spans="1:36" ht="13">
      <c r="A84" s="2">
        <v>2041</v>
      </c>
      <c r="B84" s="6">
        <f t="shared" si="77"/>
        <v>271800</v>
      </c>
      <c r="C84" s="6">
        <f t="shared" si="78"/>
        <v>300000</v>
      </c>
      <c r="D84" s="6">
        <f t="shared" si="79"/>
        <v>331100</v>
      </c>
      <c r="E84" s="6">
        <f t="shared" si="80"/>
        <v>271800</v>
      </c>
      <c r="F84" s="6">
        <f t="shared" ref="F84:G84" si="102">C84-B84</f>
        <v>28200</v>
      </c>
      <c r="G84" s="6">
        <f t="shared" si="102"/>
        <v>31100</v>
      </c>
    </row>
    <row r="85" spans="1:36" ht="13">
      <c r="A85" s="2">
        <v>2042</v>
      </c>
      <c r="B85" s="6">
        <f t="shared" si="77"/>
        <v>271600</v>
      </c>
      <c r="C85" s="6">
        <f t="shared" si="78"/>
        <v>300800</v>
      </c>
      <c r="D85" s="6">
        <f t="shared" si="79"/>
        <v>333000</v>
      </c>
      <c r="E85" s="6">
        <f t="shared" si="80"/>
        <v>271600</v>
      </c>
      <c r="F85" s="6">
        <f t="shared" ref="F85:G85" si="103">C85-B85</f>
        <v>29200</v>
      </c>
      <c r="G85" s="6">
        <f t="shared" si="103"/>
        <v>32200</v>
      </c>
    </row>
    <row r="86" spans="1:36" ht="13">
      <c r="A86" s="2">
        <v>2043</v>
      </c>
      <c r="B86" s="6">
        <f t="shared" si="77"/>
        <v>271500</v>
      </c>
      <c r="C86" s="6">
        <f t="shared" si="78"/>
        <v>301500</v>
      </c>
      <c r="D86" s="6">
        <f t="shared" si="79"/>
        <v>334900</v>
      </c>
      <c r="E86" s="6">
        <f t="shared" si="80"/>
        <v>271500</v>
      </c>
      <c r="F86" s="6">
        <f t="shared" ref="F86:G86" si="104">C86-B86</f>
        <v>30000</v>
      </c>
      <c r="G86" s="6">
        <f t="shared" si="104"/>
        <v>33400</v>
      </c>
    </row>
    <row r="87" spans="1:36" ht="13">
      <c r="A87" s="2">
        <v>2044</v>
      </c>
      <c r="B87" s="6">
        <f t="shared" si="77"/>
        <v>271300</v>
      </c>
      <c r="C87" s="6">
        <f t="shared" si="78"/>
        <v>302300</v>
      </c>
      <c r="D87" s="6">
        <f t="shared" si="79"/>
        <v>336800</v>
      </c>
      <c r="E87" s="6">
        <f t="shared" si="80"/>
        <v>271300</v>
      </c>
      <c r="F87" s="6">
        <f t="shared" ref="F87:G87" si="105">C87-B87</f>
        <v>31000</v>
      </c>
      <c r="G87" s="6">
        <f t="shared" si="105"/>
        <v>34500</v>
      </c>
    </row>
    <row r="88" spans="1:36" ht="13">
      <c r="A88" s="2">
        <v>2045</v>
      </c>
      <c r="B88" s="6">
        <f t="shared" si="77"/>
        <v>271100</v>
      </c>
      <c r="C88" s="6">
        <f t="shared" si="78"/>
        <v>303000</v>
      </c>
      <c r="D88" s="6">
        <f t="shared" si="79"/>
        <v>338700</v>
      </c>
      <c r="E88" s="6">
        <f t="shared" si="80"/>
        <v>271100</v>
      </c>
      <c r="F88" s="6">
        <f t="shared" ref="F88:G88" si="106">C88-B88</f>
        <v>31900</v>
      </c>
      <c r="G88" s="6">
        <f t="shared" si="106"/>
        <v>35700</v>
      </c>
    </row>
    <row r="89" spans="1:36" ht="13">
      <c r="A89" s="2">
        <v>2046</v>
      </c>
      <c r="B89" s="6">
        <f t="shared" si="77"/>
        <v>270900</v>
      </c>
      <c r="C89" s="6">
        <f t="shared" si="78"/>
        <v>303700</v>
      </c>
      <c r="D89" s="6">
        <f t="shared" si="79"/>
        <v>340400</v>
      </c>
      <c r="E89" s="6">
        <f t="shared" si="80"/>
        <v>270900</v>
      </c>
      <c r="F89" s="6">
        <f t="shared" ref="F89:G89" si="107">C89-B89</f>
        <v>32800</v>
      </c>
      <c r="G89" s="6">
        <f t="shared" si="107"/>
        <v>36700</v>
      </c>
    </row>
    <row r="90" spans="1:36" ht="13">
      <c r="A90" s="2">
        <v>2047</v>
      </c>
      <c r="B90" s="6">
        <f t="shared" si="77"/>
        <v>270800</v>
      </c>
      <c r="C90" s="6">
        <f t="shared" si="78"/>
        <v>304400</v>
      </c>
      <c r="D90" s="6">
        <f t="shared" si="79"/>
        <v>342300</v>
      </c>
      <c r="E90" s="6">
        <f t="shared" si="80"/>
        <v>270800</v>
      </c>
      <c r="F90" s="6">
        <f t="shared" ref="F90:G90" si="108">C90-B90</f>
        <v>33600</v>
      </c>
      <c r="G90" s="6">
        <f t="shared" si="108"/>
        <v>37900</v>
      </c>
    </row>
    <row r="91" spans="1:36" ht="13">
      <c r="A91" s="2">
        <v>2048</v>
      </c>
      <c r="B91" s="6">
        <f t="shared" si="77"/>
        <v>270600</v>
      </c>
      <c r="C91" s="6">
        <f t="shared" si="78"/>
        <v>305200</v>
      </c>
      <c r="D91" s="6">
        <f t="shared" si="79"/>
        <v>344100</v>
      </c>
      <c r="E91" s="6">
        <f t="shared" si="80"/>
        <v>270600</v>
      </c>
      <c r="F91" s="6">
        <f t="shared" ref="F91:G91" si="109">C91-B91</f>
        <v>34600</v>
      </c>
      <c r="G91" s="6">
        <f t="shared" si="109"/>
        <v>38900</v>
      </c>
    </row>
    <row r="92" spans="1:36" ht="13">
      <c r="A92" s="2">
        <v>2049</v>
      </c>
      <c r="B92" s="6">
        <f t="shared" si="77"/>
        <v>270500</v>
      </c>
      <c r="C92" s="6">
        <f t="shared" si="78"/>
        <v>305900</v>
      </c>
      <c r="D92" s="6">
        <f t="shared" si="79"/>
        <v>346000</v>
      </c>
      <c r="E92" s="6">
        <f t="shared" si="80"/>
        <v>270500</v>
      </c>
      <c r="F92" s="6">
        <f t="shared" ref="F92:G92" si="110">C92-B92</f>
        <v>35400</v>
      </c>
      <c r="G92" s="6">
        <f t="shared" si="110"/>
        <v>40100</v>
      </c>
    </row>
    <row r="93" spans="1:36" ht="13">
      <c r="A93" s="2">
        <v>2050</v>
      </c>
      <c r="B93" s="6">
        <f t="shared" si="77"/>
        <v>270400</v>
      </c>
      <c r="C93" s="6">
        <f t="shared" si="78"/>
        <v>306700</v>
      </c>
      <c r="D93" s="6">
        <f t="shared" si="79"/>
        <v>347900</v>
      </c>
      <c r="E93" s="6">
        <f t="shared" si="80"/>
        <v>270400</v>
      </c>
      <c r="F93" s="6">
        <f t="shared" ref="F93:G93" si="111">C93-B93</f>
        <v>36300</v>
      </c>
      <c r="G93" s="6">
        <f t="shared" si="111"/>
        <v>41200</v>
      </c>
    </row>
    <row r="94" spans="1:36" ht="13">
      <c r="A94" s="4"/>
      <c r="B94" s="6"/>
      <c r="C94" s="6"/>
      <c r="D94" s="6"/>
      <c r="E94" s="6"/>
      <c r="F94" s="6"/>
    </row>
    <row r="95" spans="1:36" ht="13">
      <c r="B95" s="6"/>
      <c r="D95" s="6"/>
      <c r="E95" s="6"/>
      <c r="F95" s="6"/>
      <c r="G95" s="6"/>
    </row>
    <row r="96" spans="1:36" ht="13">
      <c r="A96" s="7" t="s">
        <v>966</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spans="1:19" ht="13">
      <c r="A97" s="137" t="s">
        <v>967</v>
      </c>
      <c r="B97" s="138"/>
      <c r="C97" s="138"/>
      <c r="D97" s="138"/>
      <c r="E97" s="138"/>
      <c r="F97" s="138"/>
      <c r="G97" s="156"/>
    </row>
    <row r="98" spans="1:19" ht="13">
      <c r="A98" s="39" t="s">
        <v>968</v>
      </c>
      <c r="B98" s="6"/>
      <c r="C98" s="6"/>
      <c r="D98" s="6"/>
      <c r="E98" s="6"/>
      <c r="F98" s="6"/>
    </row>
    <row r="99" spans="1:19" ht="13">
      <c r="A99" s="2" t="s">
        <v>969</v>
      </c>
      <c r="B99" s="6"/>
      <c r="C99" s="38"/>
      <c r="D99" s="4"/>
      <c r="K99" s="2" t="s">
        <v>970</v>
      </c>
      <c r="Q99" s="2" t="s">
        <v>971</v>
      </c>
    </row>
    <row r="100" spans="1:19" ht="13">
      <c r="A100" s="1" t="s">
        <v>166</v>
      </c>
      <c r="B100" s="157" t="s">
        <v>972</v>
      </c>
      <c r="C100" s="13" t="s">
        <v>973</v>
      </c>
      <c r="D100" s="13" t="s">
        <v>942</v>
      </c>
      <c r="E100" s="13" t="s">
        <v>943</v>
      </c>
      <c r="H100" s="2" t="s">
        <v>974</v>
      </c>
      <c r="K100" s="1" t="s">
        <v>975</v>
      </c>
      <c r="L100" s="157" t="s">
        <v>976</v>
      </c>
      <c r="M100" s="157" t="s">
        <v>977</v>
      </c>
      <c r="Q100" s="1" t="s">
        <v>978</v>
      </c>
      <c r="R100" s="157" t="s">
        <v>979</v>
      </c>
      <c r="S100" s="157" t="s">
        <v>980</v>
      </c>
    </row>
    <row r="101" spans="1:19" ht="13">
      <c r="A101" s="148">
        <v>2020</v>
      </c>
      <c r="B101" s="2" t="s">
        <v>153</v>
      </c>
      <c r="C101" s="143" t="s">
        <v>153</v>
      </c>
      <c r="D101" s="158">
        <f>I103</f>
        <v>2.8113969999999999</v>
      </c>
      <c r="E101" s="158">
        <f>I102</f>
        <v>0.52530200000000005</v>
      </c>
      <c r="H101" s="4" t="s">
        <v>934</v>
      </c>
      <c r="I101" s="4" t="s">
        <v>935</v>
      </c>
      <c r="K101" s="148">
        <v>2020</v>
      </c>
      <c r="L101" s="2" t="s">
        <v>153</v>
      </c>
      <c r="M101" s="2" t="s">
        <v>153</v>
      </c>
      <c r="Q101" s="2">
        <v>2020</v>
      </c>
      <c r="R101" s="143" t="s">
        <v>153</v>
      </c>
      <c r="S101" s="143" t="s">
        <v>153</v>
      </c>
    </row>
    <row r="102" spans="1:19" ht="13">
      <c r="A102" s="148" t="s">
        <v>925</v>
      </c>
      <c r="B102" s="5">
        <f t="shared" ref="B102:B105" si="112">L102</f>
        <v>-0.23277310924369751</v>
      </c>
      <c r="C102" s="136">
        <f t="shared" ref="C102:C105" si="113">D102/$D$101-1</f>
        <v>-0.27626614129571037</v>
      </c>
      <c r="D102" s="158">
        <f t="shared" ref="D102:D105" si="114">$D$101+SUM(D101:E101)*B102</f>
        <v>2.0347031991596638</v>
      </c>
      <c r="E102" s="158">
        <f t="shared" ref="E102:E105" si="115">E101</f>
        <v>0.52530200000000005</v>
      </c>
      <c r="H102" s="2" t="s">
        <v>938</v>
      </c>
      <c r="I102" s="141">
        <v>0.52530200000000005</v>
      </c>
      <c r="K102" s="148" t="s">
        <v>925</v>
      </c>
      <c r="L102" s="5">
        <f>AVERAGE(S102:S103)-0.1</f>
        <v>-0.23277310924369751</v>
      </c>
      <c r="M102" s="2" t="s">
        <v>981</v>
      </c>
      <c r="Q102" s="6" t="s">
        <v>982</v>
      </c>
      <c r="R102" s="5">
        <v>-0.31000000000000005</v>
      </c>
      <c r="S102" s="5">
        <f>R102*10/14</f>
        <v>-0.22142857142857147</v>
      </c>
    </row>
    <row r="103" spans="1:19" ht="13">
      <c r="A103" s="148" t="s">
        <v>44</v>
      </c>
      <c r="B103" s="5">
        <f t="shared" si="112"/>
        <v>-0.47058823529411764</v>
      </c>
      <c r="C103" s="136">
        <f t="shared" si="113"/>
        <v>-0.42850879083114635</v>
      </c>
      <c r="D103" s="158">
        <f t="shared" si="114"/>
        <v>1.6066886709836876</v>
      </c>
      <c r="E103" s="158">
        <f t="shared" si="115"/>
        <v>0.52530200000000005</v>
      </c>
      <c r="H103" s="2" t="s">
        <v>944</v>
      </c>
      <c r="I103" s="141">
        <v>2.8113969999999999</v>
      </c>
      <c r="K103" s="148" t="s">
        <v>44</v>
      </c>
      <c r="L103" s="5">
        <f>S104-0.1</f>
        <v>-0.47058823529411764</v>
      </c>
      <c r="M103" s="2" t="s">
        <v>983</v>
      </c>
      <c r="Q103" s="6" t="s">
        <v>984</v>
      </c>
      <c r="R103" s="5">
        <v>-5.0000000000000044E-2</v>
      </c>
      <c r="S103" s="5">
        <f t="shared" ref="S103:S105" si="116">R103*30/34</f>
        <v>-4.4117647058823567E-2</v>
      </c>
    </row>
    <row r="104" spans="1:19" ht="13">
      <c r="A104" s="148" t="s">
        <v>45</v>
      </c>
      <c r="B104" s="5">
        <f t="shared" si="112"/>
        <v>-0.30735294117647061</v>
      </c>
      <c r="C104" s="5">
        <f t="shared" si="113"/>
        <v>-0.23307757790437755</v>
      </c>
      <c r="D104" s="158">
        <f t="shared" si="114"/>
        <v>2.1561233967123665</v>
      </c>
      <c r="E104" s="158">
        <f t="shared" si="115"/>
        <v>0.52530200000000005</v>
      </c>
      <c r="H104" s="2" t="s">
        <v>357</v>
      </c>
      <c r="I104" s="21">
        <f>SUM(I102:I103)</f>
        <v>3.3366989999999999</v>
      </c>
      <c r="K104" s="148" t="s">
        <v>45</v>
      </c>
      <c r="L104" s="5">
        <f>AVERAGE(S104:S105)-0.1</f>
        <v>-0.30735294117647061</v>
      </c>
      <c r="M104" s="2" t="s">
        <v>985</v>
      </c>
      <c r="Q104" s="6" t="s">
        <v>986</v>
      </c>
      <c r="R104" s="5">
        <v>-0.42000000000000004</v>
      </c>
      <c r="S104" s="5">
        <f t="shared" si="116"/>
        <v>-0.37058823529411766</v>
      </c>
    </row>
    <row r="105" spans="1:19" ht="13">
      <c r="A105" s="148" t="s">
        <v>46</v>
      </c>
      <c r="B105" s="5">
        <f t="shared" si="112"/>
        <v>-0.14411764705882357</v>
      </c>
      <c r="C105" s="5">
        <f t="shared" si="113"/>
        <v>-0.1374550513278483</v>
      </c>
      <c r="D105" s="21">
        <f t="shared" si="114"/>
        <v>2.4249562810620411</v>
      </c>
      <c r="E105" s="21">
        <f t="shared" si="115"/>
        <v>0.52530200000000005</v>
      </c>
      <c r="H105" s="6"/>
      <c r="I105" s="6"/>
      <c r="K105" s="148" t="s">
        <v>46</v>
      </c>
      <c r="L105" s="5">
        <f>S105-0.1</f>
        <v>-0.14411764705882357</v>
      </c>
      <c r="M105" s="2" t="s">
        <v>987</v>
      </c>
      <c r="Q105" s="6" t="s">
        <v>988</v>
      </c>
      <c r="R105" s="5">
        <v>-5.0000000000000044E-2</v>
      </c>
      <c r="S105" s="5">
        <f t="shared" si="116"/>
        <v>-4.4117647058823567E-2</v>
      </c>
    </row>
    <row r="106" spans="1:19" ht="13">
      <c r="C106" s="5"/>
      <c r="D106" s="6"/>
      <c r="H106" s="6" t="s">
        <v>949</v>
      </c>
    </row>
    <row r="107" spans="1:19" ht="13">
      <c r="B107" s="6"/>
      <c r="C107" s="6"/>
      <c r="D107" s="6"/>
      <c r="E107" s="6"/>
      <c r="F107" s="6"/>
      <c r="H107" s="45">
        <f>I102/I103</f>
        <v>0.18684732181189639</v>
      </c>
    </row>
    <row r="108" spans="1:19" ht="13">
      <c r="B108" s="6"/>
      <c r="C108" s="6"/>
      <c r="D108" s="6"/>
      <c r="E108" s="6"/>
      <c r="F108" s="6"/>
      <c r="I108" s="6"/>
    </row>
    <row r="109" spans="1:19" ht="13">
      <c r="B109" s="6"/>
      <c r="C109" s="6"/>
      <c r="D109" s="6"/>
      <c r="E109" s="6"/>
      <c r="F109" s="6"/>
      <c r="I109" s="6"/>
    </row>
    <row r="110" spans="1:19" ht="13">
      <c r="A110" s="137" t="s">
        <v>989</v>
      </c>
      <c r="B110" s="138"/>
      <c r="C110" s="138"/>
      <c r="D110" s="138"/>
      <c r="E110" s="138"/>
      <c r="F110" s="138"/>
      <c r="I110" s="6"/>
    </row>
    <row r="111" spans="1:19" ht="13">
      <c r="A111" s="159" t="s">
        <v>103</v>
      </c>
      <c r="B111" s="140" t="s">
        <v>990</v>
      </c>
      <c r="C111" s="6"/>
      <c r="D111" s="6"/>
      <c r="E111" s="6"/>
      <c r="F111" s="6"/>
    </row>
    <row r="112" spans="1:19" ht="13">
      <c r="B112" s="6"/>
      <c r="C112" s="6"/>
      <c r="D112" s="6"/>
      <c r="E112" s="6"/>
      <c r="F112" s="6"/>
    </row>
    <row r="113" spans="1:6" ht="13">
      <c r="B113" s="116" t="s">
        <v>166</v>
      </c>
      <c r="C113" s="116" t="s">
        <v>991</v>
      </c>
      <c r="D113" s="116" t="s">
        <v>992</v>
      </c>
      <c r="E113" s="116" t="s">
        <v>993</v>
      </c>
      <c r="F113" s="6"/>
    </row>
    <row r="114" spans="1:6" ht="13">
      <c r="A114" s="160" t="s">
        <v>994</v>
      </c>
      <c r="B114" s="2" t="s">
        <v>995</v>
      </c>
      <c r="C114" s="5">
        <v>0.02</v>
      </c>
      <c r="D114" s="5">
        <v>0.2</v>
      </c>
      <c r="E114" s="5">
        <f t="shared" ref="E114:E121" si="117">(1+D114)/(1+C114)-1</f>
        <v>0.17647058823529416</v>
      </c>
      <c r="F114" s="6"/>
    </row>
    <row r="115" spans="1:6" ht="13">
      <c r="A115" s="159"/>
      <c r="B115" s="161" t="s">
        <v>996</v>
      </c>
      <c r="C115" s="5">
        <v>0.08</v>
      </c>
      <c r="D115" s="5">
        <v>0.4</v>
      </c>
      <c r="E115" s="5">
        <f t="shared" si="117"/>
        <v>0.29629629629629606</v>
      </c>
      <c r="F115" s="6"/>
    </row>
    <row r="116" spans="1:6" ht="13">
      <c r="A116" s="159"/>
      <c r="B116" s="161" t="s">
        <v>997</v>
      </c>
      <c r="C116" s="5">
        <v>-0.02</v>
      </c>
      <c r="D116" s="5">
        <v>0.45</v>
      </c>
      <c r="E116" s="5">
        <f t="shared" si="117"/>
        <v>0.47959183673469385</v>
      </c>
      <c r="F116" s="6"/>
    </row>
    <row r="117" spans="1:6" ht="13">
      <c r="A117" s="159"/>
      <c r="B117" s="161" t="s">
        <v>998</v>
      </c>
      <c r="C117" s="5">
        <v>0.15</v>
      </c>
      <c r="D117" s="5">
        <v>1.05</v>
      </c>
      <c r="E117" s="5">
        <f t="shared" si="117"/>
        <v>0.78260869565217384</v>
      </c>
      <c r="F117" s="6"/>
    </row>
    <row r="118" spans="1:6" ht="13">
      <c r="A118" s="162" t="s">
        <v>999</v>
      </c>
      <c r="B118" s="148" t="s">
        <v>925</v>
      </c>
      <c r="C118" s="5">
        <f t="shared" ref="C118:D118" si="118">AVERAGE(C114:C115)</f>
        <v>0.05</v>
      </c>
      <c r="D118" s="5">
        <f t="shared" si="118"/>
        <v>0.30000000000000004</v>
      </c>
      <c r="E118" s="5">
        <f t="shared" si="117"/>
        <v>0.23809523809523814</v>
      </c>
      <c r="F118" s="6"/>
    </row>
    <row r="119" spans="1:6" ht="13">
      <c r="B119" s="6" t="s">
        <v>997</v>
      </c>
      <c r="C119" s="5">
        <f t="shared" ref="C119:D119" si="119">C116</f>
        <v>-0.02</v>
      </c>
      <c r="D119" s="5">
        <f t="shared" si="119"/>
        <v>0.45</v>
      </c>
      <c r="E119" s="5">
        <f t="shared" si="117"/>
        <v>0.47959183673469385</v>
      </c>
      <c r="F119" s="6"/>
    </row>
    <row r="120" spans="1:6" ht="13">
      <c r="B120" s="6" t="s">
        <v>1000</v>
      </c>
      <c r="C120" s="5">
        <f t="shared" ref="C120:D120" si="120">AVERAGE(C116:C117)</f>
        <v>6.5000000000000002E-2</v>
      </c>
      <c r="D120" s="5">
        <f t="shared" si="120"/>
        <v>0.75</v>
      </c>
      <c r="E120" s="5">
        <f t="shared" si="117"/>
        <v>0.64319248826291098</v>
      </c>
      <c r="F120" s="6"/>
    </row>
    <row r="121" spans="1:6" ht="13">
      <c r="B121" s="6" t="s">
        <v>998</v>
      </c>
      <c r="C121" s="5">
        <f t="shared" ref="C121:D121" si="121">C117</f>
        <v>0.15</v>
      </c>
      <c r="D121" s="5">
        <f t="shared" si="121"/>
        <v>1.05</v>
      </c>
      <c r="E121" s="5">
        <f t="shared" si="117"/>
        <v>0.78260869565217384</v>
      </c>
      <c r="F121" s="6"/>
    </row>
    <row r="122" spans="1:6" ht="13">
      <c r="B122" s="6"/>
      <c r="C122" s="6"/>
      <c r="D122" s="6"/>
      <c r="E122" s="6"/>
      <c r="F122" s="6"/>
    </row>
    <row r="123" spans="1:6" ht="13">
      <c r="B123" s="6"/>
      <c r="C123" s="6"/>
      <c r="D123" s="6"/>
      <c r="E123" s="6"/>
      <c r="F123" s="6"/>
    </row>
    <row r="124" spans="1:6" ht="13">
      <c r="B124" s="6"/>
      <c r="C124" s="6"/>
      <c r="D124" s="6"/>
      <c r="E124" s="6"/>
      <c r="F124" s="6"/>
    </row>
    <row r="125" spans="1:6" ht="13">
      <c r="B125" s="6"/>
      <c r="C125" s="6"/>
      <c r="D125" s="6"/>
      <c r="E125" s="6"/>
      <c r="F125" s="6"/>
    </row>
    <row r="126" spans="1:6" ht="13">
      <c r="B126" s="6"/>
      <c r="C126" s="6"/>
      <c r="D126" s="6"/>
      <c r="E126" s="6"/>
      <c r="F126" s="6"/>
    </row>
    <row r="127" spans="1:6" ht="13">
      <c r="B127" s="6"/>
      <c r="C127" s="6"/>
      <c r="D127" s="6"/>
      <c r="E127" s="6"/>
      <c r="F127" s="6"/>
    </row>
    <row r="128" spans="1:6" ht="13">
      <c r="B128" s="6"/>
      <c r="C128" s="6"/>
      <c r="D128" s="6"/>
      <c r="E128" s="6"/>
      <c r="F128" s="6"/>
    </row>
    <row r="129" spans="2:6" ht="13">
      <c r="B129" s="6"/>
      <c r="C129" s="6"/>
      <c r="D129" s="6"/>
      <c r="E129" s="6"/>
      <c r="F129" s="6"/>
    </row>
    <row r="130" spans="2:6" ht="13">
      <c r="B130" s="6"/>
      <c r="C130" s="6"/>
      <c r="D130" s="6"/>
      <c r="E130" s="6"/>
      <c r="F130" s="6"/>
    </row>
    <row r="131" spans="2:6" ht="13">
      <c r="B131" s="6"/>
      <c r="C131" s="6"/>
      <c r="D131" s="6"/>
      <c r="E131" s="6"/>
      <c r="F131" s="6"/>
    </row>
    <row r="132" spans="2:6" ht="13">
      <c r="B132" s="6"/>
      <c r="C132" s="6"/>
      <c r="D132" s="6"/>
      <c r="E132" s="6"/>
      <c r="F132" s="6"/>
    </row>
    <row r="133" spans="2:6" ht="13">
      <c r="B133" s="6"/>
      <c r="C133" s="6"/>
      <c r="D133" s="6"/>
      <c r="E133" s="6"/>
      <c r="F133" s="6"/>
    </row>
    <row r="134" spans="2:6" ht="13">
      <c r="B134" s="6"/>
      <c r="C134" s="6"/>
      <c r="D134" s="6"/>
      <c r="E134" s="6"/>
      <c r="F134" s="6"/>
    </row>
    <row r="135" spans="2:6" ht="13">
      <c r="B135" s="6"/>
      <c r="C135" s="6"/>
      <c r="D135" s="6"/>
      <c r="E135" s="6"/>
      <c r="F135" s="6"/>
    </row>
    <row r="136" spans="2:6" ht="13">
      <c r="B136" s="6"/>
      <c r="C136" s="6"/>
      <c r="D136" s="6"/>
      <c r="E136" s="6"/>
      <c r="F136" s="6"/>
    </row>
    <row r="137" spans="2:6" ht="13">
      <c r="B137" s="6"/>
      <c r="C137" s="6"/>
      <c r="D137" s="6"/>
      <c r="E137" s="6"/>
      <c r="F137" s="6"/>
    </row>
    <row r="138" spans="2:6" ht="13">
      <c r="B138" s="6"/>
      <c r="C138" s="6"/>
      <c r="D138" s="6"/>
      <c r="E138" s="6"/>
      <c r="F138" s="6"/>
    </row>
    <row r="139" spans="2:6" ht="13">
      <c r="B139" s="6"/>
      <c r="C139" s="6"/>
      <c r="D139" s="6"/>
      <c r="E139" s="6"/>
      <c r="F139" s="6"/>
    </row>
    <row r="140" spans="2:6" ht="13">
      <c r="B140" s="6"/>
      <c r="C140" s="6"/>
      <c r="D140" s="6"/>
      <c r="E140" s="6"/>
      <c r="F140" s="6"/>
    </row>
    <row r="141" spans="2:6" ht="13">
      <c r="B141" s="6"/>
      <c r="C141" s="6"/>
      <c r="D141" s="6"/>
      <c r="E141" s="6"/>
      <c r="F141" s="6"/>
    </row>
    <row r="142" spans="2:6" ht="13">
      <c r="B142" s="6"/>
      <c r="C142" s="6"/>
      <c r="D142" s="6"/>
      <c r="E142" s="6"/>
      <c r="F142" s="6"/>
    </row>
    <row r="143" spans="2:6" ht="13">
      <c r="B143" s="6"/>
      <c r="C143" s="6"/>
      <c r="D143" s="6"/>
      <c r="E143" s="6"/>
      <c r="F143" s="6"/>
    </row>
    <row r="144" spans="2:6" ht="13">
      <c r="B144" s="6"/>
      <c r="C144" s="6"/>
      <c r="D144" s="6"/>
      <c r="E144" s="6"/>
      <c r="F144" s="6"/>
    </row>
    <row r="145" spans="2:6" ht="13">
      <c r="B145" s="6"/>
      <c r="C145" s="6"/>
      <c r="D145" s="6"/>
      <c r="E145" s="6"/>
      <c r="F145" s="6"/>
    </row>
    <row r="146" spans="2:6" ht="13">
      <c r="B146" s="6"/>
      <c r="C146" s="6"/>
      <c r="D146" s="6"/>
      <c r="E146" s="6"/>
      <c r="F146" s="6"/>
    </row>
    <row r="147" spans="2:6" ht="13">
      <c r="B147" s="6"/>
      <c r="C147" s="6"/>
      <c r="D147" s="6"/>
      <c r="E147" s="6"/>
      <c r="F147" s="6"/>
    </row>
    <row r="148" spans="2:6" ht="13">
      <c r="B148" s="6"/>
      <c r="C148" s="6"/>
      <c r="D148" s="6"/>
      <c r="E148" s="6"/>
      <c r="F148" s="6"/>
    </row>
    <row r="149" spans="2:6" ht="13">
      <c r="B149" s="6"/>
      <c r="C149" s="6"/>
      <c r="D149" s="6"/>
      <c r="E149" s="6"/>
      <c r="F149" s="6"/>
    </row>
    <row r="150" spans="2:6" ht="13">
      <c r="B150" s="6"/>
      <c r="C150" s="6"/>
      <c r="D150" s="6"/>
      <c r="E150" s="6"/>
      <c r="F150" s="6"/>
    </row>
    <row r="151" spans="2:6" ht="13">
      <c r="B151" s="6"/>
      <c r="C151" s="6"/>
      <c r="D151" s="6"/>
      <c r="E151" s="6"/>
      <c r="F151" s="6"/>
    </row>
    <row r="152" spans="2:6" ht="13">
      <c r="B152" s="6"/>
      <c r="C152" s="6"/>
      <c r="D152" s="6"/>
      <c r="E152" s="6"/>
      <c r="F152" s="6"/>
    </row>
    <row r="153" spans="2:6" ht="13">
      <c r="B153" s="6"/>
      <c r="C153" s="6"/>
      <c r="D153" s="6"/>
      <c r="E153" s="6"/>
      <c r="F153" s="6"/>
    </row>
    <row r="154" spans="2:6" ht="13">
      <c r="B154" s="6"/>
      <c r="C154" s="6"/>
      <c r="D154" s="6"/>
      <c r="E154" s="6"/>
      <c r="F154" s="6"/>
    </row>
    <row r="155" spans="2:6" ht="13">
      <c r="B155" s="6"/>
      <c r="C155" s="6"/>
      <c r="D155" s="6"/>
      <c r="E155" s="6"/>
      <c r="F155" s="6"/>
    </row>
    <row r="156" spans="2:6" ht="13">
      <c r="B156" s="6"/>
      <c r="C156" s="6"/>
      <c r="D156" s="6"/>
      <c r="E156" s="6"/>
      <c r="F156" s="6"/>
    </row>
    <row r="157" spans="2:6" ht="13">
      <c r="B157" s="6"/>
      <c r="C157" s="6"/>
      <c r="D157" s="6"/>
      <c r="E157" s="6"/>
      <c r="F157" s="6"/>
    </row>
    <row r="158" spans="2:6" ht="13">
      <c r="B158" s="6"/>
      <c r="C158" s="6"/>
      <c r="D158" s="6"/>
      <c r="E158" s="6"/>
      <c r="F158" s="6"/>
    </row>
    <row r="159" spans="2:6" ht="13">
      <c r="B159" s="6"/>
      <c r="C159" s="6"/>
      <c r="D159" s="6"/>
      <c r="E159" s="6"/>
      <c r="F159" s="6"/>
    </row>
    <row r="160" spans="2:6" ht="13">
      <c r="B160" s="6"/>
      <c r="C160" s="6"/>
      <c r="D160" s="6"/>
      <c r="E160" s="6"/>
      <c r="F160" s="6"/>
    </row>
    <row r="161" spans="2:6" ht="13">
      <c r="B161" s="6"/>
      <c r="C161" s="6"/>
      <c r="D161" s="6"/>
      <c r="E161" s="6"/>
      <c r="F161" s="6"/>
    </row>
    <row r="162" spans="2:6" ht="13">
      <c r="B162" s="6"/>
      <c r="C162" s="6"/>
      <c r="D162" s="6"/>
      <c r="E162" s="6"/>
      <c r="F162" s="6"/>
    </row>
    <row r="163" spans="2:6" ht="13">
      <c r="B163" s="6"/>
      <c r="C163" s="6"/>
      <c r="D163" s="6"/>
      <c r="E163" s="6"/>
      <c r="F163" s="6"/>
    </row>
    <row r="164" spans="2:6" ht="13">
      <c r="B164" s="6"/>
      <c r="C164" s="6"/>
      <c r="D164" s="6"/>
      <c r="E164" s="6"/>
      <c r="F164" s="6"/>
    </row>
    <row r="165" spans="2:6" ht="13">
      <c r="B165" s="6"/>
      <c r="C165" s="6"/>
      <c r="D165" s="6"/>
      <c r="E165" s="6"/>
      <c r="F165" s="6"/>
    </row>
    <row r="166" spans="2:6" ht="13">
      <c r="B166" s="6"/>
      <c r="C166" s="6"/>
      <c r="D166" s="6"/>
      <c r="E166" s="6"/>
      <c r="F166" s="6"/>
    </row>
    <row r="167" spans="2:6" ht="13">
      <c r="B167" s="6"/>
      <c r="C167" s="6"/>
      <c r="D167" s="6"/>
      <c r="E167" s="6"/>
      <c r="F167" s="6"/>
    </row>
    <row r="168" spans="2:6" ht="13">
      <c r="B168" s="6"/>
      <c r="C168" s="6"/>
      <c r="D168" s="6"/>
      <c r="E168" s="6"/>
      <c r="F168" s="6"/>
    </row>
    <row r="169" spans="2:6" ht="13">
      <c r="B169" s="6"/>
      <c r="C169" s="6"/>
      <c r="D169" s="6"/>
      <c r="E169" s="6"/>
      <c r="F169" s="6"/>
    </row>
    <row r="170" spans="2:6" ht="13">
      <c r="B170" s="6"/>
      <c r="C170" s="6"/>
      <c r="D170" s="6"/>
      <c r="E170" s="6"/>
      <c r="F170" s="6"/>
    </row>
    <row r="171" spans="2:6" ht="13">
      <c r="B171" s="6"/>
      <c r="C171" s="6"/>
      <c r="D171" s="6"/>
      <c r="E171" s="6"/>
      <c r="F171" s="6"/>
    </row>
    <row r="172" spans="2:6" ht="13">
      <c r="B172" s="6"/>
      <c r="C172" s="6"/>
      <c r="D172" s="6"/>
      <c r="E172" s="6"/>
      <c r="F172" s="6"/>
    </row>
    <row r="173" spans="2:6" ht="13">
      <c r="B173" s="6"/>
      <c r="C173" s="6"/>
      <c r="D173" s="6"/>
      <c r="E173" s="6"/>
      <c r="F173" s="6"/>
    </row>
    <row r="174" spans="2:6" ht="13">
      <c r="B174" s="6"/>
      <c r="C174" s="6"/>
      <c r="D174" s="6"/>
      <c r="E174" s="6"/>
      <c r="F174" s="6"/>
    </row>
    <row r="175" spans="2:6" ht="13">
      <c r="B175" s="6"/>
      <c r="C175" s="6"/>
      <c r="D175" s="6"/>
      <c r="E175" s="6"/>
      <c r="F175" s="6"/>
    </row>
    <row r="176" spans="2:6" ht="13">
      <c r="B176" s="6"/>
      <c r="C176" s="6"/>
      <c r="D176" s="6"/>
      <c r="E176" s="6"/>
      <c r="F176" s="6"/>
    </row>
    <row r="177" spans="2:6" ht="13">
      <c r="B177" s="6"/>
      <c r="C177" s="6"/>
      <c r="D177" s="6"/>
      <c r="E177" s="6"/>
      <c r="F177" s="6"/>
    </row>
    <row r="178" spans="2:6" ht="13">
      <c r="B178" s="6"/>
      <c r="C178" s="6"/>
      <c r="D178" s="6"/>
      <c r="E178" s="6"/>
      <c r="F178" s="6"/>
    </row>
    <row r="179" spans="2:6" ht="13">
      <c r="B179" s="6"/>
      <c r="C179" s="6"/>
      <c r="D179" s="6"/>
      <c r="E179" s="6"/>
      <c r="F179" s="6"/>
    </row>
    <row r="180" spans="2:6" ht="13">
      <c r="B180" s="6"/>
      <c r="C180" s="6"/>
      <c r="D180" s="6"/>
      <c r="E180" s="6"/>
      <c r="F180" s="6"/>
    </row>
    <row r="181" spans="2:6" ht="13">
      <c r="B181" s="6"/>
      <c r="C181" s="6"/>
      <c r="D181" s="6"/>
      <c r="E181" s="6"/>
      <c r="F181" s="6"/>
    </row>
    <row r="182" spans="2:6" ht="13">
      <c r="B182" s="6"/>
      <c r="C182" s="6"/>
      <c r="D182" s="6"/>
      <c r="E182" s="6"/>
      <c r="F182" s="6"/>
    </row>
    <row r="183" spans="2:6" ht="13">
      <c r="B183" s="6"/>
      <c r="C183" s="6"/>
      <c r="D183" s="6"/>
      <c r="E183" s="6"/>
      <c r="F183" s="6"/>
    </row>
    <row r="184" spans="2:6" ht="13">
      <c r="B184" s="6"/>
      <c r="C184" s="6"/>
      <c r="D184" s="6"/>
      <c r="E184" s="6"/>
      <c r="F184" s="6"/>
    </row>
    <row r="185" spans="2:6" ht="13">
      <c r="B185" s="6"/>
      <c r="C185" s="6"/>
      <c r="D185" s="6"/>
      <c r="E185" s="6"/>
      <c r="F185" s="6"/>
    </row>
    <row r="186" spans="2:6" ht="13">
      <c r="B186" s="6"/>
      <c r="C186" s="6"/>
      <c r="D186" s="6"/>
      <c r="E186" s="6"/>
      <c r="F186" s="6"/>
    </row>
    <row r="187" spans="2:6" ht="13">
      <c r="B187" s="6"/>
      <c r="C187" s="6"/>
      <c r="D187" s="6"/>
      <c r="E187" s="6"/>
      <c r="F187" s="6"/>
    </row>
    <row r="188" spans="2:6" ht="13">
      <c r="B188" s="6"/>
      <c r="C188" s="6"/>
      <c r="D188" s="6"/>
      <c r="E188" s="6"/>
      <c r="F188" s="6"/>
    </row>
    <row r="189" spans="2:6" ht="13">
      <c r="B189" s="6"/>
      <c r="C189" s="6"/>
      <c r="D189" s="6"/>
      <c r="E189" s="6"/>
      <c r="F189" s="6"/>
    </row>
    <row r="190" spans="2:6" ht="13">
      <c r="B190" s="6"/>
      <c r="C190" s="6"/>
      <c r="D190" s="6"/>
      <c r="E190" s="6"/>
      <c r="F190" s="6"/>
    </row>
    <row r="191" spans="2:6" ht="13">
      <c r="B191" s="6"/>
      <c r="C191" s="6"/>
      <c r="D191" s="6"/>
      <c r="E191" s="6"/>
      <c r="F191" s="6"/>
    </row>
    <row r="192" spans="2:6" ht="13">
      <c r="B192" s="6"/>
      <c r="C192" s="6"/>
      <c r="D192" s="6"/>
      <c r="E192" s="6"/>
      <c r="F192" s="6"/>
    </row>
    <row r="193" spans="2:6" ht="13">
      <c r="B193" s="6"/>
      <c r="C193" s="6"/>
      <c r="D193" s="6"/>
      <c r="E193" s="6"/>
      <c r="F193" s="6"/>
    </row>
    <row r="194" spans="2:6" ht="13">
      <c r="B194" s="6"/>
      <c r="C194" s="6"/>
      <c r="D194" s="6"/>
      <c r="E194" s="6"/>
      <c r="F194" s="6"/>
    </row>
    <row r="195" spans="2:6" ht="13">
      <c r="B195" s="6"/>
      <c r="C195" s="6"/>
      <c r="D195" s="6"/>
      <c r="E195" s="6"/>
      <c r="F195" s="6"/>
    </row>
    <row r="196" spans="2:6" ht="13">
      <c r="B196" s="6"/>
      <c r="C196" s="6"/>
      <c r="D196" s="6"/>
      <c r="E196" s="6"/>
      <c r="F196" s="6"/>
    </row>
    <row r="197" spans="2:6" ht="13">
      <c r="B197" s="6"/>
      <c r="C197" s="6"/>
      <c r="D197" s="6"/>
      <c r="E197" s="6"/>
      <c r="F197" s="6"/>
    </row>
    <row r="198" spans="2:6" ht="13">
      <c r="B198" s="6"/>
      <c r="C198" s="6"/>
      <c r="D198" s="6"/>
      <c r="E198" s="6"/>
      <c r="F198" s="6"/>
    </row>
    <row r="199" spans="2:6" ht="13">
      <c r="B199" s="6"/>
      <c r="C199" s="6"/>
      <c r="D199" s="6"/>
      <c r="E199" s="6"/>
      <c r="F199" s="6"/>
    </row>
    <row r="200" spans="2:6" ht="13">
      <c r="B200" s="6"/>
      <c r="C200" s="6"/>
      <c r="D200" s="6"/>
      <c r="E200" s="6"/>
      <c r="F200" s="6"/>
    </row>
    <row r="201" spans="2:6" ht="13">
      <c r="B201" s="6"/>
      <c r="C201" s="6"/>
      <c r="D201" s="6"/>
      <c r="E201" s="6"/>
      <c r="F201" s="6"/>
    </row>
    <row r="202" spans="2:6" ht="13">
      <c r="B202" s="6"/>
      <c r="C202" s="6"/>
      <c r="D202" s="6"/>
      <c r="E202" s="6"/>
      <c r="F202" s="6"/>
    </row>
    <row r="203" spans="2:6" ht="13">
      <c r="B203" s="6"/>
      <c r="C203" s="6"/>
      <c r="D203" s="6"/>
      <c r="E203" s="6"/>
      <c r="F203" s="6"/>
    </row>
    <row r="204" spans="2:6" ht="13">
      <c r="B204" s="6"/>
      <c r="C204" s="6"/>
      <c r="D204" s="6"/>
      <c r="E204" s="6"/>
      <c r="F204" s="6"/>
    </row>
    <row r="205" spans="2:6" ht="13">
      <c r="B205" s="6"/>
      <c r="C205" s="6"/>
      <c r="D205" s="6"/>
      <c r="E205" s="6"/>
      <c r="F205" s="6"/>
    </row>
    <row r="206" spans="2:6" ht="13">
      <c r="B206" s="6"/>
      <c r="C206" s="6"/>
      <c r="D206" s="6"/>
      <c r="E206" s="6"/>
      <c r="F206" s="6"/>
    </row>
    <row r="207" spans="2:6" ht="13">
      <c r="B207" s="6"/>
      <c r="C207" s="6"/>
      <c r="D207" s="6"/>
      <c r="E207" s="6"/>
      <c r="F207" s="6"/>
    </row>
    <row r="208" spans="2:6" ht="13">
      <c r="B208" s="6"/>
      <c r="C208" s="6"/>
      <c r="D208" s="6"/>
      <c r="E208" s="6"/>
      <c r="F208" s="6"/>
    </row>
    <row r="209" spans="2:6" ht="13">
      <c r="B209" s="6"/>
      <c r="C209" s="6"/>
      <c r="D209" s="6"/>
      <c r="E209" s="6"/>
      <c r="F209" s="6"/>
    </row>
    <row r="210" spans="2:6" ht="13">
      <c r="B210" s="6"/>
      <c r="C210" s="6"/>
      <c r="D210" s="6"/>
      <c r="E210" s="6"/>
      <c r="F210" s="6"/>
    </row>
    <row r="211" spans="2:6" ht="13">
      <c r="B211" s="6"/>
      <c r="C211" s="6"/>
      <c r="D211" s="6"/>
      <c r="E211" s="6"/>
      <c r="F211" s="6"/>
    </row>
    <row r="212" spans="2:6" ht="13">
      <c r="B212" s="6"/>
      <c r="C212" s="6"/>
      <c r="D212" s="6"/>
      <c r="E212" s="6"/>
      <c r="F212" s="6"/>
    </row>
    <row r="213" spans="2:6" ht="13">
      <c r="B213" s="6"/>
      <c r="C213" s="6"/>
      <c r="D213" s="6"/>
      <c r="E213" s="6"/>
      <c r="F213" s="6"/>
    </row>
    <row r="214" spans="2:6" ht="13">
      <c r="B214" s="6"/>
      <c r="C214" s="6"/>
      <c r="D214" s="6"/>
      <c r="E214" s="6"/>
      <c r="F214" s="6"/>
    </row>
    <row r="215" spans="2:6" ht="13">
      <c r="B215" s="6"/>
      <c r="C215" s="6"/>
      <c r="D215" s="6"/>
      <c r="E215" s="6"/>
      <c r="F215" s="6"/>
    </row>
    <row r="216" spans="2:6" ht="13">
      <c r="B216" s="6"/>
      <c r="C216" s="6"/>
      <c r="D216" s="6"/>
      <c r="E216" s="6"/>
      <c r="F216" s="6"/>
    </row>
    <row r="217" spans="2:6" ht="13">
      <c r="B217" s="6"/>
      <c r="C217" s="6"/>
      <c r="D217" s="6"/>
      <c r="E217" s="6"/>
      <c r="F217" s="6"/>
    </row>
    <row r="218" spans="2:6" ht="13">
      <c r="B218" s="6"/>
      <c r="C218" s="6"/>
      <c r="D218" s="6"/>
      <c r="E218" s="6"/>
      <c r="F218" s="6"/>
    </row>
    <row r="219" spans="2:6" ht="13">
      <c r="B219" s="6"/>
      <c r="C219" s="6"/>
      <c r="D219" s="6"/>
      <c r="E219" s="6"/>
      <c r="F219" s="6"/>
    </row>
    <row r="220" spans="2:6" ht="13">
      <c r="B220" s="6"/>
      <c r="C220" s="6"/>
      <c r="D220" s="6"/>
      <c r="E220" s="6"/>
      <c r="F220" s="6"/>
    </row>
    <row r="221" spans="2:6" ht="13">
      <c r="B221" s="6"/>
      <c r="C221" s="6"/>
      <c r="D221" s="6"/>
      <c r="E221" s="6"/>
      <c r="F221" s="6"/>
    </row>
    <row r="222" spans="2:6" ht="13">
      <c r="B222" s="6"/>
      <c r="C222" s="6"/>
      <c r="D222" s="6"/>
      <c r="E222" s="6"/>
      <c r="F222" s="6"/>
    </row>
    <row r="223" spans="2:6" ht="13">
      <c r="B223" s="6"/>
      <c r="C223" s="6"/>
      <c r="D223" s="6"/>
      <c r="E223" s="6"/>
      <c r="F223" s="6"/>
    </row>
    <row r="224" spans="2:6" ht="13">
      <c r="B224" s="6"/>
      <c r="C224" s="6"/>
      <c r="D224" s="6"/>
      <c r="E224" s="6"/>
      <c r="F224" s="6"/>
    </row>
    <row r="225" spans="2:6" ht="13">
      <c r="B225" s="6"/>
      <c r="C225" s="6"/>
      <c r="D225" s="6"/>
      <c r="E225" s="6"/>
      <c r="F225" s="6"/>
    </row>
    <row r="226" spans="2:6" ht="13">
      <c r="B226" s="6"/>
      <c r="C226" s="6"/>
      <c r="D226" s="6"/>
      <c r="E226" s="6"/>
      <c r="F226" s="6"/>
    </row>
    <row r="227" spans="2:6" ht="13">
      <c r="B227" s="6"/>
      <c r="C227" s="6"/>
      <c r="D227" s="6"/>
      <c r="E227" s="6"/>
      <c r="F227" s="6"/>
    </row>
    <row r="228" spans="2:6" ht="13">
      <c r="B228" s="6"/>
      <c r="C228" s="6"/>
      <c r="D228" s="6"/>
      <c r="E228" s="6"/>
      <c r="F228" s="6"/>
    </row>
    <row r="229" spans="2:6" ht="13">
      <c r="B229" s="6"/>
      <c r="C229" s="6"/>
      <c r="D229" s="6"/>
      <c r="E229" s="6"/>
      <c r="F229" s="6"/>
    </row>
    <row r="230" spans="2:6" ht="13">
      <c r="B230" s="6"/>
      <c r="C230" s="6"/>
      <c r="D230" s="6"/>
      <c r="E230" s="6"/>
      <c r="F230" s="6"/>
    </row>
    <row r="231" spans="2:6" ht="13">
      <c r="B231" s="6"/>
      <c r="C231" s="6"/>
      <c r="D231" s="6"/>
      <c r="E231" s="6"/>
      <c r="F231" s="6"/>
    </row>
    <row r="232" spans="2:6" ht="13">
      <c r="B232" s="6"/>
      <c r="C232" s="6"/>
      <c r="D232" s="6"/>
      <c r="E232" s="6"/>
      <c r="F232" s="6"/>
    </row>
    <row r="233" spans="2:6" ht="13">
      <c r="B233" s="6"/>
      <c r="C233" s="6"/>
      <c r="D233" s="6"/>
      <c r="E233" s="6"/>
      <c r="F233" s="6"/>
    </row>
    <row r="234" spans="2:6" ht="13">
      <c r="B234" s="6"/>
      <c r="C234" s="6"/>
      <c r="D234" s="6"/>
      <c r="E234" s="6"/>
      <c r="F234" s="6"/>
    </row>
    <row r="235" spans="2:6" ht="13">
      <c r="B235" s="6"/>
      <c r="C235" s="6"/>
      <c r="D235" s="6"/>
      <c r="E235" s="6"/>
      <c r="F235" s="6"/>
    </row>
    <row r="236" spans="2:6" ht="13">
      <c r="B236" s="6"/>
      <c r="C236" s="6"/>
      <c r="D236" s="6"/>
      <c r="E236" s="6"/>
      <c r="F236" s="6"/>
    </row>
    <row r="237" spans="2:6" ht="13">
      <c r="B237" s="6"/>
      <c r="C237" s="6"/>
      <c r="D237" s="6"/>
      <c r="E237" s="6"/>
      <c r="F237" s="6"/>
    </row>
    <row r="238" spans="2:6" ht="13">
      <c r="B238" s="6"/>
      <c r="C238" s="6"/>
      <c r="D238" s="6"/>
      <c r="E238" s="6"/>
      <c r="F238" s="6"/>
    </row>
    <row r="239" spans="2:6" ht="13">
      <c r="B239" s="6"/>
      <c r="C239" s="6"/>
      <c r="D239" s="6"/>
      <c r="E239" s="6"/>
      <c r="F239" s="6"/>
    </row>
    <row r="240" spans="2:6" ht="13">
      <c r="B240" s="6"/>
      <c r="C240" s="6"/>
      <c r="D240" s="6"/>
      <c r="E240" s="6"/>
      <c r="F240" s="6"/>
    </row>
    <row r="241" spans="2:6" ht="13">
      <c r="B241" s="6"/>
      <c r="C241" s="6"/>
      <c r="D241" s="6"/>
      <c r="E241" s="6"/>
      <c r="F241" s="6"/>
    </row>
    <row r="242" spans="2:6" ht="13">
      <c r="B242" s="6"/>
      <c r="C242" s="6"/>
      <c r="D242" s="6"/>
      <c r="E242" s="6"/>
      <c r="F242" s="6"/>
    </row>
    <row r="243" spans="2:6" ht="13">
      <c r="B243" s="6"/>
      <c r="C243" s="6"/>
      <c r="D243" s="6"/>
      <c r="E243" s="6"/>
      <c r="F243" s="6"/>
    </row>
    <row r="244" spans="2:6" ht="13">
      <c r="B244" s="6"/>
      <c r="C244" s="6"/>
      <c r="D244" s="6"/>
      <c r="E244" s="6"/>
      <c r="F244" s="6"/>
    </row>
    <row r="245" spans="2:6" ht="13">
      <c r="B245" s="6"/>
      <c r="C245" s="6"/>
      <c r="D245" s="6"/>
      <c r="E245" s="6"/>
      <c r="F245" s="6"/>
    </row>
    <row r="246" spans="2:6" ht="13">
      <c r="B246" s="6"/>
      <c r="C246" s="6"/>
      <c r="D246" s="6"/>
      <c r="E246" s="6"/>
      <c r="F246" s="6"/>
    </row>
    <row r="247" spans="2:6" ht="13">
      <c r="B247" s="6"/>
      <c r="C247" s="6"/>
      <c r="D247" s="6"/>
      <c r="E247" s="6"/>
      <c r="F247" s="6"/>
    </row>
    <row r="248" spans="2:6" ht="13">
      <c r="B248" s="6"/>
      <c r="C248" s="6"/>
      <c r="D248" s="6"/>
      <c r="E248" s="6"/>
      <c r="F248" s="6"/>
    </row>
    <row r="249" spans="2:6" ht="13">
      <c r="B249" s="6"/>
      <c r="C249" s="6"/>
      <c r="D249" s="6"/>
      <c r="E249" s="6"/>
      <c r="F249" s="6"/>
    </row>
    <row r="250" spans="2:6" ht="13">
      <c r="B250" s="6"/>
      <c r="C250" s="6"/>
      <c r="D250" s="6"/>
      <c r="E250" s="6"/>
      <c r="F250" s="6"/>
    </row>
    <row r="251" spans="2:6" ht="13">
      <c r="B251" s="6"/>
      <c r="C251" s="6"/>
      <c r="D251" s="6"/>
      <c r="E251" s="6"/>
      <c r="F251" s="6"/>
    </row>
    <row r="252" spans="2:6" ht="13">
      <c r="B252" s="6"/>
      <c r="C252" s="6"/>
      <c r="D252" s="6"/>
      <c r="E252" s="6"/>
      <c r="F252" s="6"/>
    </row>
    <row r="253" spans="2:6" ht="13">
      <c r="B253" s="6"/>
      <c r="C253" s="6"/>
      <c r="D253" s="6"/>
      <c r="E253" s="6"/>
      <c r="F253" s="6"/>
    </row>
    <row r="254" spans="2:6" ht="13">
      <c r="B254" s="6"/>
      <c r="C254" s="6"/>
      <c r="D254" s="6"/>
      <c r="E254" s="6"/>
      <c r="F254" s="6"/>
    </row>
    <row r="255" spans="2:6" ht="13">
      <c r="B255" s="6"/>
      <c r="C255" s="6"/>
      <c r="D255" s="6"/>
      <c r="E255" s="6"/>
      <c r="F255" s="6"/>
    </row>
    <row r="256" spans="2:6" ht="13">
      <c r="B256" s="6"/>
      <c r="C256" s="6"/>
      <c r="D256" s="6"/>
      <c r="E256" s="6"/>
      <c r="F256" s="6"/>
    </row>
    <row r="257" spans="2:6" ht="13">
      <c r="B257" s="6"/>
      <c r="C257" s="6"/>
      <c r="D257" s="6"/>
      <c r="E257" s="6"/>
      <c r="F257" s="6"/>
    </row>
    <row r="258" spans="2:6" ht="13">
      <c r="B258" s="6"/>
      <c r="C258" s="6"/>
      <c r="D258" s="6"/>
      <c r="E258" s="6"/>
      <c r="F258" s="6"/>
    </row>
    <row r="259" spans="2:6" ht="13">
      <c r="B259" s="6"/>
      <c r="C259" s="6"/>
      <c r="D259" s="6"/>
      <c r="E259" s="6"/>
      <c r="F259" s="6"/>
    </row>
    <row r="260" spans="2:6" ht="13">
      <c r="B260" s="6"/>
      <c r="C260" s="6"/>
      <c r="D260" s="6"/>
      <c r="E260" s="6"/>
      <c r="F260" s="6"/>
    </row>
    <row r="261" spans="2:6" ht="13">
      <c r="B261" s="6"/>
      <c r="C261" s="6"/>
      <c r="D261" s="6"/>
      <c r="E261" s="6"/>
      <c r="F261" s="6"/>
    </row>
    <row r="262" spans="2:6" ht="13">
      <c r="B262" s="6"/>
      <c r="C262" s="6"/>
      <c r="D262" s="6"/>
      <c r="E262" s="6"/>
      <c r="F262" s="6"/>
    </row>
    <row r="263" spans="2:6" ht="13">
      <c r="B263" s="6"/>
      <c r="C263" s="6"/>
      <c r="D263" s="6"/>
      <c r="E263" s="6"/>
      <c r="F263" s="6"/>
    </row>
    <row r="264" spans="2:6" ht="13">
      <c r="B264" s="6"/>
      <c r="C264" s="6"/>
      <c r="D264" s="6"/>
      <c r="E264" s="6"/>
      <c r="F264" s="6"/>
    </row>
    <row r="265" spans="2:6" ht="13">
      <c r="B265" s="6"/>
      <c r="C265" s="6"/>
      <c r="D265" s="6"/>
      <c r="E265" s="6"/>
      <c r="F265" s="6"/>
    </row>
    <row r="266" spans="2:6" ht="13">
      <c r="B266" s="6"/>
      <c r="C266" s="6"/>
      <c r="D266" s="6"/>
      <c r="E266" s="6"/>
      <c r="F266" s="6"/>
    </row>
    <row r="267" spans="2:6" ht="13">
      <c r="B267" s="6"/>
      <c r="C267" s="6"/>
      <c r="D267" s="6"/>
      <c r="E267" s="6"/>
      <c r="F267" s="6"/>
    </row>
    <row r="268" spans="2:6" ht="13">
      <c r="B268" s="6"/>
      <c r="C268" s="6"/>
      <c r="D268" s="6"/>
      <c r="E268" s="6"/>
      <c r="F268" s="6"/>
    </row>
    <row r="269" spans="2:6" ht="13">
      <c r="B269" s="6"/>
      <c r="C269" s="6"/>
      <c r="D269" s="6"/>
      <c r="E269" s="6"/>
      <c r="F269" s="6"/>
    </row>
    <row r="270" spans="2:6" ht="13">
      <c r="B270" s="6"/>
      <c r="C270" s="6"/>
      <c r="D270" s="6"/>
      <c r="E270" s="6"/>
      <c r="F270" s="6"/>
    </row>
    <row r="271" spans="2:6" ht="13">
      <c r="B271" s="6"/>
      <c r="C271" s="6"/>
      <c r="D271" s="6"/>
      <c r="E271" s="6"/>
      <c r="F271" s="6"/>
    </row>
    <row r="272" spans="2:6" ht="13">
      <c r="B272" s="6"/>
      <c r="C272" s="6"/>
      <c r="D272" s="6"/>
      <c r="E272" s="6"/>
      <c r="F272" s="6"/>
    </row>
    <row r="273" spans="2:6" ht="13">
      <c r="B273" s="6"/>
      <c r="C273" s="6"/>
      <c r="D273" s="6"/>
      <c r="E273" s="6"/>
      <c r="F273" s="6"/>
    </row>
    <row r="274" spans="2:6" ht="13">
      <c r="B274" s="6"/>
      <c r="C274" s="6"/>
      <c r="D274" s="6"/>
      <c r="E274" s="6"/>
      <c r="F274" s="6"/>
    </row>
    <row r="275" spans="2:6" ht="13">
      <c r="B275" s="6"/>
      <c r="C275" s="6"/>
      <c r="D275" s="6"/>
      <c r="E275" s="6"/>
      <c r="F275" s="6"/>
    </row>
    <row r="276" spans="2:6" ht="13">
      <c r="B276" s="6"/>
      <c r="C276" s="6"/>
      <c r="D276" s="6"/>
      <c r="E276" s="6"/>
      <c r="F276" s="6"/>
    </row>
    <row r="277" spans="2:6" ht="13">
      <c r="B277" s="6"/>
      <c r="C277" s="6"/>
      <c r="D277" s="6"/>
      <c r="E277" s="6"/>
      <c r="F277" s="6"/>
    </row>
    <row r="278" spans="2:6" ht="13">
      <c r="B278" s="6"/>
      <c r="C278" s="6"/>
      <c r="D278" s="6"/>
      <c r="E278" s="6"/>
      <c r="F278" s="6"/>
    </row>
    <row r="279" spans="2:6" ht="13">
      <c r="B279" s="6"/>
      <c r="C279" s="6"/>
      <c r="D279" s="6"/>
      <c r="E279" s="6"/>
      <c r="F279" s="6"/>
    </row>
    <row r="280" spans="2:6" ht="13">
      <c r="B280" s="6"/>
      <c r="C280" s="6"/>
      <c r="D280" s="6"/>
      <c r="E280" s="6"/>
      <c r="F280" s="6"/>
    </row>
    <row r="281" spans="2:6" ht="13">
      <c r="B281" s="6"/>
      <c r="C281" s="6"/>
      <c r="D281" s="6"/>
      <c r="E281" s="6"/>
      <c r="F281" s="6"/>
    </row>
    <row r="282" spans="2:6" ht="13">
      <c r="B282" s="6"/>
      <c r="C282" s="6"/>
      <c r="D282" s="6"/>
      <c r="E282" s="6"/>
      <c r="F282" s="6"/>
    </row>
    <row r="283" spans="2:6" ht="13">
      <c r="B283" s="6"/>
      <c r="C283" s="6"/>
      <c r="D283" s="6"/>
      <c r="E283" s="6"/>
      <c r="F283" s="6"/>
    </row>
    <row r="284" spans="2:6" ht="13">
      <c r="B284" s="6"/>
      <c r="C284" s="6"/>
      <c r="D284" s="6"/>
      <c r="E284" s="6"/>
      <c r="F284" s="6"/>
    </row>
    <row r="285" spans="2:6" ht="13">
      <c r="B285" s="6"/>
      <c r="C285" s="6"/>
      <c r="D285" s="6"/>
      <c r="E285" s="6"/>
      <c r="F285" s="6"/>
    </row>
    <row r="286" spans="2:6" ht="13">
      <c r="B286" s="6"/>
      <c r="C286" s="6"/>
      <c r="D286" s="6"/>
      <c r="E286" s="6"/>
      <c r="F286" s="6"/>
    </row>
    <row r="287" spans="2:6" ht="13">
      <c r="B287" s="6"/>
      <c r="C287" s="6"/>
      <c r="D287" s="6"/>
      <c r="E287" s="6"/>
      <c r="F287" s="6"/>
    </row>
    <row r="288" spans="2:6" ht="13">
      <c r="B288" s="6"/>
      <c r="C288" s="6"/>
      <c r="D288" s="6"/>
      <c r="E288" s="6"/>
      <c r="F288" s="6"/>
    </row>
    <row r="289" spans="2:6" ht="13">
      <c r="B289" s="6"/>
      <c r="C289" s="6"/>
      <c r="D289" s="6"/>
      <c r="E289" s="6"/>
      <c r="F289" s="6"/>
    </row>
    <row r="290" spans="2:6" ht="13">
      <c r="B290" s="6"/>
      <c r="C290" s="6"/>
      <c r="D290" s="6"/>
      <c r="E290" s="6"/>
      <c r="F290" s="6"/>
    </row>
    <row r="291" spans="2:6" ht="13">
      <c r="B291" s="6"/>
      <c r="C291" s="6"/>
      <c r="D291" s="6"/>
      <c r="E291" s="6"/>
      <c r="F291" s="6"/>
    </row>
    <row r="292" spans="2:6" ht="13">
      <c r="B292" s="6"/>
      <c r="C292" s="6"/>
      <c r="D292" s="6"/>
      <c r="E292" s="6"/>
      <c r="F292" s="6"/>
    </row>
    <row r="293" spans="2:6" ht="13">
      <c r="B293" s="6"/>
      <c r="C293" s="6"/>
      <c r="D293" s="6"/>
      <c r="E293" s="6"/>
      <c r="F293" s="6"/>
    </row>
    <row r="294" spans="2:6" ht="13">
      <c r="B294" s="6"/>
      <c r="C294" s="6"/>
      <c r="D294" s="6"/>
      <c r="E294" s="6"/>
      <c r="F294" s="6"/>
    </row>
    <row r="295" spans="2:6" ht="13">
      <c r="B295" s="6"/>
      <c r="C295" s="6"/>
      <c r="D295" s="6"/>
      <c r="E295" s="6"/>
      <c r="F295" s="6"/>
    </row>
    <row r="296" spans="2:6" ht="13">
      <c r="B296" s="6"/>
      <c r="C296" s="6"/>
      <c r="D296" s="6"/>
      <c r="E296" s="6"/>
      <c r="F296" s="6"/>
    </row>
    <row r="297" spans="2:6" ht="13">
      <c r="B297" s="6"/>
      <c r="C297" s="6"/>
      <c r="D297" s="6"/>
      <c r="E297" s="6"/>
      <c r="F297" s="6"/>
    </row>
    <row r="298" spans="2:6" ht="13">
      <c r="B298" s="6"/>
      <c r="C298" s="6"/>
      <c r="D298" s="6"/>
      <c r="E298" s="6"/>
      <c r="F298" s="6"/>
    </row>
    <row r="299" spans="2:6" ht="13">
      <c r="B299" s="6"/>
      <c r="C299" s="6"/>
      <c r="D299" s="6"/>
      <c r="E299" s="6"/>
      <c r="F299" s="6"/>
    </row>
    <row r="300" spans="2:6" ht="13">
      <c r="B300" s="6"/>
      <c r="C300" s="6"/>
      <c r="D300" s="6"/>
      <c r="E300" s="6"/>
      <c r="F300" s="6"/>
    </row>
    <row r="301" spans="2:6" ht="13">
      <c r="B301" s="6"/>
      <c r="C301" s="6"/>
      <c r="D301" s="6"/>
      <c r="E301" s="6"/>
      <c r="F301" s="6"/>
    </row>
    <row r="302" spans="2:6" ht="13">
      <c r="B302" s="6"/>
      <c r="C302" s="6"/>
      <c r="D302" s="6"/>
      <c r="E302" s="6"/>
      <c r="F302" s="6"/>
    </row>
    <row r="303" spans="2:6" ht="13">
      <c r="B303" s="6"/>
      <c r="C303" s="6"/>
      <c r="D303" s="6"/>
      <c r="E303" s="6"/>
      <c r="F303" s="6"/>
    </row>
    <row r="304" spans="2:6" ht="13">
      <c r="B304" s="6"/>
      <c r="C304" s="6"/>
      <c r="D304" s="6"/>
      <c r="E304" s="6"/>
      <c r="F304" s="6"/>
    </row>
    <row r="305" spans="2:6" ht="13">
      <c r="B305" s="6"/>
      <c r="C305" s="6"/>
      <c r="D305" s="6"/>
      <c r="E305" s="6"/>
      <c r="F305" s="6"/>
    </row>
    <row r="306" spans="2:6" ht="13">
      <c r="B306" s="6"/>
      <c r="C306" s="6"/>
      <c r="D306" s="6"/>
      <c r="E306" s="6"/>
      <c r="F306" s="6"/>
    </row>
    <row r="307" spans="2:6" ht="13">
      <c r="B307" s="6"/>
      <c r="C307" s="6"/>
      <c r="D307" s="6"/>
      <c r="E307" s="6"/>
      <c r="F307" s="6"/>
    </row>
    <row r="308" spans="2:6" ht="13">
      <c r="B308" s="6"/>
      <c r="C308" s="6"/>
      <c r="D308" s="6"/>
      <c r="E308" s="6"/>
      <c r="F308" s="6"/>
    </row>
    <row r="309" spans="2:6" ht="13">
      <c r="B309" s="6"/>
      <c r="C309" s="6"/>
      <c r="D309" s="6"/>
      <c r="E309" s="6"/>
      <c r="F309" s="6"/>
    </row>
    <row r="310" spans="2:6" ht="13">
      <c r="B310" s="6"/>
      <c r="C310" s="6"/>
      <c r="D310" s="6"/>
      <c r="E310" s="6"/>
      <c r="F310" s="6"/>
    </row>
    <row r="311" spans="2:6" ht="13">
      <c r="B311" s="6"/>
      <c r="C311" s="6"/>
      <c r="D311" s="6"/>
      <c r="E311" s="6"/>
      <c r="F311" s="6"/>
    </row>
    <row r="312" spans="2:6" ht="13">
      <c r="B312" s="6"/>
      <c r="C312" s="6"/>
      <c r="D312" s="6"/>
      <c r="E312" s="6"/>
      <c r="F312" s="6"/>
    </row>
    <row r="313" spans="2:6" ht="13">
      <c r="B313" s="6"/>
      <c r="C313" s="6"/>
      <c r="D313" s="6"/>
      <c r="E313" s="6"/>
      <c r="F313" s="6"/>
    </row>
    <row r="314" spans="2:6" ht="13">
      <c r="B314" s="6"/>
      <c r="C314" s="6"/>
      <c r="D314" s="6"/>
      <c r="E314" s="6"/>
      <c r="F314" s="6"/>
    </row>
    <row r="315" spans="2:6" ht="13">
      <c r="B315" s="6"/>
      <c r="C315" s="6"/>
      <c r="D315" s="6"/>
      <c r="E315" s="6"/>
      <c r="F315" s="6"/>
    </row>
    <row r="316" spans="2:6" ht="13">
      <c r="B316" s="6"/>
      <c r="C316" s="6"/>
      <c r="D316" s="6"/>
      <c r="E316" s="6"/>
      <c r="F316" s="6"/>
    </row>
    <row r="317" spans="2:6" ht="13">
      <c r="B317" s="6"/>
      <c r="C317" s="6"/>
      <c r="D317" s="6"/>
      <c r="E317" s="6"/>
      <c r="F317" s="6"/>
    </row>
    <row r="318" spans="2:6" ht="13">
      <c r="B318" s="6"/>
      <c r="C318" s="6"/>
      <c r="D318" s="6"/>
      <c r="E318" s="6"/>
      <c r="F318" s="6"/>
    </row>
    <row r="319" spans="2:6" ht="13">
      <c r="B319" s="6"/>
      <c r="C319" s="6"/>
      <c r="D319" s="6"/>
      <c r="E319" s="6"/>
      <c r="F319" s="6"/>
    </row>
    <row r="320" spans="2:6" ht="13">
      <c r="B320" s="6"/>
      <c r="C320" s="6"/>
      <c r="D320" s="6"/>
      <c r="E320" s="6"/>
      <c r="F320" s="6"/>
    </row>
    <row r="321" spans="2:6" ht="13">
      <c r="B321" s="6"/>
      <c r="C321" s="6"/>
      <c r="D321" s="6"/>
      <c r="E321" s="6"/>
      <c r="F321" s="6"/>
    </row>
    <row r="322" spans="2:6" ht="13">
      <c r="B322" s="6"/>
      <c r="C322" s="6"/>
      <c r="D322" s="6"/>
      <c r="E322" s="6"/>
      <c r="F322" s="6"/>
    </row>
    <row r="323" spans="2:6" ht="13">
      <c r="B323" s="6"/>
      <c r="C323" s="6"/>
      <c r="D323" s="6"/>
      <c r="E323" s="6"/>
      <c r="F323" s="6"/>
    </row>
    <row r="324" spans="2:6" ht="13">
      <c r="B324" s="6"/>
      <c r="C324" s="6"/>
      <c r="D324" s="6"/>
      <c r="E324" s="6"/>
      <c r="F324" s="6"/>
    </row>
    <row r="325" spans="2:6" ht="13">
      <c r="B325" s="6"/>
      <c r="C325" s="6"/>
      <c r="D325" s="6"/>
      <c r="E325" s="6"/>
      <c r="F325" s="6"/>
    </row>
    <row r="326" spans="2:6" ht="13">
      <c r="B326" s="6"/>
      <c r="C326" s="6"/>
      <c r="D326" s="6"/>
      <c r="E326" s="6"/>
      <c r="F326" s="6"/>
    </row>
    <row r="327" spans="2:6" ht="13">
      <c r="B327" s="6"/>
      <c r="C327" s="6"/>
      <c r="D327" s="6"/>
      <c r="E327" s="6"/>
      <c r="F327" s="6"/>
    </row>
    <row r="328" spans="2:6" ht="13">
      <c r="B328" s="6"/>
      <c r="C328" s="6"/>
      <c r="D328" s="6"/>
      <c r="E328" s="6"/>
      <c r="F328" s="6"/>
    </row>
    <row r="329" spans="2:6" ht="13">
      <c r="B329" s="6"/>
      <c r="C329" s="6"/>
      <c r="D329" s="6"/>
      <c r="E329" s="6"/>
      <c r="F329" s="6"/>
    </row>
    <row r="330" spans="2:6" ht="13">
      <c r="B330" s="6"/>
      <c r="C330" s="6"/>
      <c r="D330" s="6"/>
      <c r="E330" s="6"/>
      <c r="F330" s="6"/>
    </row>
    <row r="331" spans="2:6" ht="13">
      <c r="B331" s="6"/>
      <c r="C331" s="6"/>
      <c r="D331" s="6"/>
      <c r="E331" s="6"/>
      <c r="F331" s="6"/>
    </row>
    <row r="332" spans="2:6" ht="13">
      <c r="B332" s="6"/>
      <c r="C332" s="6"/>
      <c r="D332" s="6"/>
      <c r="E332" s="6"/>
      <c r="F332" s="6"/>
    </row>
    <row r="333" spans="2:6" ht="13">
      <c r="B333" s="6"/>
      <c r="C333" s="6"/>
      <c r="D333" s="6"/>
      <c r="E333" s="6"/>
      <c r="F333" s="6"/>
    </row>
    <row r="334" spans="2:6" ht="13">
      <c r="B334" s="6"/>
      <c r="C334" s="6"/>
      <c r="D334" s="6"/>
      <c r="E334" s="6"/>
      <c r="F334" s="6"/>
    </row>
    <row r="335" spans="2:6" ht="13">
      <c r="B335" s="6"/>
      <c r="C335" s="6"/>
      <c r="D335" s="6"/>
      <c r="E335" s="6"/>
      <c r="F335" s="6"/>
    </row>
    <row r="336" spans="2:6" ht="13">
      <c r="B336" s="6"/>
      <c r="C336" s="6"/>
      <c r="D336" s="6"/>
      <c r="E336" s="6"/>
      <c r="F336" s="6"/>
    </row>
    <row r="337" spans="2:6" ht="13">
      <c r="B337" s="6"/>
      <c r="C337" s="6"/>
      <c r="D337" s="6"/>
      <c r="E337" s="6"/>
      <c r="F337" s="6"/>
    </row>
    <row r="338" spans="2:6" ht="13">
      <c r="B338" s="6"/>
      <c r="C338" s="6"/>
      <c r="D338" s="6"/>
      <c r="E338" s="6"/>
      <c r="F338" s="6"/>
    </row>
    <row r="339" spans="2:6" ht="13">
      <c r="B339" s="6"/>
      <c r="C339" s="6"/>
      <c r="D339" s="6"/>
      <c r="E339" s="6"/>
      <c r="F339" s="6"/>
    </row>
    <row r="340" spans="2:6" ht="13">
      <c r="B340" s="6"/>
      <c r="C340" s="6"/>
      <c r="D340" s="6"/>
      <c r="E340" s="6"/>
      <c r="F340" s="6"/>
    </row>
    <row r="341" spans="2:6" ht="13">
      <c r="B341" s="6"/>
      <c r="C341" s="6"/>
      <c r="D341" s="6"/>
      <c r="E341" s="6"/>
      <c r="F341" s="6"/>
    </row>
    <row r="342" spans="2:6" ht="13">
      <c r="B342" s="6"/>
      <c r="C342" s="6"/>
      <c r="D342" s="6"/>
      <c r="E342" s="6"/>
      <c r="F342" s="6"/>
    </row>
    <row r="343" spans="2:6" ht="13">
      <c r="B343" s="6"/>
      <c r="C343" s="6"/>
      <c r="D343" s="6"/>
      <c r="E343" s="6"/>
      <c r="F343" s="6"/>
    </row>
    <row r="344" spans="2:6" ht="13">
      <c r="B344" s="6"/>
      <c r="C344" s="6"/>
      <c r="D344" s="6"/>
      <c r="E344" s="6"/>
      <c r="F344" s="6"/>
    </row>
    <row r="345" spans="2:6" ht="13">
      <c r="B345" s="6"/>
      <c r="C345" s="6"/>
      <c r="D345" s="6"/>
      <c r="E345" s="6"/>
      <c r="F345" s="6"/>
    </row>
    <row r="346" spans="2:6" ht="13">
      <c r="B346" s="6"/>
      <c r="C346" s="6"/>
      <c r="D346" s="6"/>
      <c r="E346" s="6"/>
      <c r="F346" s="6"/>
    </row>
    <row r="347" spans="2:6" ht="13">
      <c r="B347" s="6"/>
      <c r="C347" s="6"/>
      <c r="D347" s="6"/>
      <c r="E347" s="6"/>
      <c r="F347" s="6"/>
    </row>
    <row r="348" spans="2:6" ht="13">
      <c r="B348" s="6"/>
      <c r="C348" s="6"/>
      <c r="D348" s="6"/>
      <c r="E348" s="6"/>
      <c r="F348" s="6"/>
    </row>
    <row r="349" spans="2:6" ht="13">
      <c r="B349" s="6"/>
      <c r="C349" s="6"/>
      <c r="D349" s="6"/>
      <c r="E349" s="6"/>
      <c r="F349" s="6"/>
    </row>
    <row r="350" spans="2:6" ht="13">
      <c r="B350" s="6"/>
      <c r="C350" s="6"/>
      <c r="D350" s="6"/>
      <c r="E350" s="6"/>
      <c r="F350" s="6"/>
    </row>
    <row r="351" spans="2:6" ht="13">
      <c r="B351" s="6"/>
      <c r="C351" s="6"/>
      <c r="D351" s="6"/>
      <c r="E351" s="6"/>
      <c r="F351" s="6"/>
    </row>
    <row r="352" spans="2:6" ht="13">
      <c r="B352" s="6"/>
      <c r="C352" s="6"/>
      <c r="D352" s="6"/>
      <c r="E352" s="6"/>
      <c r="F352" s="6"/>
    </row>
    <row r="353" spans="2:6" ht="13">
      <c r="B353" s="6"/>
      <c r="C353" s="6"/>
      <c r="D353" s="6"/>
      <c r="E353" s="6"/>
      <c r="F353" s="6"/>
    </row>
    <row r="354" spans="2:6" ht="13">
      <c r="B354" s="6"/>
      <c r="C354" s="6"/>
      <c r="D354" s="6"/>
      <c r="E354" s="6"/>
      <c r="F354" s="6"/>
    </row>
    <row r="355" spans="2:6" ht="13">
      <c r="B355" s="6"/>
      <c r="C355" s="6"/>
      <c r="D355" s="6"/>
      <c r="E355" s="6"/>
      <c r="F355" s="6"/>
    </row>
    <row r="356" spans="2:6" ht="13">
      <c r="B356" s="6"/>
      <c r="C356" s="6"/>
      <c r="D356" s="6"/>
      <c r="E356" s="6"/>
      <c r="F356" s="6"/>
    </row>
    <row r="357" spans="2:6" ht="13">
      <c r="B357" s="6"/>
      <c r="C357" s="6"/>
      <c r="D357" s="6"/>
      <c r="E357" s="6"/>
      <c r="F357" s="6"/>
    </row>
    <row r="358" spans="2:6" ht="13">
      <c r="B358" s="6"/>
      <c r="C358" s="6"/>
      <c r="D358" s="6"/>
      <c r="E358" s="6"/>
      <c r="F358" s="6"/>
    </row>
    <row r="359" spans="2:6" ht="13">
      <c r="B359" s="6"/>
      <c r="C359" s="6"/>
      <c r="D359" s="6"/>
      <c r="E359" s="6"/>
      <c r="F359" s="6"/>
    </row>
    <row r="360" spans="2:6" ht="13">
      <c r="B360" s="6"/>
      <c r="C360" s="6"/>
      <c r="D360" s="6"/>
      <c r="E360" s="6"/>
      <c r="F360" s="6"/>
    </row>
    <row r="361" spans="2:6" ht="13">
      <c r="B361" s="6"/>
      <c r="C361" s="6"/>
      <c r="D361" s="6"/>
      <c r="E361" s="6"/>
      <c r="F361" s="6"/>
    </row>
    <row r="362" spans="2:6" ht="13">
      <c r="B362" s="6"/>
      <c r="C362" s="6"/>
      <c r="D362" s="6"/>
      <c r="E362" s="6"/>
      <c r="F362" s="6"/>
    </row>
    <row r="363" spans="2:6" ht="13">
      <c r="B363" s="6"/>
      <c r="C363" s="6"/>
      <c r="D363" s="6"/>
      <c r="E363" s="6"/>
      <c r="F363" s="6"/>
    </row>
    <row r="364" spans="2:6" ht="13">
      <c r="B364" s="6"/>
      <c r="C364" s="6"/>
      <c r="D364" s="6"/>
      <c r="E364" s="6"/>
      <c r="F364" s="6"/>
    </row>
    <row r="365" spans="2:6" ht="13">
      <c r="B365" s="6"/>
      <c r="C365" s="6"/>
      <c r="D365" s="6"/>
      <c r="E365" s="6"/>
      <c r="F365" s="6"/>
    </row>
    <row r="366" spans="2:6" ht="13">
      <c r="B366" s="6"/>
      <c r="C366" s="6"/>
      <c r="D366" s="6"/>
      <c r="E366" s="6"/>
      <c r="F366" s="6"/>
    </row>
    <row r="367" spans="2:6" ht="13">
      <c r="B367" s="6"/>
      <c r="C367" s="6"/>
      <c r="D367" s="6"/>
      <c r="E367" s="6"/>
      <c r="F367" s="6"/>
    </row>
    <row r="368" spans="2:6" ht="13">
      <c r="B368" s="6"/>
      <c r="C368" s="6"/>
      <c r="D368" s="6"/>
      <c r="E368" s="6"/>
      <c r="F368" s="6"/>
    </row>
    <row r="369" spans="2:6" ht="13">
      <c r="B369" s="6"/>
      <c r="C369" s="6"/>
      <c r="D369" s="6"/>
      <c r="E369" s="6"/>
      <c r="F369" s="6"/>
    </row>
    <row r="370" spans="2:6" ht="13">
      <c r="B370" s="6"/>
      <c r="C370" s="6"/>
      <c r="D370" s="6"/>
      <c r="E370" s="6"/>
      <c r="F370" s="6"/>
    </row>
    <row r="371" spans="2:6" ht="13">
      <c r="B371" s="6"/>
      <c r="C371" s="6"/>
      <c r="D371" s="6"/>
      <c r="E371" s="6"/>
      <c r="F371" s="6"/>
    </row>
    <row r="372" spans="2:6" ht="13">
      <c r="B372" s="6"/>
      <c r="C372" s="6"/>
      <c r="D372" s="6"/>
      <c r="E372" s="6"/>
      <c r="F372" s="6"/>
    </row>
    <row r="373" spans="2:6" ht="13">
      <c r="B373" s="6"/>
      <c r="C373" s="6"/>
      <c r="D373" s="6"/>
      <c r="E373" s="6"/>
      <c r="F373" s="6"/>
    </row>
    <row r="374" spans="2:6" ht="13">
      <c r="B374" s="6"/>
      <c r="C374" s="6"/>
      <c r="D374" s="6"/>
      <c r="E374" s="6"/>
      <c r="F374" s="6"/>
    </row>
    <row r="375" spans="2:6" ht="13">
      <c r="B375" s="6"/>
      <c r="C375" s="6"/>
      <c r="D375" s="6"/>
      <c r="E375" s="6"/>
      <c r="F375" s="6"/>
    </row>
    <row r="376" spans="2:6" ht="13">
      <c r="B376" s="6"/>
      <c r="C376" s="6"/>
      <c r="D376" s="6"/>
      <c r="E376" s="6"/>
      <c r="F376" s="6"/>
    </row>
    <row r="377" spans="2:6" ht="13">
      <c r="B377" s="6"/>
      <c r="C377" s="6"/>
      <c r="D377" s="6"/>
      <c r="E377" s="6"/>
      <c r="F377" s="6"/>
    </row>
    <row r="378" spans="2:6" ht="13">
      <c r="B378" s="6"/>
      <c r="C378" s="6"/>
      <c r="D378" s="6"/>
      <c r="E378" s="6"/>
      <c r="F378" s="6"/>
    </row>
    <row r="379" spans="2:6" ht="13">
      <c r="B379" s="6"/>
      <c r="C379" s="6"/>
      <c r="D379" s="6"/>
      <c r="E379" s="6"/>
      <c r="F379" s="6"/>
    </row>
    <row r="380" spans="2:6" ht="13">
      <c r="B380" s="6"/>
      <c r="C380" s="6"/>
      <c r="D380" s="6"/>
      <c r="E380" s="6"/>
      <c r="F380" s="6"/>
    </row>
    <row r="381" spans="2:6" ht="13">
      <c r="B381" s="6"/>
      <c r="C381" s="6"/>
      <c r="D381" s="6"/>
      <c r="E381" s="6"/>
      <c r="F381" s="6"/>
    </row>
    <row r="382" spans="2:6" ht="13">
      <c r="B382" s="6"/>
      <c r="C382" s="6"/>
      <c r="D382" s="6"/>
      <c r="E382" s="6"/>
      <c r="F382" s="6"/>
    </row>
    <row r="383" spans="2:6" ht="13">
      <c r="B383" s="6"/>
      <c r="C383" s="6"/>
      <c r="D383" s="6"/>
      <c r="E383" s="6"/>
      <c r="F383" s="6"/>
    </row>
    <row r="384" spans="2:6" ht="13">
      <c r="B384" s="6"/>
      <c r="C384" s="6"/>
      <c r="D384" s="6"/>
      <c r="E384" s="6"/>
      <c r="F384" s="6"/>
    </row>
    <row r="385" spans="2:6" ht="13">
      <c r="B385" s="6"/>
      <c r="C385" s="6"/>
      <c r="D385" s="6"/>
      <c r="E385" s="6"/>
      <c r="F385" s="6"/>
    </row>
    <row r="386" spans="2:6" ht="13">
      <c r="B386" s="6"/>
      <c r="C386" s="6"/>
      <c r="D386" s="6"/>
      <c r="E386" s="6"/>
      <c r="F386" s="6"/>
    </row>
    <row r="387" spans="2:6" ht="13">
      <c r="B387" s="6"/>
      <c r="C387" s="6"/>
      <c r="D387" s="6"/>
      <c r="E387" s="6"/>
      <c r="F387" s="6"/>
    </row>
    <row r="388" spans="2:6" ht="13">
      <c r="B388" s="6"/>
      <c r="C388" s="6"/>
      <c r="D388" s="6"/>
      <c r="E388" s="6"/>
      <c r="F388" s="6"/>
    </row>
    <row r="389" spans="2:6" ht="13">
      <c r="B389" s="6"/>
      <c r="C389" s="6"/>
      <c r="D389" s="6"/>
      <c r="E389" s="6"/>
      <c r="F389" s="6"/>
    </row>
    <row r="390" spans="2:6" ht="13">
      <c r="B390" s="6"/>
      <c r="C390" s="6"/>
      <c r="D390" s="6"/>
      <c r="E390" s="6"/>
      <c r="F390" s="6"/>
    </row>
    <row r="391" spans="2:6" ht="13">
      <c r="B391" s="6"/>
      <c r="C391" s="6"/>
      <c r="D391" s="6"/>
      <c r="E391" s="6"/>
      <c r="F391" s="6"/>
    </row>
    <row r="392" spans="2:6" ht="13">
      <c r="B392" s="6"/>
      <c r="C392" s="6"/>
      <c r="D392" s="6"/>
      <c r="E392" s="6"/>
      <c r="F392" s="6"/>
    </row>
    <row r="393" spans="2:6" ht="13">
      <c r="B393" s="6"/>
      <c r="C393" s="6"/>
      <c r="D393" s="6"/>
      <c r="E393" s="6"/>
      <c r="F393" s="6"/>
    </row>
    <row r="394" spans="2:6" ht="13">
      <c r="B394" s="6"/>
      <c r="C394" s="6"/>
      <c r="D394" s="6"/>
      <c r="E394" s="6"/>
      <c r="F394" s="6"/>
    </row>
    <row r="395" spans="2:6" ht="13">
      <c r="B395" s="6"/>
      <c r="C395" s="6"/>
      <c r="D395" s="6"/>
      <c r="E395" s="6"/>
      <c r="F395" s="6"/>
    </row>
    <row r="396" spans="2:6" ht="13">
      <c r="B396" s="6"/>
      <c r="C396" s="6"/>
      <c r="D396" s="6"/>
      <c r="E396" s="6"/>
      <c r="F396" s="6"/>
    </row>
    <row r="397" spans="2:6" ht="13">
      <c r="B397" s="6"/>
      <c r="C397" s="6"/>
      <c r="D397" s="6"/>
      <c r="E397" s="6"/>
      <c r="F397" s="6"/>
    </row>
    <row r="398" spans="2:6" ht="13">
      <c r="B398" s="6"/>
      <c r="C398" s="6"/>
      <c r="D398" s="6"/>
      <c r="E398" s="6"/>
      <c r="F398" s="6"/>
    </row>
    <row r="399" spans="2:6" ht="13">
      <c r="B399" s="6"/>
      <c r="C399" s="6"/>
      <c r="D399" s="6"/>
      <c r="E399" s="6"/>
      <c r="F399" s="6"/>
    </row>
    <row r="400" spans="2:6" ht="13">
      <c r="B400" s="6"/>
      <c r="C400" s="6"/>
      <c r="D400" s="6"/>
      <c r="E400" s="6"/>
      <c r="F400" s="6"/>
    </row>
    <row r="401" spans="2:6" ht="13">
      <c r="B401" s="6"/>
      <c r="C401" s="6"/>
      <c r="D401" s="6"/>
      <c r="E401" s="6"/>
      <c r="F401" s="6"/>
    </row>
    <row r="402" spans="2:6" ht="13">
      <c r="B402" s="6"/>
      <c r="C402" s="6"/>
      <c r="D402" s="6"/>
      <c r="E402" s="6"/>
      <c r="F402" s="6"/>
    </row>
    <row r="403" spans="2:6" ht="13">
      <c r="B403" s="6"/>
      <c r="C403" s="6"/>
      <c r="D403" s="6"/>
      <c r="E403" s="6"/>
      <c r="F403" s="6"/>
    </row>
    <row r="404" spans="2:6" ht="13">
      <c r="B404" s="6"/>
      <c r="C404" s="6"/>
      <c r="D404" s="6"/>
      <c r="E404" s="6"/>
      <c r="F404" s="6"/>
    </row>
    <row r="405" spans="2:6" ht="13">
      <c r="B405" s="6"/>
      <c r="C405" s="6"/>
      <c r="D405" s="6"/>
      <c r="E405" s="6"/>
      <c r="F405" s="6"/>
    </row>
    <row r="406" spans="2:6" ht="13">
      <c r="B406" s="6"/>
      <c r="C406" s="6"/>
      <c r="D406" s="6"/>
      <c r="E406" s="6"/>
      <c r="F406" s="6"/>
    </row>
    <row r="407" spans="2:6" ht="13">
      <c r="B407" s="6"/>
      <c r="C407" s="6"/>
      <c r="D407" s="6"/>
      <c r="E407" s="6"/>
      <c r="F407" s="6"/>
    </row>
    <row r="408" spans="2:6" ht="13">
      <c r="B408" s="6"/>
      <c r="C408" s="6"/>
      <c r="D408" s="6"/>
      <c r="E408" s="6"/>
      <c r="F408" s="6"/>
    </row>
    <row r="409" spans="2:6" ht="13">
      <c r="B409" s="6"/>
      <c r="C409" s="6"/>
      <c r="D409" s="6"/>
      <c r="E409" s="6"/>
      <c r="F409" s="6"/>
    </row>
    <row r="410" spans="2:6" ht="13">
      <c r="B410" s="6"/>
      <c r="C410" s="6"/>
      <c r="D410" s="6"/>
      <c r="E410" s="6"/>
      <c r="F410" s="6"/>
    </row>
    <row r="411" spans="2:6" ht="13">
      <c r="B411" s="6"/>
      <c r="C411" s="6"/>
      <c r="D411" s="6"/>
      <c r="E411" s="6"/>
      <c r="F411" s="6"/>
    </row>
    <row r="412" spans="2:6" ht="13">
      <c r="B412" s="6"/>
      <c r="C412" s="6"/>
      <c r="D412" s="6"/>
      <c r="E412" s="6"/>
      <c r="F412" s="6"/>
    </row>
    <row r="413" spans="2:6" ht="13">
      <c r="B413" s="6"/>
      <c r="C413" s="6"/>
      <c r="D413" s="6"/>
      <c r="E413" s="6"/>
      <c r="F413" s="6"/>
    </row>
    <row r="414" spans="2:6" ht="13">
      <c r="B414" s="6"/>
      <c r="C414" s="6"/>
      <c r="D414" s="6"/>
      <c r="E414" s="6"/>
      <c r="F414" s="6"/>
    </row>
    <row r="415" spans="2:6" ht="13">
      <c r="B415" s="6"/>
      <c r="C415" s="6"/>
      <c r="D415" s="6"/>
      <c r="E415" s="6"/>
      <c r="F415" s="6"/>
    </row>
    <row r="416" spans="2:6" ht="13">
      <c r="B416" s="6"/>
      <c r="C416" s="6"/>
      <c r="D416" s="6"/>
      <c r="E416" s="6"/>
      <c r="F416" s="6"/>
    </row>
    <row r="417" spans="2:6" ht="13">
      <c r="B417" s="6"/>
      <c r="C417" s="6"/>
      <c r="D417" s="6"/>
      <c r="E417" s="6"/>
      <c r="F417" s="6"/>
    </row>
    <row r="418" spans="2:6" ht="13">
      <c r="B418" s="6"/>
      <c r="C418" s="6"/>
      <c r="D418" s="6"/>
      <c r="E418" s="6"/>
      <c r="F418" s="6"/>
    </row>
    <row r="419" spans="2:6" ht="13">
      <c r="B419" s="6"/>
      <c r="C419" s="6"/>
      <c r="D419" s="6"/>
      <c r="E419" s="6"/>
      <c r="F419" s="6"/>
    </row>
    <row r="420" spans="2:6" ht="13">
      <c r="B420" s="6"/>
      <c r="C420" s="6"/>
      <c r="D420" s="6"/>
      <c r="E420" s="6"/>
      <c r="F420" s="6"/>
    </row>
    <row r="421" spans="2:6" ht="13">
      <c r="B421" s="6"/>
      <c r="C421" s="6"/>
      <c r="D421" s="6"/>
      <c r="E421" s="6"/>
      <c r="F421" s="6"/>
    </row>
    <row r="422" spans="2:6" ht="13">
      <c r="B422" s="6"/>
      <c r="C422" s="6"/>
      <c r="D422" s="6"/>
      <c r="E422" s="6"/>
      <c r="F422" s="6"/>
    </row>
    <row r="423" spans="2:6" ht="13">
      <c r="B423" s="6"/>
      <c r="C423" s="6"/>
      <c r="D423" s="6"/>
      <c r="E423" s="6"/>
      <c r="F423" s="6"/>
    </row>
    <row r="424" spans="2:6" ht="13">
      <c r="B424" s="6"/>
      <c r="C424" s="6"/>
      <c r="D424" s="6"/>
      <c r="E424" s="6"/>
      <c r="F424" s="6"/>
    </row>
    <row r="425" spans="2:6" ht="13">
      <c r="B425" s="6"/>
      <c r="C425" s="6"/>
      <c r="D425" s="6"/>
      <c r="E425" s="6"/>
      <c r="F425" s="6"/>
    </row>
    <row r="426" spans="2:6" ht="13">
      <c r="B426" s="6"/>
      <c r="C426" s="6"/>
      <c r="D426" s="6"/>
      <c r="E426" s="6"/>
      <c r="F426" s="6"/>
    </row>
    <row r="427" spans="2:6" ht="13">
      <c r="B427" s="6"/>
      <c r="C427" s="6"/>
      <c r="D427" s="6"/>
      <c r="E427" s="6"/>
      <c r="F427" s="6"/>
    </row>
    <row r="428" spans="2:6" ht="13">
      <c r="B428" s="6"/>
      <c r="C428" s="6"/>
      <c r="D428" s="6"/>
      <c r="E428" s="6"/>
      <c r="F428" s="6"/>
    </row>
    <row r="429" spans="2:6" ht="13">
      <c r="B429" s="6"/>
      <c r="C429" s="6"/>
      <c r="D429" s="6"/>
      <c r="E429" s="6"/>
      <c r="F429" s="6"/>
    </row>
    <row r="430" spans="2:6" ht="13">
      <c r="B430" s="6"/>
      <c r="C430" s="6"/>
      <c r="D430" s="6"/>
      <c r="E430" s="6"/>
      <c r="F430" s="6"/>
    </row>
    <row r="431" spans="2:6" ht="13">
      <c r="B431" s="6"/>
      <c r="C431" s="6"/>
      <c r="D431" s="6"/>
      <c r="E431" s="6"/>
      <c r="F431" s="6"/>
    </row>
    <row r="432" spans="2:6" ht="13">
      <c r="B432" s="6"/>
      <c r="C432" s="6"/>
      <c r="D432" s="6"/>
      <c r="E432" s="6"/>
      <c r="F432" s="6"/>
    </row>
    <row r="433" spans="2:6" ht="13">
      <c r="B433" s="6"/>
      <c r="C433" s="6"/>
      <c r="D433" s="6"/>
      <c r="E433" s="6"/>
      <c r="F433" s="6"/>
    </row>
    <row r="434" spans="2:6" ht="13">
      <c r="B434" s="6"/>
      <c r="C434" s="6"/>
      <c r="D434" s="6"/>
      <c r="E434" s="6"/>
      <c r="F434" s="6"/>
    </row>
    <row r="435" spans="2:6" ht="13">
      <c r="B435" s="6"/>
      <c r="C435" s="6"/>
      <c r="D435" s="6"/>
      <c r="E435" s="6"/>
      <c r="F435" s="6"/>
    </row>
    <row r="436" spans="2:6" ht="13">
      <c r="B436" s="6"/>
      <c r="C436" s="6"/>
      <c r="D436" s="6"/>
      <c r="E436" s="6"/>
      <c r="F436" s="6"/>
    </row>
    <row r="437" spans="2:6" ht="13">
      <c r="B437" s="6"/>
      <c r="C437" s="6"/>
      <c r="D437" s="6"/>
      <c r="E437" s="6"/>
      <c r="F437" s="6"/>
    </row>
    <row r="438" spans="2:6" ht="13">
      <c r="B438" s="6"/>
      <c r="C438" s="6"/>
      <c r="D438" s="6"/>
      <c r="E438" s="6"/>
      <c r="F438" s="6"/>
    </row>
    <row r="439" spans="2:6" ht="13">
      <c r="B439" s="6"/>
      <c r="C439" s="6"/>
      <c r="D439" s="6"/>
      <c r="E439" s="6"/>
      <c r="F439" s="6"/>
    </row>
    <row r="440" spans="2:6" ht="13">
      <c r="B440" s="6"/>
      <c r="C440" s="6"/>
      <c r="D440" s="6"/>
      <c r="E440" s="6"/>
      <c r="F440" s="6"/>
    </row>
    <row r="441" spans="2:6" ht="13">
      <c r="B441" s="6"/>
      <c r="C441" s="6"/>
      <c r="D441" s="6"/>
      <c r="E441" s="6"/>
      <c r="F441" s="6"/>
    </row>
    <row r="442" spans="2:6" ht="13">
      <c r="B442" s="6"/>
      <c r="C442" s="6"/>
      <c r="D442" s="6"/>
      <c r="E442" s="6"/>
      <c r="F442" s="6"/>
    </row>
    <row r="443" spans="2:6" ht="13">
      <c r="B443" s="6"/>
      <c r="C443" s="6"/>
      <c r="D443" s="6"/>
      <c r="E443" s="6"/>
      <c r="F443" s="6"/>
    </row>
    <row r="444" spans="2:6" ht="13">
      <c r="B444" s="6"/>
      <c r="C444" s="6"/>
      <c r="D444" s="6"/>
      <c r="E444" s="6"/>
      <c r="F444" s="6"/>
    </row>
    <row r="445" spans="2:6" ht="13">
      <c r="B445" s="6"/>
      <c r="C445" s="6"/>
      <c r="D445" s="6"/>
      <c r="E445" s="6"/>
      <c r="F445" s="6"/>
    </row>
    <row r="446" spans="2:6" ht="13">
      <c r="B446" s="6"/>
      <c r="C446" s="6"/>
      <c r="D446" s="6"/>
      <c r="E446" s="6"/>
      <c r="F446" s="6"/>
    </row>
    <row r="447" spans="2:6" ht="13">
      <c r="B447" s="6"/>
      <c r="C447" s="6"/>
      <c r="D447" s="6"/>
      <c r="E447" s="6"/>
      <c r="F447" s="6"/>
    </row>
    <row r="448" spans="2:6" ht="13">
      <c r="B448" s="6"/>
      <c r="C448" s="6"/>
      <c r="D448" s="6"/>
      <c r="E448" s="6"/>
      <c r="F448" s="6"/>
    </row>
    <row r="449" spans="2:6" ht="13">
      <c r="B449" s="6"/>
      <c r="C449" s="6"/>
      <c r="D449" s="6"/>
      <c r="E449" s="6"/>
      <c r="F449" s="6"/>
    </row>
    <row r="450" spans="2:6" ht="13">
      <c r="B450" s="6"/>
      <c r="C450" s="6"/>
      <c r="D450" s="6"/>
      <c r="E450" s="6"/>
      <c r="F450" s="6"/>
    </row>
    <row r="451" spans="2:6" ht="13">
      <c r="B451" s="6"/>
      <c r="C451" s="6"/>
      <c r="D451" s="6"/>
      <c r="E451" s="6"/>
      <c r="F451" s="6"/>
    </row>
    <row r="452" spans="2:6" ht="13">
      <c r="B452" s="6"/>
      <c r="C452" s="6"/>
      <c r="D452" s="6"/>
      <c r="E452" s="6"/>
      <c r="F452" s="6"/>
    </row>
    <row r="453" spans="2:6" ht="13">
      <c r="B453" s="6"/>
      <c r="C453" s="6"/>
      <c r="D453" s="6"/>
      <c r="E453" s="6"/>
      <c r="F453" s="6"/>
    </row>
    <row r="454" spans="2:6" ht="13">
      <c r="B454" s="6"/>
      <c r="C454" s="6"/>
      <c r="D454" s="6"/>
      <c r="E454" s="6"/>
      <c r="F454" s="6"/>
    </row>
    <row r="455" spans="2:6" ht="13">
      <c r="B455" s="6"/>
      <c r="C455" s="6"/>
      <c r="D455" s="6"/>
      <c r="E455" s="6"/>
      <c r="F455" s="6"/>
    </row>
    <row r="456" spans="2:6" ht="13">
      <c r="B456" s="6"/>
      <c r="C456" s="6"/>
      <c r="D456" s="6"/>
      <c r="E456" s="6"/>
      <c r="F456" s="6"/>
    </row>
    <row r="457" spans="2:6" ht="13">
      <c r="B457" s="6"/>
      <c r="C457" s="6"/>
      <c r="D457" s="6"/>
      <c r="E457" s="6"/>
      <c r="F457" s="6"/>
    </row>
    <row r="458" spans="2:6" ht="13">
      <c r="B458" s="6"/>
      <c r="C458" s="6"/>
      <c r="D458" s="6"/>
      <c r="E458" s="6"/>
      <c r="F458" s="6"/>
    </row>
    <row r="459" spans="2:6" ht="13">
      <c r="B459" s="6"/>
      <c r="C459" s="6"/>
      <c r="D459" s="6"/>
      <c r="E459" s="6"/>
      <c r="F459" s="6"/>
    </row>
    <row r="460" spans="2:6" ht="13">
      <c r="B460" s="6"/>
      <c r="C460" s="6"/>
      <c r="D460" s="6"/>
      <c r="E460" s="6"/>
      <c r="F460" s="6"/>
    </row>
    <row r="461" spans="2:6" ht="13">
      <c r="B461" s="6"/>
      <c r="C461" s="6"/>
      <c r="D461" s="6"/>
      <c r="E461" s="6"/>
      <c r="F461" s="6"/>
    </row>
    <row r="462" spans="2:6" ht="13">
      <c r="B462" s="6"/>
      <c r="C462" s="6"/>
      <c r="D462" s="6"/>
      <c r="E462" s="6"/>
      <c r="F462" s="6"/>
    </row>
    <row r="463" spans="2:6" ht="13">
      <c r="B463" s="6"/>
      <c r="C463" s="6"/>
      <c r="D463" s="6"/>
      <c r="E463" s="6"/>
      <c r="F463" s="6"/>
    </row>
    <row r="464" spans="2:6" ht="13">
      <c r="B464" s="6"/>
      <c r="C464" s="6"/>
      <c r="D464" s="6"/>
      <c r="E464" s="6"/>
      <c r="F464" s="6"/>
    </row>
    <row r="465" spans="2:6" ht="13">
      <c r="B465" s="6"/>
      <c r="C465" s="6"/>
      <c r="D465" s="6"/>
      <c r="E465" s="6"/>
      <c r="F465" s="6"/>
    </row>
    <row r="466" spans="2:6" ht="13">
      <c r="B466" s="6"/>
      <c r="C466" s="6"/>
      <c r="D466" s="6"/>
      <c r="E466" s="6"/>
      <c r="F466" s="6"/>
    </row>
    <row r="467" spans="2:6" ht="13">
      <c r="B467" s="6"/>
      <c r="C467" s="6"/>
      <c r="D467" s="6"/>
      <c r="E467" s="6"/>
      <c r="F467" s="6"/>
    </row>
    <row r="468" spans="2:6" ht="13">
      <c r="B468" s="6"/>
      <c r="C468" s="6"/>
      <c r="D468" s="6"/>
      <c r="E468" s="6"/>
      <c r="F468" s="6"/>
    </row>
    <row r="469" spans="2:6" ht="13">
      <c r="B469" s="6"/>
      <c r="C469" s="6"/>
      <c r="D469" s="6"/>
      <c r="E469" s="6"/>
      <c r="F469" s="6"/>
    </row>
    <row r="470" spans="2:6" ht="13">
      <c r="B470" s="6"/>
      <c r="C470" s="6"/>
      <c r="D470" s="6"/>
      <c r="E470" s="6"/>
      <c r="F470" s="6"/>
    </row>
    <row r="471" spans="2:6" ht="13">
      <c r="B471" s="6"/>
      <c r="C471" s="6"/>
      <c r="D471" s="6"/>
      <c r="E471" s="6"/>
      <c r="F471" s="6"/>
    </row>
    <row r="472" spans="2:6" ht="13">
      <c r="B472" s="6"/>
      <c r="C472" s="6"/>
      <c r="D472" s="6"/>
      <c r="E472" s="6"/>
      <c r="F472" s="6"/>
    </row>
    <row r="473" spans="2:6" ht="13">
      <c r="B473" s="6"/>
      <c r="C473" s="6"/>
      <c r="D473" s="6"/>
      <c r="E473" s="6"/>
      <c r="F473" s="6"/>
    </row>
    <row r="474" spans="2:6" ht="13">
      <c r="B474" s="6"/>
      <c r="C474" s="6"/>
      <c r="D474" s="6"/>
      <c r="E474" s="6"/>
      <c r="F474" s="6"/>
    </row>
    <row r="475" spans="2:6" ht="13">
      <c r="B475" s="6"/>
      <c r="C475" s="6"/>
      <c r="D475" s="6"/>
      <c r="E475" s="6"/>
      <c r="F475" s="6"/>
    </row>
    <row r="476" spans="2:6" ht="13">
      <c r="B476" s="6"/>
      <c r="C476" s="6"/>
      <c r="D476" s="6"/>
      <c r="E476" s="6"/>
      <c r="F476" s="6"/>
    </row>
    <row r="477" spans="2:6" ht="13">
      <c r="B477" s="6"/>
      <c r="C477" s="6"/>
      <c r="D477" s="6"/>
      <c r="E477" s="6"/>
      <c r="F477" s="6"/>
    </row>
    <row r="478" spans="2:6" ht="13">
      <c r="B478" s="6"/>
      <c r="C478" s="6"/>
      <c r="D478" s="6"/>
      <c r="E478" s="6"/>
      <c r="F478" s="6"/>
    </row>
    <row r="479" spans="2:6" ht="13">
      <c r="B479" s="6"/>
      <c r="C479" s="6"/>
      <c r="D479" s="6"/>
      <c r="E479" s="6"/>
      <c r="F479" s="6"/>
    </row>
    <row r="480" spans="2:6" ht="13">
      <c r="B480" s="6"/>
      <c r="C480" s="6"/>
      <c r="D480" s="6"/>
      <c r="E480" s="6"/>
      <c r="F480" s="6"/>
    </row>
    <row r="481" spans="2:6" ht="13">
      <c r="B481" s="6"/>
      <c r="C481" s="6"/>
      <c r="D481" s="6"/>
      <c r="E481" s="6"/>
      <c r="F481" s="6"/>
    </row>
    <row r="482" spans="2:6" ht="13">
      <c r="B482" s="6"/>
      <c r="C482" s="6"/>
      <c r="D482" s="6"/>
      <c r="E482" s="6"/>
      <c r="F482" s="6"/>
    </row>
    <row r="483" spans="2:6" ht="13">
      <c r="B483" s="6"/>
      <c r="C483" s="6"/>
      <c r="D483" s="6"/>
      <c r="E483" s="6"/>
      <c r="F483" s="6"/>
    </row>
    <row r="484" spans="2:6" ht="13">
      <c r="B484" s="6"/>
      <c r="C484" s="6"/>
      <c r="D484" s="6"/>
      <c r="E484" s="6"/>
      <c r="F484" s="6"/>
    </row>
    <row r="485" spans="2:6" ht="13">
      <c r="B485" s="6"/>
      <c r="C485" s="6"/>
      <c r="D485" s="6"/>
      <c r="E485" s="6"/>
      <c r="F485" s="6"/>
    </row>
    <row r="486" spans="2:6" ht="13">
      <c r="B486" s="6"/>
      <c r="C486" s="6"/>
      <c r="D486" s="6"/>
      <c r="E486" s="6"/>
      <c r="F486" s="6"/>
    </row>
    <row r="487" spans="2:6" ht="13">
      <c r="B487" s="6"/>
      <c r="C487" s="6"/>
      <c r="D487" s="6"/>
      <c r="E487" s="6"/>
      <c r="F487" s="6"/>
    </row>
    <row r="488" spans="2:6" ht="13">
      <c r="B488" s="6"/>
      <c r="C488" s="6"/>
      <c r="D488" s="6"/>
      <c r="E488" s="6"/>
      <c r="F488" s="6"/>
    </row>
    <row r="489" spans="2:6" ht="13">
      <c r="B489" s="6"/>
      <c r="C489" s="6"/>
      <c r="D489" s="6"/>
      <c r="E489" s="6"/>
      <c r="F489" s="6"/>
    </row>
    <row r="490" spans="2:6" ht="13">
      <c r="B490" s="6"/>
      <c r="C490" s="6"/>
      <c r="D490" s="6"/>
      <c r="E490" s="6"/>
      <c r="F490" s="6"/>
    </row>
    <row r="491" spans="2:6" ht="13">
      <c r="B491" s="6"/>
      <c r="C491" s="6"/>
      <c r="D491" s="6"/>
      <c r="E491" s="6"/>
      <c r="F491" s="6"/>
    </row>
    <row r="492" spans="2:6" ht="13">
      <c r="B492" s="6"/>
      <c r="C492" s="6"/>
      <c r="D492" s="6"/>
      <c r="E492" s="6"/>
      <c r="F492" s="6"/>
    </row>
    <row r="493" spans="2:6" ht="13">
      <c r="B493" s="6"/>
      <c r="C493" s="6"/>
      <c r="D493" s="6"/>
      <c r="E493" s="6"/>
      <c r="F493" s="6"/>
    </row>
    <row r="494" spans="2:6" ht="13">
      <c r="B494" s="6"/>
      <c r="C494" s="6"/>
      <c r="D494" s="6"/>
      <c r="E494" s="6"/>
      <c r="F494" s="6"/>
    </row>
    <row r="495" spans="2:6" ht="13">
      <c r="B495" s="6"/>
      <c r="C495" s="6"/>
      <c r="D495" s="6"/>
      <c r="E495" s="6"/>
      <c r="F495" s="6"/>
    </row>
    <row r="496" spans="2:6" ht="13">
      <c r="B496" s="6"/>
      <c r="C496" s="6"/>
      <c r="D496" s="6"/>
      <c r="E496" s="6"/>
      <c r="F496" s="6"/>
    </row>
    <row r="497" spans="2:6" ht="13">
      <c r="B497" s="6"/>
      <c r="C497" s="6"/>
      <c r="D497" s="6"/>
      <c r="E497" s="6"/>
      <c r="F497" s="6"/>
    </row>
    <row r="498" spans="2:6" ht="13">
      <c r="B498" s="6"/>
      <c r="C498" s="6"/>
      <c r="D498" s="6"/>
      <c r="E498" s="6"/>
      <c r="F498" s="6"/>
    </row>
    <row r="499" spans="2:6" ht="13">
      <c r="B499" s="6"/>
      <c r="C499" s="6"/>
      <c r="D499" s="6"/>
      <c r="E499" s="6"/>
      <c r="F499" s="6"/>
    </row>
    <row r="500" spans="2:6" ht="13">
      <c r="B500" s="6"/>
      <c r="C500" s="6"/>
      <c r="D500" s="6"/>
      <c r="E500" s="6"/>
      <c r="F500" s="6"/>
    </row>
    <row r="501" spans="2:6" ht="13">
      <c r="B501" s="6"/>
      <c r="C501" s="6"/>
      <c r="D501" s="6"/>
      <c r="E501" s="6"/>
      <c r="F501" s="6"/>
    </row>
    <row r="502" spans="2:6" ht="13">
      <c r="B502" s="6"/>
      <c r="C502" s="6"/>
      <c r="D502" s="6"/>
      <c r="E502" s="6"/>
      <c r="F502" s="6"/>
    </row>
    <row r="503" spans="2:6" ht="13">
      <c r="B503" s="6"/>
      <c r="C503" s="6"/>
      <c r="D503" s="6"/>
      <c r="E503" s="6"/>
      <c r="F503" s="6"/>
    </row>
    <row r="504" spans="2:6" ht="13">
      <c r="B504" s="6"/>
      <c r="C504" s="6"/>
      <c r="D504" s="6"/>
      <c r="E504" s="6"/>
      <c r="F504" s="6"/>
    </row>
    <row r="505" spans="2:6" ht="13">
      <c r="B505" s="6"/>
      <c r="C505" s="6"/>
      <c r="D505" s="6"/>
      <c r="E505" s="6"/>
      <c r="F505" s="6"/>
    </row>
    <row r="506" spans="2:6" ht="13">
      <c r="B506" s="6"/>
      <c r="C506" s="6"/>
      <c r="D506" s="6"/>
      <c r="E506" s="6"/>
      <c r="F506" s="6"/>
    </row>
    <row r="507" spans="2:6" ht="13">
      <c r="B507" s="6"/>
      <c r="C507" s="6"/>
      <c r="D507" s="6"/>
      <c r="E507" s="6"/>
      <c r="F507" s="6"/>
    </row>
    <row r="508" spans="2:6" ht="13">
      <c r="B508" s="6"/>
      <c r="C508" s="6"/>
      <c r="D508" s="6"/>
      <c r="E508" s="6"/>
      <c r="F508" s="6"/>
    </row>
    <row r="509" spans="2:6" ht="13">
      <c r="B509" s="6"/>
      <c r="C509" s="6"/>
      <c r="D509" s="6"/>
      <c r="E509" s="6"/>
      <c r="F509" s="6"/>
    </row>
    <row r="510" spans="2:6" ht="13">
      <c r="B510" s="6"/>
      <c r="C510" s="6"/>
      <c r="D510" s="6"/>
      <c r="E510" s="6"/>
      <c r="F510" s="6"/>
    </row>
    <row r="511" spans="2:6" ht="13">
      <c r="B511" s="6"/>
      <c r="C511" s="6"/>
      <c r="D511" s="6"/>
      <c r="E511" s="6"/>
      <c r="F511" s="6"/>
    </row>
    <row r="512" spans="2:6" ht="13">
      <c r="B512" s="6"/>
      <c r="C512" s="6"/>
      <c r="D512" s="6"/>
      <c r="E512" s="6"/>
      <c r="F512" s="6"/>
    </row>
    <row r="513" spans="2:6" ht="13">
      <c r="B513" s="6"/>
      <c r="C513" s="6"/>
      <c r="D513" s="6"/>
      <c r="E513" s="6"/>
      <c r="F513" s="6"/>
    </row>
    <row r="514" spans="2:6" ht="13">
      <c r="B514" s="6"/>
      <c r="C514" s="6"/>
      <c r="D514" s="6"/>
      <c r="E514" s="6"/>
      <c r="F514" s="6"/>
    </row>
    <row r="515" spans="2:6" ht="13">
      <c r="B515" s="6"/>
      <c r="C515" s="6"/>
      <c r="D515" s="6"/>
      <c r="E515" s="6"/>
      <c r="F515" s="6"/>
    </row>
    <row r="516" spans="2:6" ht="13">
      <c r="B516" s="6"/>
      <c r="C516" s="6"/>
      <c r="D516" s="6"/>
      <c r="E516" s="6"/>
      <c r="F516" s="6"/>
    </row>
    <row r="517" spans="2:6" ht="13">
      <c r="B517" s="6"/>
      <c r="C517" s="6"/>
      <c r="D517" s="6"/>
      <c r="E517" s="6"/>
      <c r="F517" s="6"/>
    </row>
    <row r="518" spans="2:6" ht="13">
      <c r="B518" s="6"/>
      <c r="C518" s="6"/>
      <c r="D518" s="6"/>
      <c r="E518" s="6"/>
      <c r="F518" s="6"/>
    </row>
    <row r="519" spans="2:6" ht="13">
      <c r="B519" s="6"/>
      <c r="C519" s="6"/>
      <c r="D519" s="6"/>
      <c r="E519" s="6"/>
      <c r="F519" s="6"/>
    </row>
    <row r="520" spans="2:6" ht="13">
      <c r="B520" s="6"/>
      <c r="C520" s="6"/>
      <c r="D520" s="6"/>
      <c r="E520" s="6"/>
      <c r="F520" s="6"/>
    </row>
    <row r="521" spans="2:6" ht="13">
      <c r="B521" s="6"/>
      <c r="C521" s="6"/>
      <c r="D521" s="6"/>
      <c r="E521" s="6"/>
      <c r="F521" s="6"/>
    </row>
    <row r="522" spans="2:6" ht="13">
      <c r="B522" s="6"/>
      <c r="C522" s="6"/>
      <c r="D522" s="6"/>
      <c r="E522" s="6"/>
      <c r="F522" s="6"/>
    </row>
    <row r="523" spans="2:6" ht="13">
      <c r="B523" s="6"/>
      <c r="C523" s="6"/>
      <c r="D523" s="6"/>
      <c r="E523" s="6"/>
      <c r="F523" s="6"/>
    </row>
    <row r="524" spans="2:6" ht="13">
      <c r="B524" s="6"/>
      <c r="C524" s="6"/>
      <c r="D524" s="6"/>
      <c r="E524" s="6"/>
      <c r="F524" s="6"/>
    </row>
    <row r="525" spans="2:6" ht="13">
      <c r="B525" s="6"/>
      <c r="C525" s="6"/>
      <c r="D525" s="6"/>
      <c r="E525" s="6"/>
      <c r="F525" s="6"/>
    </row>
    <row r="526" spans="2:6" ht="13">
      <c r="B526" s="6"/>
      <c r="C526" s="6"/>
      <c r="D526" s="6"/>
      <c r="E526" s="6"/>
      <c r="F526" s="6"/>
    </row>
    <row r="527" spans="2:6" ht="13">
      <c r="B527" s="6"/>
      <c r="C527" s="6"/>
      <c r="D527" s="6"/>
      <c r="E527" s="6"/>
      <c r="F527" s="6"/>
    </row>
    <row r="528" spans="2:6" ht="13">
      <c r="B528" s="6"/>
      <c r="C528" s="6"/>
      <c r="D528" s="6"/>
      <c r="E528" s="6"/>
      <c r="F528" s="6"/>
    </row>
    <row r="529" spans="2:6" ht="13">
      <c r="B529" s="6"/>
      <c r="C529" s="6"/>
      <c r="D529" s="6"/>
      <c r="E529" s="6"/>
      <c r="F529" s="6"/>
    </row>
    <row r="530" spans="2:6" ht="13">
      <c r="B530" s="6"/>
      <c r="C530" s="6"/>
      <c r="D530" s="6"/>
      <c r="E530" s="6"/>
      <c r="F530" s="6"/>
    </row>
    <row r="531" spans="2:6" ht="13">
      <c r="B531" s="6"/>
      <c r="C531" s="6"/>
      <c r="D531" s="6"/>
      <c r="E531" s="6"/>
      <c r="F531" s="6"/>
    </row>
    <row r="532" spans="2:6" ht="13">
      <c r="B532" s="6"/>
      <c r="C532" s="6"/>
      <c r="D532" s="6"/>
      <c r="E532" s="6"/>
      <c r="F532" s="6"/>
    </row>
    <row r="533" spans="2:6" ht="13">
      <c r="B533" s="6"/>
      <c r="C533" s="6"/>
      <c r="D533" s="6"/>
      <c r="E533" s="6"/>
      <c r="F533" s="6"/>
    </row>
    <row r="534" spans="2:6" ht="13">
      <c r="B534" s="6"/>
      <c r="C534" s="6"/>
      <c r="D534" s="6"/>
      <c r="E534" s="6"/>
      <c r="F534" s="6"/>
    </row>
    <row r="535" spans="2:6" ht="13">
      <c r="B535" s="6"/>
      <c r="C535" s="6"/>
      <c r="D535" s="6"/>
      <c r="E535" s="6"/>
      <c r="F535" s="6"/>
    </row>
    <row r="536" spans="2:6" ht="13">
      <c r="B536" s="6"/>
      <c r="C536" s="6"/>
      <c r="D536" s="6"/>
      <c r="E536" s="6"/>
      <c r="F536" s="6"/>
    </row>
    <row r="537" spans="2:6" ht="13">
      <c r="B537" s="6"/>
      <c r="C537" s="6"/>
      <c r="D537" s="6"/>
      <c r="E537" s="6"/>
      <c r="F537" s="6"/>
    </row>
    <row r="538" spans="2:6" ht="13">
      <c r="B538" s="6"/>
      <c r="C538" s="6"/>
      <c r="D538" s="6"/>
      <c r="E538" s="6"/>
      <c r="F538" s="6"/>
    </row>
    <row r="539" spans="2:6" ht="13">
      <c r="B539" s="6"/>
      <c r="C539" s="6"/>
      <c r="D539" s="6"/>
      <c r="E539" s="6"/>
      <c r="F539" s="6"/>
    </row>
    <row r="540" spans="2:6" ht="13">
      <c r="B540" s="6"/>
      <c r="C540" s="6"/>
      <c r="D540" s="6"/>
      <c r="E540" s="6"/>
      <c r="F540" s="6"/>
    </row>
    <row r="541" spans="2:6" ht="13">
      <c r="B541" s="6"/>
      <c r="C541" s="6"/>
      <c r="D541" s="6"/>
      <c r="E541" s="6"/>
      <c r="F541" s="6"/>
    </row>
    <row r="542" spans="2:6" ht="13">
      <c r="B542" s="6"/>
      <c r="C542" s="6"/>
      <c r="D542" s="6"/>
      <c r="E542" s="6"/>
      <c r="F542" s="6"/>
    </row>
    <row r="543" spans="2:6" ht="13">
      <c r="B543" s="6"/>
      <c r="C543" s="6"/>
      <c r="D543" s="6"/>
      <c r="E543" s="6"/>
      <c r="F543" s="6"/>
    </row>
    <row r="544" spans="2:6" ht="13">
      <c r="B544" s="6"/>
      <c r="C544" s="6"/>
      <c r="D544" s="6"/>
      <c r="E544" s="6"/>
      <c r="F544" s="6"/>
    </row>
    <row r="545" spans="2:6" ht="13">
      <c r="B545" s="6"/>
      <c r="C545" s="6"/>
      <c r="D545" s="6"/>
      <c r="E545" s="6"/>
      <c r="F545" s="6"/>
    </row>
    <row r="546" spans="2:6" ht="13">
      <c r="B546" s="6"/>
      <c r="C546" s="6"/>
      <c r="D546" s="6"/>
      <c r="E546" s="6"/>
      <c r="F546" s="6"/>
    </row>
    <row r="547" spans="2:6" ht="13">
      <c r="B547" s="6"/>
      <c r="C547" s="6"/>
      <c r="D547" s="6"/>
      <c r="E547" s="6"/>
      <c r="F547" s="6"/>
    </row>
    <row r="548" spans="2:6" ht="13">
      <c r="B548" s="6"/>
      <c r="C548" s="6"/>
      <c r="D548" s="6"/>
      <c r="E548" s="6"/>
      <c r="F548" s="6"/>
    </row>
    <row r="549" spans="2:6" ht="13">
      <c r="B549" s="6"/>
      <c r="C549" s="6"/>
      <c r="D549" s="6"/>
      <c r="E549" s="6"/>
      <c r="F549" s="6"/>
    </row>
    <row r="550" spans="2:6" ht="13">
      <c r="B550" s="6"/>
      <c r="C550" s="6"/>
      <c r="D550" s="6"/>
      <c r="E550" s="6"/>
      <c r="F550" s="6"/>
    </row>
    <row r="551" spans="2:6" ht="13">
      <c r="B551" s="6"/>
      <c r="C551" s="6"/>
      <c r="D551" s="6"/>
      <c r="E551" s="6"/>
      <c r="F551" s="6"/>
    </row>
    <row r="552" spans="2:6" ht="13">
      <c r="B552" s="6"/>
      <c r="C552" s="6"/>
      <c r="D552" s="6"/>
      <c r="E552" s="6"/>
      <c r="F552" s="6"/>
    </row>
    <row r="553" spans="2:6" ht="13">
      <c r="B553" s="6"/>
      <c r="C553" s="6"/>
      <c r="D553" s="6"/>
      <c r="E553" s="6"/>
      <c r="F553" s="6"/>
    </row>
    <row r="554" spans="2:6" ht="13">
      <c r="B554" s="6"/>
      <c r="C554" s="6"/>
      <c r="D554" s="6"/>
      <c r="E554" s="6"/>
      <c r="F554" s="6"/>
    </row>
    <row r="555" spans="2:6" ht="13">
      <c r="B555" s="6"/>
      <c r="C555" s="6"/>
      <c r="D555" s="6"/>
      <c r="E555" s="6"/>
      <c r="F555" s="6"/>
    </row>
    <row r="556" spans="2:6" ht="13">
      <c r="B556" s="6"/>
      <c r="C556" s="6"/>
      <c r="D556" s="6"/>
      <c r="E556" s="6"/>
      <c r="F556" s="6"/>
    </row>
    <row r="557" spans="2:6" ht="13">
      <c r="B557" s="6"/>
      <c r="C557" s="6"/>
      <c r="D557" s="6"/>
      <c r="E557" s="6"/>
      <c r="F557" s="6"/>
    </row>
    <row r="558" spans="2:6" ht="13">
      <c r="B558" s="6"/>
      <c r="C558" s="6"/>
      <c r="D558" s="6"/>
      <c r="E558" s="6"/>
      <c r="F558" s="6"/>
    </row>
    <row r="559" spans="2:6" ht="13">
      <c r="B559" s="6"/>
      <c r="C559" s="6"/>
      <c r="D559" s="6"/>
      <c r="E559" s="6"/>
      <c r="F559" s="6"/>
    </row>
    <row r="560" spans="2:6" ht="13">
      <c r="B560" s="6"/>
      <c r="C560" s="6"/>
      <c r="D560" s="6"/>
      <c r="E560" s="6"/>
      <c r="F560" s="6"/>
    </row>
    <row r="561" spans="2:6" ht="13">
      <c r="B561" s="6"/>
      <c r="C561" s="6"/>
      <c r="D561" s="6"/>
      <c r="E561" s="6"/>
      <c r="F561" s="6"/>
    </row>
    <row r="562" spans="2:6" ht="13">
      <c r="B562" s="6"/>
      <c r="C562" s="6"/>
      <c r="D562" s="6"/>
      <c r="E562" s="6"/>
      <c r="F562" s="6"/>
    </row>
    <row r="563" spans="2:6" ht="13">
      <c r="B563" s="6"/>
      <c r="C563" s="6"/>
      <c r="D563" s="6"/>
      <c r="E563" s="6"/>
      <c r="F563" s="6"/>
    </row>
    <row r="564" spans="2:6" ht="13">
      <c r="B564" s="6"/>
      <c r="C564" s="6"/>
      <c r="D564" s="6"/>
      <c r="E564" s="6"/>
      <c r="F564" s="6"/>
    </row>
    <row r="565" spans="2:6" ht="13">
      <c r="B565" s="6"/>
      <c r="C565" s="6"/>
      <c r="D565" s="6"/>
      <c r="E565" s="6"/>
      <c r="F565" s="6"/>
    </row>
    <row r="566" spans="2:6" ht="13">
      <c r="B566" s="6"/>
      <c r="C566" s="6"/>
      <c r="D566" s="6"/>
      <c r="E566" s="6"/>
      <c r="F566" s="6"/>
    </row>
    <row r="567" spans="2:6" ht="13">
      <c r="B567" s="6"/>
      <c r="C567" s="6"/>
      <c r="D567" s="6"/>
      <c r="E567" s="6"/>
      <c r="F567" s="6"/>
    </row>
    <row r="568" spans="2:6" ht="13">
      <c r="B568" s="6"/>
      <c r="C568" s="6"/>
      <c r="D568" s="6"/>
      <c r="E568" s="6"/>
      <c r="F568" s="6"/>
    </row>
    <row r="569" spans="2:6" ht="13">
      <c r="B569" s="6"/>
      <c r="C569" s="6"/>
      <c r="D569" s="6"/>
      <c r="E569" s="6"/>
      <c r="F569" s="6"/>
    </row>
    <row r="570" spans="2:6" ht="13">
      <c r="B570" s="6"/>
      <c r="C570" s="6"/>
      <c r="D570" s="6"/>
      <c r="E570" s="6"/>
      <c r="F570" s="6"/>
    </row>
    <row r="571" spans="2:6" ht="13">
      <c r="B571" s="6"/>
      <c r="C571" s="6"/>
      <c r="D571" s="6"/>
      <c r="E571" s="6"/>
      <c r="F571" s="6"/>
    </row>
    <row r="572" spans="2:6" ht="13">
      <c r="B572" s="6"/>
      <c r="C572" s="6"/>
      <c r="D572" s="6"/>
      <c r="E572" s="6"/>
      <c r="F572" s="6"/>
    </row>
    <row r="573" spans="2:6" ht="13">
      <c r="B573" s="6"/>
      <c r="C573" s="6"/>
      <c r="D573" s="6"/>
      <c r="E573" s="6"/>
      <c r="F573" s="6"/>
    </row>
    <row r="574" spans="2:6" ht="13">
      <c r="B574" s="6"/>
      <c r="C574" s="6"/>
      <c r="D574" s="6"/>
      <c r="E574" s="6"/>
      <c r="F574" s="6"/>
    </row>
    <row r="575" spans="2:6" ht="13">
      <c r="B575" s="6"/>
      <c r="C575" s="6"/>
      <c r="D575" s="6"/>
      <c r="E575" s="6"/>
      <c r="F575" s="6"/>
    </row>
    <row r="576" spans="2:6" ht="13">
      <c r="B576" s="6"/>
      <c r="C576" s="6"/>
      <c r="D576" s="6"/>
      <c r="E576" s="6"/>
      <c r="F576" s="6"/>
    </row>
    <row r="577" spans="2:6" ht="13">
      <c r="B577" s="6"/>
      <c r="C577" s="6"/>
      <c r="D577" s="6"/>
      <c r="E577" s="6"/>
      <c r="F577" s="6"/>
    </row>
    <row r="578" spans="2:6" ht="13">
      <c r="B578" s="6"/>
      <c r="C578" s="6"/>
      <c r="D578" s="6"/>
      <c r="E578" s="6"/>
      <c r="F578" s="6"/>
    </row>
    <row r="579" spans="2:6" ht="13">
      <c r="B579" s="6"/>
      <c r="C579" s="6"/>
      <c r="D579" s="6"/>
      <c r="E579" s="6"/>
      <c r="F579" s="6"/>
    </row>
    <row r="580" spans="2:6" ht="13">
      <c r="B580" s="6"/>
      <c r="C580" s="6"/>
      <c r="D580" s="6"/>
      <c r="E580" s="6"/>
      <c r="F580" s="6"/>
    </row>
    <row r="581" spans="2:6" ht="13">
      <c r="B581" s="6"/>
      <c r="C581" s="6"/>
      <c r="D581" s="6"/>
      <c r="E581" s="6"/>
      <c r="F581" s="6"/>
    </row>
    <row r="582" spans="2:6" ht="13">
      <c r="B582" s="6"/>
      <c r="C582" s="6"/>
      <c r="D582" s="6"/>
      <c r="E582" s="6"/>
      <c r="F582" s="6"/>
    </row>
    <row r="583" spans="2:6" ht="13">
      <c r="B583" s="6"/>
      <c r="C583" s="6"/>
      <c r="D583" s="6"/>
      <c r="E583" s="6"/>
      <c r="F583" s="6"/>
    </row>
    <row r="584" spans="2:6" ht="13">
      <c r="B584" s="6"/>
      <c r="C584" s="6"/>
      <c r="D584" s="6"/>
      <c r="E584" s="6"/>
      <c r="F584" s="6"/>
    </row>
    <row r="585" spans="2:6" ht="13">
      <c r="B585" s="6"/>
      <c r="C585" s="6"/>
      <c r="D585" s="6"/>
      <c r="E585" s="6"/>
      <c r="F585" s="6"/>
    </row>
    <row r="586" spans="2:6" ht="13">
      <c r="B586" s="6"/>
      <c r="C586" s="6"/>
      <c r="D586" s="6"/>
      <c r="E586" s="6"/>
      <c r="F586" s="6"/>
    </row>
    <row r="587" spans="2:6" ht="13">
      <c r="B587" s="6"/>
      <c r="C587" s="6"/>
      <c r="D587" s="6"/>
      <c r="E587" s="6"/>
      <c r="F587" s="6"/>
    </row>
    <row r="588" spans="2:6" ht="13">
      <c r="B588" s="6"/>
      <c r="C588" s="6"/>
      <c r="D588" s="6"/>
      <c r="E588" s="6"/>
      <c r="F588" s="6"/>
    </row>
    <row r="589" spans="2:6" ht="13">
      <c r="B589" s="6"/>
      <c r="C589" s="6"/>
      <c r="D589" s="6"/>
      <c r="E589" s="6"/>
      <c r="F589" s="6"/>
    </row>
    <row r="590" spans="2:6" ht="13">
      <c r="B590" s="6"/>
      <c r="C590" s="6"/>
      <c r="D590" s="6"/>
      <c r="E590" s="6"/>
      <c r="F590" s="6"/>
    </row>
    <row r="591" spans="2:6" ht="13">
      <c r="B591" s="6"/>
      <c r="C591" s="6"/>
      <c r="D591" s="6"/>
      <c r="E591" s="6"/>
      <c r="F591" s="6"/>
    </row>
    <row r="592" spans="2:6" ht="13">
      <c r="B592" s="6"/>
      <c r="C592" s="6"/>
      <c r="D592" s="6"/>
      <c r="E592" s="6"/>
      <c r="F592" s="6"/>
    </row>
    <row r="593" spans="2:6" ht="13">
      <c r="B593" s="6"/>
      <c r="C593" s="6"/>
      <c r="D593" s="6"/>
      <c r="E593" s="6"/>
      <c r="F593" s="6"/>
    </row>
    <row r="594" spans="2:6" ht="13">
      <c r="B594" s="6"/>
      <c r="C594" s="6"/>
      <c r="D594" s="6"/>
      <c r="E594" s="6"/>
      <c r="F594" s="6"/>
    </row>
    <row r="595" spans="2:6" ht="13">
      <c r="B595" s="6"/>
      <c r="C595" s="6"/>
      <c r="D595" s="6"/>
      <c r="E595" s="6"/>
      <c r="F595" s="6"/>
    </row>
    <row r="596" spans="2:6" ht="13">
      <c r="B596" s="6"/>
      <c r="C596" s="6"/>
      <c r="D596" s="6"/>
      <c r="E596" s="6"/>
      <c r="F596" s="6"/>
    </row>
    <row r="597" spans="2:6" ht="13">
      <c r="B597" s="6"/>
      <c r="C597" s="6"/>
      <c r="D597" s="6"/>
      <c r="E597" s="6"/>
      <c r="F597" s="6"/>
    </row>
    <row r="598" spans="2:6" ht="13">
      <c r="B598" s="6"/>
      <c r="C598" s="6"/>
      <c r="D598" s="6"/>
      <c r="E598" s="6"/>
      <c r="F598" s="6"/>
    </row>
    <row r="599" spans="2:6" ht="13">
      <c r="B599" s="6"/>
      <c r="C599" s="6"/>
      <c r="D599" s="6"/>
      <c r="E599" s="6"/>
      <c r="F599" s="6"/>
    </row>
    <row r="600" spans="2:6" ht="13">
      <c r="B600" s="6"/>
      <c r="C600" s="6"/>
      <c r="D600" s="6"/>
      <c r="E600" s="6"/>
      <c r="F600" s="6"/>
    </row>
    <row r="601" spans="2:6" ht="13">
      <c r="B601" s="6"/>
      <c r="C601" s="6"/>
      <c r="D601" s="6"/>
      <c r="E601" s="6"/>
      <c r="F601" s="6"/>
    </row>
    <row r="602" spans="2:6" ht="13">
      <c r="B602" s="6"/>
      <c r="C602" s="6"/>
      <c r="D602" s="6"/>
      <c r="E602" s="6"/>
      <c r="F602" s="6"/>
    </row>
    <row r="603" spans="2:6" ht="13">
      <c r="B603" s="6"/>
      <c r="C603" s="6"/>
      <c r="D603" s="6"/>
      <c r="E603" s="6"/>
      <c r="F603" s="6"/>
    </row>
    <row r="604" spans="2:6" ht="13">
      <c r="B604" s="6"/>
      <c r="C604" s="6"/>
      <c r="D604" s="6"/>
      <c r="E604" s="6"/>
      <c r="F604" s="6"/>
    </row>
    <row r="605" spans="2:6" ht="13">
      <c r="B605" s="6"/>
      <c r="C605" s="6"/>
      <c r="D605" s="6"/>
      <c r="E605" s="6"/>
      <c r="F605" s="6"/>
    </row>
    <row r="606" spans="2:6" ht="13">
      <c r="B606" s="6"/>
      <c r="C606" s="6"/>
      <c r="D606" s="6"/>
      <c r="E606" s="6"/>
      <c r="F606" s="6"/>
    </row>
    <row r="607" spans="2:6" ht="13">
      <c r="B607" s="6"/>
      <c r="C607" s="6"/>
      <c r="D607" s="6"/>
      <c r="E607" s="6"/>
      <c r="F607" s="6"/>
    </row>
    <row r="608" spans="2:6" ht="13">
      <c r="B608" s="6"/>
      <c r="C608" s="6"/>
      <c r="D608" s="6"/>
      <c r="E608" s="6"/>
      <c r="F608" s="6"/>
    </row>
    <row r="609" spans="2:6" ht="13">
      <c r="B609" s="6"/>
      <c r="C609" s="6"/>
      <c r="D609" s="6"/>
      <c r="E609" s="6"/>
      <c r="F609" s="6"/>
    </row>
    <row r="610" spans="2:6" ht="13">
      <c r="B610" s="6"/>
      <c r="C610" s="6"/>
      <c r="D610" s="6"/>
      <c r="E610" s="6"/>
      <c r="F610" s="6"/>
    </row>
    <row r="611" spans="2:6" ht="13">
      <c r="B611" s="6"/>
      <c r="C611" s="6"/>
      <c r="D611" s="6"/>
      <c r="E611" s="6"/>
      <c r="F611" s="6"/>
    </row>
    <row r="612" spans="2:6" ht="13">
      <c r="B612" s="6"/>
      <c r="C612" s="6"/>
      <c r="D612" s="6"/>
      <c r="E612" s="6"/>
      <c r="F612" s="6"/>
    </row>
    <row r="613" spans="2:6" ht="13">
      <c r="B613" s="6"/>
      <c r="C613" s="6"/>
      <c r="D613" s="6"/>
      <c r="E613" s="6"/>
      <c r="F613" s="6"/>
    </row>
    <row r="614" spans="2:6" ht="13">
      <c r="B614" s="6"/>
      <c r="C614" s="6"/>
      <c r="D614" s="6"/>
      <c r="E614" s="6"/>
      <c r="F614" s="6"/>
    </row>
    <row r="615" spans="2:6" ht="13">
      <c r="B615" s="6"/>
      <c r="C615" s="6"/>
      <c r="D615" s="6"/>
      <c r="E615" s="6"/>
      <c r="F615" s="6"/>
    </row>
    <row r="616" spans="2:6" ht="13">
      <c r="B616" s="6"/>
      <c r="C616" s="6"/>
      <c r="D616" s="6"/>
      <c r="E616" s="6"/>
      <c r="F616" s="6"/>
    </row>
    <row r="617" spans="2:6" ht="13">
      <c r="B617" s="6"/>
      <c r="C617" s="6"/>
      <c r="D617" s="6"/>
      <c r="E617" s="6"/>
      <c r="F617" s="6"/>
    </row>
    <row r="618" spans="2:6" ht="13">
      <c r="B618" s="6"/>
      <c r="C618" s="6"/>
      <c r="D618" s="6"/>
      <c r="E618" s="6"/>
      <c r="F618" s="6"/>
    </row>
    <row r="619" spans="2:6" ht="13">
      <c r="B619" s="6"/>
      <c r="C619" s="6"/>
      <c r="D619" s="6"/>
      <c r="E619" s="6"/>
      <c r="F619" s="6"/>
    </row>
    <row r="620" spans="2:6" ht="13">
      <c r="B620" s="6"/>
      <c r="C620" s="6"/>
      <c r="D620" s="6"/>
      <c r="E620" s="6"/>
      <c r="F620" s="6"/>
    </row>
    <row r="621" spans="2:6" ht="13">
      <c r="B621" s="6"/>
      <c r="C621" s="6"/>
      <c r="D621" s="6"/>
      <c r="E621" s="6"/>
      <c r="F621" s="6"/>
    </row>
    <row r="622" spans="2:6" ht="13">
      <c r="B622" s="6"/>
      <c r="C622" s="6"/>
      <c r="D622" s="6"/>
      <c r="E622" s="6"/>
      <c r="F622" s="6"/>
    </row>
    <row r="623" spans="2:6" ht="13">
      <c r="B623" s="6"/>
      <c r="C623" s="6"/>
      <c r="D623" s="6"/>
      <c r="E623" s="6"/>
      <c r="F623" s="6"/>
    </row>
    <row r="624" spans="2:6" ht="13">
      <c r="B624" s="6"/>
      <c r="C624" s="6"/>
      <c r="D624" s="6"/>
      <c r="E624" s="6"/>
      <c r="F624" s="6"/>
    </row>
    <row r="625" spans="2:6" ht="13">
      <c r="B625" s="6"/>
      <c r="C625" s="6"/>
      <c r="D625" s="6"/>
      <c r="E625" s="6"/>
      <c r="F625" s="6"/>
    </row>
    <row r="626" spans="2:6" ht="13">
      <c r="B626" s="6"/>
      <c r="C626" s="6"/>
      <c r="D626" s="6"/>
      <c r="E626" s="6"/>
      <c r="F626" s="6"/>
    </row>
    <row r="627" spans="2:6" ht="13">
      <c r="B627" s="6"/>
      <c r="C627" s="6"/>
      <c r="D627" s="6"/>
      <c r="E627" s="6"/>
      <c r="F627" s="6"/>
    </row>
    <row r="628" spans="2:6" ht="13">
      <c r="B628" s="6"/>
      <c r="C628" s="6"/>
      <c r="D628" s="6"/>
      <c r="E628" s="6"/>
      <c r="F628" s="6"/>
    </row>
    <row r="629" spans="2:6" ht="13">
      <c r="B629" s="6"/>
      <c r="C629" s="6"/>
      <c r="D629" s="6"/>
      <c r="E629" s="6"/>
      <c r="F629" s="6"/>
    </row>
    <row r="630" spans="2:6" ht="13">
      <c r="B630" s="6"/>
      <c r="C630" s="6"/>
      <c r="D630" s="6"/>
      <c r="E630" s="6"/>
      <c r="F630" s="6"/>
    </row>
    <row r="631" spans="2:6" ht="13">
      <c r="B631" s="6"/>
      <c r="C631" s="6"/>
      <c r="D631" s="6"/>
      <c r="E631" s="6"/>
      <c r="F631" s="6"/>
    </row>
    <row r="632" spans="2:6" ht="13">
      <c r="B632" s="6"/>
      <c r="C632" s="6"/>
      <c r="D632" s="6"/>
      <c r="E632" s="6"/>
      <c r="F632" s="6"/>
    </row>
    <row r="633" spans="2:6" ht="13">
      <c r="B633" s="6"/>
      <c r="C633" s="6"/>
      <c r="D633" s="6"/>
      <c r="E633" s="6"/>
      <c r="F633" s="6"/>
    </row>
    <row r="634" spans="2:6" ht="13">
      <c r="B634" s="6"/>
      <c r="C634" s="6"/>
      <c r="D634" s="6"/>
      <c r="E634" s="6"/>
      <c r="F634" s="6"/>
    </row>
    <row r="635" spans="2:6" ht="13">
      <c r="B635" s="6"/>
      <c r="C635" s="6"/>
      <c r="D635" s="6"/>
      <c r="E635" s="6"/>
      <c r="F635" s="6"/>
    </row>
    <row r="636" spans="2:6" ht="13">
      <c r="B636" s="6"/>
      <c r="C636" s="6"/>
      <c r="D636" s="6"/>
      <c r="E636" s="6"/>
      <c r="F636" s="6"/>
    </row>
    <row r="637" spans="2:6" ht="13">
      <c r="B637" s="6"/>
      <c r="C637" s="6"/>
      <c r="D637" s="6"/>
      <c r="E637" s="6"/>
      <c r="F637" s="6"/>
    </row>
    <row r="638" spans="2:6" ht="13">
      <c r="B638" s="6"/>
      <c r="C638" s="6"/>
      <c r="D638" s="6"/>
      <c r="E638" s="6"/>
      <c r="F638" s="6"/>
    </row>
    <row r="639" spans="2:6" ht="13">
      <c r="B639" s="6"/>
      <c r="C639" s="6"/>
      <c r="D639" s="6"/>
      <c r="E639" s="6"/>
      <c r="F639" s="6"/>
    </row>
    <row r="640" spans="2:6" ht="13">
      <c r="B640" s="6"/>
      <c r="C640" s="6"/>
      <c r="D640" s="6"/>
      <c r="E640" s="6"/>
      <c r="F640" s="6"/>
    </row>
    <row r="641" spans="2:6" ht="13">
      <c r="B641" s="6"/>
      <c r="C641" s="6"/>
      <c r="D641" s="6"/>
      <c r="E641" s="6"/>
      <c r="F641" s="6"/>
    </row>
    <row r="642" spans="2:6" ht="13">
      <c r="B642" s="6"/>
      <c r="C642" s="6"/>
      <c r="D642" s="6"/>
      <c r="E642" s="6"/>
      <c r="F642" s="6"/>
    </row>
    <row r="643" spans="2:6" ht="13">
      <c r="B643" s="6"/>
      <c r="C643" s="6"/>
      <c r="D643" s="6"/>
      <c r="E643" s="6"/>
      <c r="F643" s="6"/>
    </row>
    <row r="644" spans="2:6" ht="13">
      <c r="B644" s="6"/>
      <c r="C644" s="6"/>
      <c r="D644" s="6"/>
      <c r="E644" s="6"/>
      <c r="F644" s="6"/>
    </row>
    <row r="645" spans="2:6" ht="13">
      <c r="B645" s="6"/>
      <c r="C645" s="6"/>
      <c r="D645" s="6"/>
      <c r="E645" s="6"/>
      <c r="F645" s="6"/>
    </row>
    <row r="646" spans="2:6" ht="13">
      <c r="B646" s="6"/>
      <c r="C646" s="6"/>
      <c r="D646" s="6"/>
      <c r="E646" s="6"/>
      <c r="F646" s="6"/>
    </row>
    <row r="647" spans="2:6" ht="13">
      <c r="B647" s="6"/>
      <c r="C647" s="6"/>
      <c r="D647" s="6"/>
      <c r="E647" s="6"/>
      <c r="F647" s="6"/>
    </row>
    <row r="648" spans="2:6" ht="13">
      <c r="B648" s="6"/>
      <c r="C648" s="6"/>
      <c r="D648" s="6"/>
      <c r="E648" s="6"/>
      <c r="F648" s="6"/>
    </row>
    <row r="649" spans="2:6" ht="13">
      <c r="B649" s="6"/>
      <c r="C649" s="6"/>
      <c r="D649" s="6"/>
      <c r="E649" s="6"/>
      <c r="F649" s="6"/>
    </row>
    <row r="650" spans="2:6" ht="13">
      <c r="B650" s="6"/>
      <c r="C650" s="6"/>
      <c r="D650" s="6"/>
      <c r="E650" s="6"/>
      <c r="F650" s="6"/>
    </row>
    <row r="651" spans="2:6" ht="13">
      <c r="B651" s="6"/>
      <c r="C651" s="6"/>
      <c r="D651" s="6"/>
      <c r="E651" s="6"/>
      <c r="F651" s="6"/>
    </row>
    <row r="652" spans="2:6" ht="13">
      <c r="B652" s="6"/>
      <c r="C652" s="6"/>
      <c r="D652" s="6"/>
      <c r="E652" s="6"/>
      <c r="F652" s="6"/>
    </row>
    <row r="653" spans="2:6" ht="13">
      <c r="B653" s="6"/>
      <c r="C653" s="6"/>
      <c r="D653" s="6"/>
      <c r="E653" s="6"/>
      <c r="F653" s="6"/>
    </row>
    <row r="654" spans="2:6" ht="13">
      <c r="B654" s="6"/>
      <c r="C654" s="6"/>
      <c r="D654" s="6"/>
      <c r="E654" s="6"/>
      <c r="F654" s="6"/>
    </row>
    <row r="655" spans="2:6" ht="13">
      <c r="B655" s="6"/>
      <c r="C655" s="6"/>
      <c r="D655" s="6"/>
      <c r="E655" s="6"/>
      <c r="F655" s="6"/>
    </row>
    <row r="656" spans="2:6" ht="13">
      <c r="B656" s="6"/>
      <c r="C656" s="6"/>
      <c r="D656" s="6"/>
      <c r="E656" s="6"/>
      <c r="F656" s="6"/>
    </row>
    <row r="657" spans="2:6" ht="13">
      <c r="B657" s="6"/>
      <c r="C657" s="6"/>
      <c r="D657" s="6"/>
      <c r="E657" s="6"/>
      <c r="F657" s="6"/>
    </row>
    <row r="658" spans="2:6" ht="13">
      <c r="B658" s="6"/>
      <c r="C658" s="6"/>
      <c r="D658" s="6"/>
      <c r="E658" s="6"/>
      <c r="F658" s="6"/>
    </row>
    <row r="659" spans="2:6" ht="13">
      <c r="B659" s="6"/>
      <c r="C659" s="6"/>
      <c r="D659" s="6"/>
      <c r="E659" s="6"/>
      <c r="F659" s="6"/>
    </row>
    <row r="660" spans="2:6" ht="13">
      <c r="B660" s="6"/>
      <c r="C660" s="6"/>
      <c r="D660" s="6"/>
      <c r="E660" s="6"/>
      <c r="F660" s="6"/>
    </row>
    <row r="661" spans="2:6" ht="13">
      <c r="B661" s="6"/>
      <c r="C661" s="6"/>
      <c r="D661" s="6"/>
      <c r="E661" s="6"/>
      <c r="F661" s="6"/>
    </row>
    <row r="662" spans="2:6" ht="13">
      <c r="B662" s="6"/>
      <c r="C662" s="6"/>
      <c r="D662" s="6"/>
      <c r="E662" s="6"/>
      <c r="F662" s="6"/>
    </row>
    <row r="663" spans="2:6" ht="13">
      <c r="B663" s="6"/>
      <c r="C663" s="6"/>
      <c r="D663" s="6"/>
      <c r="E663" s="6"/>
      <c r="F663" s="6"/>
    </row>
    <row r="664" spans="2:6" ht="13">
      <c r="B664" s="6"/>
      <c r="C664" s="6"/>
      <c r="D664" s="6"/>
      <c r="E664" s="6"/>
      <c r="F664" s="6"/>
    </row>
    <row r="665" spans="2:6" ht="13">
      <c r="B665" s="6"/>
      <c r="C665" s="6"/>
      <c r="D665" s="6"/>
      <c r="E665" s="6"/>
      <c r="F665" s="6"/>
    </row>
    <row r="666" spans="2:6" ht="13">
      <c r="B666" s="6"/>
      <c r="C666" s="6"/>
      <c r="D666" s="6"/>
      <c r="E666" s="6"/>
      <c r="F666" s="6"/>
    </row>
    <row r="667" spans="2:6" ht="13">
      <c r="B667" s="6"/>
      <c r="C667" s="6"/>
      <c r="D667" s="6"/>
      <c r="E667" s="6"/>
      <c r="F667" s="6"/>
    </row>
    <row r="668" spans="2:6" ht="13">
      <c r="B668" s="6"/>
      <c r="C668" s="6"/>
      <c r="D668" s="6"/>
      <c r="E668" s="6"/>
      <c r="F668" s="6"/>
    </row>
    <row r="669" spans="2:6" ht="13">
      <c r="B669" s="6"/>
      <c r="C669" s="6"/>
      <c r="D669" s="6"/>
      <c r="E669" s="6"/>
      <c r="F669" s="6"/>
    </row>
    <row r="670" spans="2:6" ht="13">
      <c r="B670" s="6"/>
      <c r="C670" s="6"/>
      <c r="D670" s="6"/>
      <c r="E670" s="6"/>
      <c r="F670" s="6"/>
    </row>
    <row r="671" spans="2:6" ht="13">
      <c r="B671" s="6"/>
      <c r="C671" s="6"/>
      <c r="D671" s="6"/>
      <c r="E671" s="6"/>
      <c r="F671" s="6"/>
    </row>
    <row r="672" spans="2:6" ht="13">
      <c r="B672" s="6"/>
      <c r="C672" s="6"/>
      <c r="D672" s="6"/>
      <c r="E672" s="6"/>
      <c r="F672" s="6"/>
    </row>
    <row r="673" spans="2:6" ht="13">
      <c r="B673" s="6"/>
      <c r="C673" s="6"/>
      <c r="D673" s="6"/>
      <c r="E673" s="6"/>
      <c r="F673" s="6"/>
    </row>
    <row r="674" spans="2:6" ht="13">
      <c r="B674" s="6"/>
      <c r="C674" s="6"/>
      <c r="D674" s="6"/>
      <c r="E674" s="6"/>
      <c r="F674" s="6"/>
    </row>
    <row r="675" spans="2:6" ht="13">
      <c r="B675" s="6"/>
      <c r="C675" s="6"/>
      <c r="D675" s="6"/>
      <c r="E675" s="6"/>
      <c r="F675" s="6"/>
    </row>
    <row r="676" spans="2:6" ht="13">
      <c r="B676" s="6"/>
      <c r="C676" s="6"/>
      <c r="D676" s="6"/>
      <c r="E676" s="6"/>
      <c r="F676" s="6"/>
    </row>
    <row r="677" spans="2:6" ht="13">
      <c r="B677" s="6"/>
      <c r="C677" s="6"/>
      <c r="D677" s="6"/>
      <c r="E677" s="6"/>
      <c r="F677" s="6"/>
    </row>
    <row r="678" spans="2:6" ht="13">
      <c r="B678" s="6"/>
      <c r="C678" s="6"/>
      <c r="D678" s="6"/>
      <c r="E678" s="6"/>
      <c r="F678" s="6"/>
    </row>
    <row r="679" spans="2:6" ht="13">
      <c r="B679" s="6"/>
      <c r="C679" s="6"/>
      <c r="D679" s="6"/>
      <c r="E679" s="6"/>
      <c r="F679" s="6"/>
    </row>
    <row r="680" spans="2:6" ht="13">
      <c r="B680" s="6"/>
      <c r="C680" s="6"/>
      <c r="D680" s="6"/>
      <c r="E680" s="6"/>
      <c r="F680" s="6"/>
    </row>
    <row r="681" spans="2:6" ht="13">
      <c r="B681" s="6"/>
      <c r="C681" s="6"/>
      <c r="D681" s="6"/>
      <c r="E681" s="6"/>
      <c r="F681" s="6"/>
    </row>
    <row r="682" spans="2:6" ht="13">
      <c r="B682" s="6"/>
      <c r="C682" s="6"/>
      <c r="D682" s="6"/>
      <c r="E682" s="6"/>
      <c r="F682" s="6"/>
    </row>
    <row r="683" spans="2:6" ht="13">
      <c r="B683" s="6"/>
      <c r="C683" s="6"/>
      <c r="D683" s="6"/>
      <c r="E683" s="6"/>
      <c r="F683" s="6"/>
    </row>
    <row r="684" spans="2:6" ht="13">
      <c r="B684" s="6"/>
      <c r="C684" s="6"/>
      <c r="D684" s="6"/>
      <c r="E684" s="6"/>
      <c r="F684" s="6"/>
    </row>
    <row r="685" spans="2:6" ht="13">
      <c r="B685" s="6"/>
      <c r="C685" s="6"/>
      <c r="D685" s="6"/>
      <c r="E685" s="6"/>
      <c r="F685" s="6"/>
    </row>
    <row r="686" spans="2:6" ht="13">
      <c r="B686" s="6"/>
      <c r="C686" s="6"/>
      <c r="D686" s="6"/>
      <c r="E686" s="6"/>
      <c r="F686" s="6"/>
    </row>
    <row r="687" spans="2:6" ht="13">
      <c r="B687" s="6"/>
      <c r="C687" s="6"/>
      <c r="D687" s="6"/>
      <c r="E687" s="6"/>
      <c r="F687" s="6"/>
    </row>
    <row r="688" spans="2:6" ht="13">
      <c r="B688" s="6"/>
      <c r="C688" s="6"/>
      <c r="D688" s="6"/>
      <c r="E688" s="6"/>
      <c r="F688" s="6"/>
    </row>
    <row r="689" spans="2:6" ht="13">
      <c r="B689" s="6"/>
      <c r="C689" s="6"/>
      <c r="D689" s="6"/>
      <c r="E689" s="6"/>
      <c r="F689" s="6"/>
    </row>
    <row r="690" spans="2:6" ht="13">
      <c r="B690" s="6"/>
      <c r="C690" s="6"/>
      <c r="D690" s="6"/>
      <c r="E690" s="6"/>
      <c r="F690" s="6"/>
    </row>
    <row r="691" spans="2:6" ht="13">
      <c r="B691" s="6"/>
      <c r="C691" s="6"/>
      <c r="D691" s="6"/>
      <c r="E691" s="6"/>
      <c r="F691" s="6"/>
    </row>
    <row r="692" spans="2:6" ht="13">
      <c r="B692" s="6"/>
      <c r="C692" s="6"/>
      <c r="D692" s="6"/>
      <c r="E692" s="6"/>
      <c r="F692" s="6"/>
    </row>
    <row r="693" spans="2:6" ht="13">
      <c r="B693" s="6"/>
      <c r="C693" s="6"/>
      <c r="D693" s="6"/>
      <c r="E693" s="6"/>
      <c r="F693" s="6"/>
    </row>
    <row r="694" spans="2:6" ht="13">
      <c r="B694" s="6"/>
      <c r="C694" s="6"/>
      <c r="D694" s="6"/>
      <c r="E694" s="6"/>
      <c r="F694" s="6"/>
    </row>
    <row r="695" spans="2:6" ht="13">
      <c r="B695" s="6"/>
      <c r="C695" s="6"/>
      <c r="D695" s="6"/>
      <c r="E695" s="6"/>
      <c r="F695" s="6"/>
    </row>
    <row r="696" spans="2:6" ht="13">
      <c r="B696" s="6"/>
      <c r="C696" s="6"/>
      <c r="D696" s="6"/>
      <c r="E696" s="6"/>
      <c r="F696" s="6"/>
    </row>
    <row r="697" spans="2:6" ht="13">
      <c r="B697" s="6"/>
      <c r="C697" s="6"/>
      <c r="D697" s="6"/>
      <c r="E697" s="6"/>
      <c r="F697" s="6"/>
    </row>
    <row r="698" spans="2:6" ht="13">
      <c r="B698" s="6"/>
      <c r="C698" s="6"/>
      <c r="D698" s="6"/>
      <c r="E698" s="6"/>
      <c r="F698" s="6"/>
    </row>
    <row r="699" spans="2:6" ht="13">
      <c r="B699" s="6"/>
      <c r="C699" s="6"/>
      <c r="D699" s="6"/>
      <c r="E699" s="6"/>
      <c r="F699" s="6"/>
    </row>
    <row r="700" spans="2:6" ht="13">
      <c r="B700" s="6"/>
      <c r="C700" s="6"/>
      <c r="D700" s="6"/>
      <c r="E700" s="6"/>
      <c r="F700" s="6"/>
    </row>
    <row r="701" spans="2:6" ht="13">
      <c r="B701" s="6"/>
      <c r="C701" s="6"/>
      <c r="D701" s="6"/>
      <c r="E701" s="6"/>
      <c r="F701" s="6"/>
    </row>
    <row r="702" spans="2:6" ht="13">
      <c r="B702" s="6"/>
      <c r="C702" s="6"/>
      <c r="D702" s="6"/>
      <c r="E702" s="6"/>
      <c r="F702" s="6"/>
    </row>
    <row r="703" spans="2:6" ht="13">
      <c r="B703" s="6"/>
      <c r="C703" s="6"/>
      <c r="D703" s="6"/>
      <c r="E703" s="6"/>
      <c r="F703" s="6"/>
    </row>
    <row r="704" spans="2:6" ht="13">
      <c r="B704" s="6"/>
      <c r="C704" s="6"/>
      <c r="D704" s="6"/>
      <c r="E704" s="6"/>
      <c r="F704" s="6"/>
    </row>
    <row r="705" spans="2:6" ht="13">
      <c r="B705" s="6"/>
      <c r="C705" s="6"/>
      <c r="D705" s="6"/>
      <c r="E705" s="6"/>
      <c r="F705" s="6"/>
    </row>
    <row r="706" spans="2:6" ht="13">
      <c r="B706" s="6"/>
      <c r="C706" s="6"/>
      <c r="D706" s="6"/>
      <c r="E706" s="6"/>
      <c r="F706" s="6"/>
    </row>
    <row r="707" spans="2:6" ht="13">
      <c r="B707" s="6"/>
      <c r="C707" s="6"/>
      <c r="D707" s="6"/>
      <c r="E707" s="6"/>
      <c r="F707" s="6"/>
    </row>
    <row r="708" spans="2:6" ht="13">
      <c r="B708" s="6"/>
      <c r="C708" s="6"/>
      <c r="D708" s="6"/>
      <c r="E708" s="6"/>
      <c r="F708" s="6"/>
    </row>
    <row r="709" spans="2:6" ht="13">
      <c r="B709" s="6"/>
      <c r="C709" s="6"/>
      <c r="D709" s="6"/>
      <c r="E709" s="6"/>
      <c r="F709" s="6"/>
    </row>
    <row r="710" spans="2:6" ht="13">
      <c r="B710" s="6"/>
      <c r="C710" s="6"/>
      <c r="D710" s="6"/>
      <c r="E710" s="6"/>
      <c r="F710" s="6"/>
    </row>
    <row r="711" spans="2:6" ht="13">
      <c r="B711" s="6"/>
      <c r="C711" s="6"/>
      <c r="D711" s="6"/>
      <c r="E711" s="6"/>
      <c r="F711" s="6"/>
    </row>
    <row r="712" spans="2:6" ht="13">
      <c r="B712" s="6"/>
      <c r="C712" s="6"/>
      <c r="D712" s="6"/>
      <c r="E712" s="6"/>
      <c r="F712" s="6"/>
    </row>
    <row r="713" spans="2:6" ht="13">
      <c r="B713" s="6"/>
      <c r="C713" s="6"/>
      <c r="D713" s="6"/>
      <c r="E713" s="6"/>
      <c r="F713" s="6"/>
    </row>
    <row r="714" spans="2:6" ht="13">
      <c r="B714" s="6"/>
      <c r="C714" s="6"/>
      <c r="D714" s="6"/>
      <c r="E714" s="6"/>
      <c r="F714" s="6"/>
    </row>
    <row r="715" spans="2:6" ht="13">
      <c r="B715" s="6"/>
      <c r="C715" s="6"/>
      <c r="D715" s="6"/>
      <c r="E715" s="6"/>
      <c r="F715" s="6"/>
    </row>
    <row r="716" spans="2:6" ht="13">
      <c r="B716" s="6"/>
      <c r="C716" s="6"/>
      <c r="D716" s="6"/>
      <c r="E716" s="6"/>
      <c r="F716" s="6"/>
    </row>
    <row r="717" spans="2:6" ht="13">
      <c r="B717" s="6"/>
      <c r="C717" s="6"/>
      <c r="D717" s="6"/>
      <c r="E717" s="6"/>
      <c r="F717" s="6"/>
    </row>
    <row r="718" spans="2:6" ht="13">
      <c r="B718" s="6"/>
      <c r="C718" s="6"/>
      <c r="D718" s="6"/>
      <c r="E718" s="6"/>
      <c r="F718" s="6"/>
    </row>
    <row r="719" spans="2:6" ht="13">
      <c r="B719" s="6"/>
      <c r="C719" s="6"/>
      <c r="D719" s="6"/>
      <c r="E719" s="6"/>
      <c r="F719" s="6"/>
    </row>
    <row r="720" spans="2:6" ht="13">
      <c r="B720" s="6"/>
      <c r="C720" s="6"/>
      <c r="D720" s="6"/>
      <c r="E720" s="6"/>
      <c r="F720" s="6"/>
    </row>
    <row r="721" spans="2:6" ht="13">
      <c r="B721" s="6"/>
      <c r="C721" s="6"/>
      <c r="D721" s="6"/>
      <c r="E721" s="6"/>
      <c r="F721" s="6"/>
    </row>
    <row r="722" spans="2:6" ht="13">
      <c r="B722" s="6"/>
      <c r="C722" s="6"/>
      <c r="D722" s="6"/>
      <c r="E722" s="6"/>
      <c r="F722" s="6"/>
    </row>
    <row r="723" spans="2:6" ht="13">
      <c r="B723" s="6"/>
      <c r="C723" s="6"/>
      <c r="D723" s="6"/>
      <c r="E723" s="6"/>
      <c r="F723" s="6"/>
    </row>
    <row r="724" spans="2:6" ht="13">
      <c r="B724" s="6"/>
      <c r="C724" s="6"/>
      <c r="D724" s="6"/>
      <c r="E724" s="6"/>
      <c r="F724" s="6"/>
    </row>
    <row r="725" spans="2:6" ht="13">
      <c r="B725" s="6"/>
      <c r="C725" s="6"/>
      <c r="D725" s="6"/>
      <c r="E725" s="6"/>
      <c r="F725" s="6"/>
    </row>
    <row r="726" spans="2:6" ht="13">
      <c r="B726" s="6"/>
      <c r="C726" s="6"/>
      <c r="D726" s="6"/>
      <c r="E726" s="6"/>
      <c r="F726" s="6"/>
    </row>
    <row r="727" spans="2:6" ht="13">
      <c r="B727" s="6"/>
      <c r="C727" s="6"/>
      <c r="D727" s="6"/>
      <c r="E727" s="6"/>
      <c r="F727" s="6"/>
    </row>
    <row r="728" spans="2:6" ht="13">
      <c r="B728" s="6"/>
      <c r="C728" s="6"/>
      <c r="D728" s="6"/>
      <c r="E728" s="6"/>
      <c r="F728" s="6"/>
    </row>
    <row r="729" spans="2:6" ht="13">
      <c r="B729" s="6"/>
      <c r="C729" s="6"/>
      <c r="D729" s="6"/>
      <c r="E729" s="6"/>
      <c r="F729" s="6"/>
    </row>
    <row r="730" spans="2:6" ht="13">
      <c r="B730" s="6"/>
      <c r="C730" s="6"/>
      <c r="D730" s="6"/>
      <c r="E730" s="6"/>
      <c r="F730" s="6"/>
    </row>
    <row r="731" spans="2:6" ht="13">
      <c r="B731" s="6"/>
      <c r="C731" s="6"/>
      <c r="D731" s="6"/>
      <c r="E731" s="6"/>
      <c r="F731" s="6"/>
    </row>
    <row r="732" spans="2:6" ht="13">
      <c r="B732" s="6"/>
      <c r="C732" s="6"/>
      <c r="D732" s="6"/>
      <c r="E732" s="6"/>
      <c r="F732" s="6"/>
    </row>
    <row r="733" spans="2:6" ht="13">
      <c r="B733" s="6"/>
      <c r="C733" s="6"/>
      <c r="D733" s="6"/>
      <c r="E733" s="6"/>
      <c r="F733" s="6"/>
    </row>
    <row r="734" spans="2:6" ht="13">
      <c r="B734" s="6"/>
      <c r="C734" s="6"/>
      <c r="D734" s="6"/>
      <c r="E734" s="6"/>
      <c r="F734" s="6"/>
    </row>
    <row r="735" spans="2:6" ht="13">
      <c r="B735" s="6"/>
      <c r="C735" s="6"/>
      <c r="D735" s="6"/>
      <c r="E735" s="6"/>
      <c r="F735" s="6"/>
    </row>
    <row r="736" spans="2:6" ht="13">
      <c r="B736" s="6"/>
      <c r="C736" s="6"/>
      <c r="D736" s="6"/>
      <c r="E736" s="6"/>
      <c r="F736" s="6"/>
    </row>
    <row r="737" spans="2:6" ht="13">
      <c r="B737" s="6"/>
      <c r="C737" s="6"/>
      <c r="D737" s="6"/>
      <c r="E737" s="6"/>
      <c r="F737" s="6"/>
    </row>
    <row r="738" spans="2:6" ht="13">
      <c r="B738" s="6"/>
      <c r="C738" s="6"/>
      <c r="D738" s="6"/>
      <c r="E738" s="6"/>
      <c r="F738" s="6"/>
    </row>
    <row r="739" spans="2:6" ht="13">
      <c r="B739" s="6"/>
      <c r="C739" s="6"/>
      <c r="D739" s="6"/>
      <c r="E739" s="6"/>
      <c r="F739" s="6"/>
    </row>
    <row r="740" spans="2:6" ht="13">
      <c r="B740" s="6"/>
      <c r="C740" s="6"/>
      <c r="D740" s="6"/>
      <c r="E740" s="6"/>
      <c r="F740" s="6"/>
    </row>
    <row r="741" spans="2:6" ht="13">
      <c r="B741" s="6"/>
      <c r="C741" s="6"/>
      <c r="D741" s="6"/>
      <c r="E741" s="6"/>
      <c r="F741" s="6"/>
    </row>
    <row r="742" spans="2:6" ht="13">
      <c r="B742" s="6"/>
      <c r="C742" s="6"/>
      <c r="D742" s="6"/>
      <c r="E742" s="6"/>
      <c r="F742" s="6"/>
    </row>
    <row r="743" spans="2:6" ht="13">
      <c r="B743" s="6"/>
      <c r="C743" s="6"/>
      <c r="D743" s="6"/>
      <c r="E743" s="6"/>
      <c r="F743" s="6"/>
    </row>
    <row r="744" spans="2:6" ht="13">
      <c r="B744" s="6"/>
      <c r="C744" s="6"/>
      <c r="D744" s="6"/>
      <c r="E744" s="6"/>
      <c r="F744" s="6"/>
    </row>
    <row r="745" spans="2:6" ht="13">
      <c r="B745" s="6"/>
      <c r="C745" s="6"/>
      <c r="D745" s="6"/>
      <c r="E745" s="6"/>
      <c r="F745" s="6"/>
    </row>
    <row r="746" spans="2:6" ht="13">
      <c r="B746" s="6"/>
      <c r="C746" s="6"/>
      <c r="D746" s="6"/>
      <c r="E746" s="6"/>
      <c r="F746" s="6"/>
    </row>
    <row r="747" spans="2:6" ht="13">
      <c r="B747" s="6"/>
      <c r="C747" s="6"/>
      <c r="D747" s="6"/>
      <c r="E747" s="6"/>
      <c r="F747" s="6"/>
    </row>
    <row r="748" spans="2:6" ht="13">
      <c r="B748" s="6"/>
      <c r="C748" s="6"/>
      <c r="D748" s="6"/>
      <c r="E748" s="6"/>
      <c r="F748" s="6"/>
    </row>
    <row r="749" spans="2:6" ht="13">
      <c r="B749" s="6"/>
      <c r="C749" s="6"/>
      <c r="D749" s="6"/>
      <c r="E749" s="6"/>
      <c r="F749" s="6"/>
    </row>
    <row r="750" spans="2:6" ht="13">
      <c r="B750" s="6"/>
      <c r="C750" s="6"/>
      <c r="D750" s="6"/>
      <c r="E750" s="6"/>
      <c r="F750" s="6"/>
    </row>
    <row r="751" spans="2:6" ht="13">
      <c r="B751" s="6"/>
      <c r="C751" s="6"/>
      <c r="D751" s="6"/>
      <c r="E751" s="6"/>
      <c r="F751" s="6"/>
    </row>
    <row r="752" spans="2:6" ht="13">
      <c r="B752" s="6"/>
      <c r="C752" s="6"/>
      <c r="D752" s="6"/>
      <c r="E752" s="6"/>
      <c r="F752" s="6"/>
    </row>
    <row r="753" spans="2:6" ht="13">
      <c r="B753" s="6"/>
      <c r="C753" s="6"/>
      <c r="D753" s="6"/>
      <c r="E753" s="6"/>
      <c r="F753" s="6"/>
    </row>
    <row r="754" spans="2:6" ht="13">
      <c r="B754" s="6"/>
      <c r="C754" s="6"/>
      <c r="D754" s="6"/>
      <c r="E754" s="6"/>
      <c r="F754" s="6"/>
    </row>
    <row r="755" spans="2:6" ht="13">
      <c r="B755" s="6"/>
      <c r="C755" s="6"/>
      <c r="D755" s="6"/>
      <c r="E755" s="6"/>
      <c r="F755" s="6"/>
    </row>
    <row r="756" spans="2:6" ht="13">
      <c r="B756" s="6"/>
      <c r="C756" s="6"/>
      <c r="D756" s="6"/>
      <c r="E756" s="6"/>
      <c r="F756" s="6"/>
    </row>
    <row r="757" spans="2:6" ht="13">
      <c r="B757" s="6"/>
      <c r="C757" s="6"/>
      <c r="D757" s="6"/>
      <c r="E757" s="6"/>
      <c r="F757" s="6"/>
    </row>
    <row r="758" spans="2:6" ht="13">
      <c r="B758" s="6"/>
      <c r="C758" s="6"/>
      <c r="D758" s="6"/>
      <c r="E758" s="6"/>
      <c r="F758" s="6"/>
    </row>
    <row r="759" spans="2:6" ht="13">
      <c r="B759" s="6"/>
      <c r="C759" s="6"/>
      <c r="D759" s="6"/>
      <c r="E759" s="6"/>
      <c r="F759" s="6"/>
    </row>
    <row r="760" spans="2:6" ht="13">
      <c r="B760" s="6"/>
      <c r="C760" s="6"/>
      <c r="D760" s="6"/>
      <c r="E760" s="6"/>
      <c r="F760" s="6"/>
    </row>
    <row r="761" spans="2:6" ht="13">
      <c r="B761" s="6"/>
      <c r="C761" s="6"/>
      <c r="D761" s="6"/>
      <c r="E761" s="6"/>
      <c r="F761" s="6"/>
    </row>
    <row r="762" spans="2:6" ht="13">
      <c r="B762" s="6"/>
      <c r="C762" s="6"/>
      <c r="D762" s="6"/>
      <c r="E762" s="6"/>
      <c r="F762" s="6"/>
    </row>
    <row r="763" spans="2:6" ht="13">
      <c r="B763" s="6"/>
      <c r="C763" s="6"/>
      <c r="D763" s="6"/>
      <c r="E763" s="6"/>
      <c r="F763" s="6"/>
    </row>
    <row r="764" spans="2:6" ht="13">
      <c r="B764" s="6"/>
      <c r="C764" s="6"/>
      <c r="D764" s="6"/>
      <c r="E764" s="6"/>
      <c r="F764" s="6"/>
    </row>
    <row r="765" spans="2:6" ht="13">
      <c r="B765" s="6"/>
      <c r="C765" s="6"/>
      <c r="D765" s="6"/>
      <c r="E765" s="6"/>
      <c r="F765" s="6"/>
    </row>
    <row r="766" spans="2:6" ht="13">
      <c r="B766" s="6"/>
      <c r="C766" s="6"/>
      <c r="D766" s="6"/>
      <c r="E766" s="6"/>
      <c r="F766" s="6"/>
    </row>
    <row r="767" spans="2:6" ht="13">
      <c r="B767" s="6"/>
      <c r="C767" s="6"/>
      <c r="D767" s="6"/>
      <c r="E767" s="6"/>
      <c r="F767" s="6"/>
    </row>
    <row r="768" spans="2:6" ht="13">
      <c r="B768" s="6"/>
      <c r="C768" s="6"/>
      <c r="D768" s="6"/>
      <c r="E768" s="6"/>
      <c r="F768" s="6"/>
    </row>
    <row r="769" spans="2:6" ht="13">
      <c r="B769" s="6"/>
      <c r="C769" s="6"/>
      <c r="D769" s="6"/>
      <c r="E769" s="6"/>
      <c r="F769" s="6"/>
    </row>
    <row r="770" spans="2:6" ht="13">
      <c r="B770" s="6"/>
      <c r="C770" s="6"/>
      <c r="D770" s="6"/>
      <c r="E770" s="6"/>
      <c r="F770" s="6"/>
    </row>
    <row r="771" spans="2:6" ht="13">
      <c r="B771" s="6"/>
      <c r="C771" s="6"/>
      <c r="D771" s="6"/>
      <c r="E771" s="6"/>
      <c r="F771" s="6"/>
    </row>
    <row r="772" spans="2:6" ht="13">
      <c r="B772" s="6"/>
      <c r="C772" s="6"/>
      <c r="D772" s="6"/>
      <c r="E772" s="6"/>
      <c r="F772" s="6"/>
    </row>
    <row r="773" spans="2:6" ht="13">
      <c r="B773" s="6"/>
      <c r="C773" s="6"/>
      <c r="D773" s="6"/>
      <c r="E773" s="6"/>
      <c r="F773" s="6"/>
    </row>
    <row r="774" spans="2:6" ht="13">
      <c r="B774" s="6"/>
      <c r="C774" s="6"/>
      <c r="D774" s="6"/>
      <c r="E774" s="6"/>
      <c r="F774" s="6"/>
    </row>
    <row r="775" spans="2:6" ht="13">
      <c r="B775" s="6"/>
      <c r="C775" s="6"/>
      <c r="D775" s="6"/>
      <c r="E775" s="6"/>
      <c r="F775" s="6"/>
    </row>
    <row r="776" spans="2:6" ht="13">
      <c r="B776" s="6"/>
      <c r="C776" s="6"/>
      <c r="D776" s="6"/>
      <c r="E776" s="6"/>
      <c r="F776" s="6"/>
    </row>
    <row r="777" spans="2:6" ht="13">
      <c r="B777" s="6"/>
      <c r="C777" s="6"/>
      <c r="D777" s="6"/>
      <c r="E777" s="6"/>
      <c r="F777" s="6"/>
    </row>
    <row r="778" spans="2:6" ht="13">
      <c r="B778" s="6"/>
      <c r="C778" s="6"/>
      <c r="D778" s="6"/>
      <c r="E778" s="6"/>
      <c r="F778" s="6"/>
    </row>
    <row r="779" spans="2:6" ht="13">
      <c r="B779" s="6"/>
      <c r="C779" s="6"/>
      <c r="D779" s="6"/>
      <c r="E779" s="6"/>
      <c r="F779" s="6"/>
    </row>
    <row r="780" spans="2:6" ht="13">
      <c r="B780" s="6"/>
      <c r="C780" s="6"/>
      <c r="D780" s="6"/>
      <c r="E780" s="6"/>
      <c r="F780" s="6"/>
    </row>
    <row r="781" spans="2:6" ht="13">
      <c r="B781" s="6"/>
      <c r="C781" s="6"/>
      <c r="D781" s="6"/>
      <c r="E781" s="6"/>
      <c r="F781" s="6"/>
    </row>
    <row r="782" spans="2:6" ht="13">
      <c r="B782" s="6"/>
      <c r="C782" s="6"/>
      <c r="D782" s="6"/>
      <c r="E782" s="6"/>
      <c r="F782" s="6"/>
    </row>
    <row r="783" spans="2:6" ht="13">
      <c r="B783" s="6"/>
      <c r="C783" s="6"/>
      <c r="D783" s="6"/>
      <c r="E783" s="6"/>
      <c r="F783" s="6"/>
    </row>
    <row r="784" spans="2:6" ht="13">
      <c r="B784" s="6"/>
      <c r="C784" s="6"/>
      <c r="D784" s="6"/>
      <c r="E784" s="6"/>
      <c r="F784" s="6"/>
    </row>
    <row r="785" spans="2:6" ht="13">
      <c r="B785" s="6"/>
      <c r="C785" s="6"/>
      <c r="D785" s="6"/>
      <c r="E785" s="6"/>
      <c r="F785" s="6"/>
    </row>
    <row r="786" spans="2:6" ht="13">
      <c r="B786" s="6"/>
      <c r="C786" s="6"/>
      <c r="D786" s="6"/>
      <c r="E786" s="6"/>
      <c r="F786" s="6"/>
    </row>
    <row r="787" spans="2:6" ht="13">
      <c r="B787" s="6"/>
      <c r="C787" s="6"/>
      <c r="D787" s="6"/>
      <c r="E787" s="6"/>
      <c r="F787" s="6"/>
    </row>
    <row r="788" spans="2:6" ht="13">
      <c r="B788" s="6"/>
      <c r="C788" s="6"/>
      <c r="D788" s="6"/>
      <c r="E788" s="6"/>
      <c r="F788" s="6"/>
    </row>
    <row r="789" spans="2:6" ht="13">
      <c r="B789" s="6"/>
      <c r="C789" s="6"/>
      <c r="D789" s="6"/>
      <c r="E789" s="6"/>
      <c r="F789" s="6"/>
    </row>
    <row r="790" spans="2:6" ht="13">
      <c r="B790" s="6"/>
      <c r="C790" s="6"/>
      <c r="D790" s="6"/>
      <c r="E790" s="6"/>
      <c r="F790" s="6"/>
    </row>
    <row r="791" spans="2:6" ht="13">
      <c r="B791" s="6"/>
      <c r="C791" s="6"/>
      <c r="D791" s="6"/>
      <c r="E791" s="6"/>
      <c r="F791" s="6"/>
    </row>
    <row r="792" spans="2:6" ht="13">
      <c r="B792" s="6"/>
      <c r="C792" s="6"/>
      <c r="D792" s="6"/>
      <c r="E792" s="6"/>
      <c r="F792" s="6"/>
    </row>
    <row r="793" spans="2:6" ht="13">
      <c r="B793" s="6"/>
      <c r="C793" s="6"/>
      <c r="D793" s="6"/>
      <c r="E793" s="6"/>
      <c r="F793" s="6"/>
    </row>
    <row r="794" spans="2:6" ht="13">
      <c r="B794" s="6"/>
      <c r="C794" s="6"/>
      <c r="D794" s="6"/>
      <c r="E794" s="6"/>
      <c r="F794" s="6"/>
    </row>
    <row r="795" spans="2:6" ht="13">
      <c r="B795" s="6"/>
      <c r="C795" s="6"/>
      <c r="D795" s="6"/>
      <c r="E795" s="6"/>
      <c r="F795" s="6"/>
    </row>
    <row r="796" spans="2:6" ht="13">
      <c r="B796" s="6"/>
      <c r="C796" s="6"/>
      <c r="D796" s="6"/>
      <c r="E796" s="6"/>
      <c r="F796" s="6"/>
    </row>
    <row r="797" spans="2:6" ht="13">
      <c r="B797" s="6"/>
      <c r="C797" s="6"/>
      <c r="D797" s="6"/>
      <c r="E797" s="6"/>
      <c r="F797" s="6"/>
    </row>
    <row r="798" spans="2:6" ht="13">
      <c r="B798" s="6"/>
      <c r="C798" s="6"/>
      <c r="D798" s="6"/>
      <c r="E798" s="6"/>
      <c r="F798" s="6"/>
    </row>
    <row r="799" spans="2:6" ht="13">
      <c r="B799" s="6"/>
      <c r="C799" s="6"/>
      <c r="D799" s="6"/>
      <c r="E799" s="6"/>
      <c r="F799" s="6"/>
    </row>
    <row r="800" spans="2:6" ht="13">
      <c r="B800" s="6"/>
      <c r="C800" s="6"/>
      <c r="D800" s="6"/>
      <c r="E800" s="6"/>
      <c r="F800" s="6"/>
    </row>
    <row r="801" spans="2:6" ht="13">
      <c r="B801" s="6"/>
      <c r="C801" s="6"/>
      <c r="D801" s="6"/>
      <c r="E801" s="6"/>
      <c r="F801" s="6"/>
    </row>
    <row r="802" spans="2:6" ht="13">
      <c r="B802" s="6"/>
      <c r="C802" s="6"/>
      <c r="D802" s="6"/>
      <c r="E802" s="6"/>
      <c r="F802" s="6"/>
    </row>
    <row r="803" spans="2:6" ht="13">
      <c r="B803" s="6"/>
      <c r="C803" s="6"/>
      <c r="D803" s="6"/>
      <c r="E803" s="6"/>
      <c r="F803" s="6"/>
    </row>
    <row r="804" spans="2:6" ht="13">
      <c r="B804" s="6"/>
      <c r="C804" s="6"/>
      <c r="D804" s="6"/>
      <c r="E804" s="6"/>
      <c r="F804" s="6"/>
    </row>
    <row r="805" spans="2:6" ht="13">
      <c r="B805" s="6"/>
      <c r="C805" s="6"/>
      <c r="D805" s="6"/>
      <c r="E805" s="6"/>
      <c r="F805" s="6"/>
    </row>
    <row r="806" spans="2:6" ht="13">
      <c r="B806" s="6"/>
      <c r="C806" s="6"/>
      <c r="D806" s="6"/>
      <c r="E806" s="6"/>
      <c r="F806" s="6"/>
    </row>
    <row r="807" spans="2:6" ht="13">
      <c r="B807" s="6"/>
      <c r="C807" s="6"/>
      <c r="D807" s="6"/>
      <c r="E807" s="6"/>
      <c r="F807" s="6"/>
    </row>
    <row r="808" spans="2:6" ht="13">
      <c r="B808" s="6"/>
      <c r="C808" s="6"/>
      <c r="D808" s="6"/>
      <c r="E808" s="6"/>
      <c r="F808" s="6"/>
    </row>
    <row r="809" spans="2:6" ht="13">
      <c r="B809" s="6"/>
      <c r="C809" s="6"/>
      <c r="D809" s="6"/>
      <c r="E809" s="6"/>
      <c r="F809" s="6"/>
    </row>
    <row r="810" spans="2:6" ht="13">
      <c r="B810" s="6"/>
      <c r="C810" s="6"/>
      <c r="D810" s="6"/>
      <c r="E810" s="6"/>
      <c r="F810" s="6"/>
    </row>
    <row r="811" spans="2:6" ht="13">
      <c r="B811" s="6"/>
      <c r="C811" s="6"/>
      <c r="D811" s="6"/>
      <c r="E811" s="6"/>
      <c r="F811" s="6"/>
    </row>
    <row r="812" spans="2:6" ht="13">
      <c r="B812" s="6"/>
      <c r="C812" s="6"/>
      <c r="D812" s="6"/>
      <c r="E812" s="6"/>
      <c r="F812" s="6"/>
    </row>
    <row r="813" spans="2:6" ht="13">
      <c r="B813" s="6"/>
      <c r="C813" s="6"/>
      <c r="D813" s="6"/>
      <c r="E813" s="6"/>
      <c r="F813" s="6"/>
    </row>
    <row r="814" spans="2:6" ht="13">
      <c r="B814" s="6"/>
      <c r="C814" s="6"/>
      <c r="D814" s="6"/>
      <c r="E814" s="6"/>
      <c r="F814" s="6"/>
    </row>
    <row r="815" spans="2:6" ht="13">
      <c r="B815" s="6"/>
      <c r="C815" s="6"/>
      <c r="D815" s="6"/>
      <c r="E815" s="6"/>
      <c r="F815" s="6"/>
    </row>
    <row r="816" spans="2:6" ht="13">
      <c r="B816" s="6"/>
      <c r="C816" s="6"/>
      <c r="D816" s="6"/>
      <c r="E816" s="6"/>
      <c r="F816" s="6"/>
    </row>
    <row r="817" spans="2:6" ht="13">
      <c r="B817" s="6"/>
      <c r="C817" s="6"/>
      <c r="D817" s="6"/>
      <c r="E817" s="6"/>
      <c r="F817" s="6"/>
    </row>
    <row r="818" spans="2:6" ht="13">
      <c r="B818" s="6"/>
      <c r="C818" s="6"/>
      <c r="D818" s="6"/>
      <c r="E818" s="6"/>
      <c r="F818" s="6"/>
    </row>
    <row r="819" spans="2:6" ht="13">
      <c r="B819" s="6"/>
      <c r="C819" s="6"/>
      <c r="D819" s="6"/>
      <c r="E819" s="6"/>
      <c r="F819" s="6"/>
    </row>
    <row r="820" spans="2:6" ht="13">
      <c r="B820" s="6"/>
      <c r="C820" s="6"/>
      <c r="D820" s="6"/>
      <c r="E820" s="6"/>
      <c r="F820" s="6"/>
    </row>
    <row r="821" spans="2:6" ht="13">
      <c r="B821" s="6"/>
      <c r="C821" s="6"/>
      <c r="D821" s="6"/>
      <c r="E821" s="6"/>
      <c r="F821" s="6"/>
    </row>
    <row r="822" spans="2:6" ht="13">
      <c r="B822" s="6"/>
      <c r="C822" s="6"/>
      <c r="D822" s="6"/>
      <c r="E822" s="6"/>
      <c r="F822" s="6"/>
    </row>
    <row r="823" spans="2:6" ht="13">
      <c r="B823" s="6"/>
      <c r="C823" s="6"/>
      <c r="D823" s="6"/>
      <c r="E823" s="6"/>
      <c r="F823" s="6"/>
    </row>
    <row r="824" spans="2:6" ht="13">
      <c r="B824" s="6"/>
      <c r="C824" s="6"/>
      <c r="D824" s="6"/>
      <c r="E824" s="6"/>
      <c r="F824" s="6"/>
    </row>
    <row r="825" spans="2:6" ht="13">
      <c r="B825" s="6"/>
      <c r="C825" s="6"/>
      <c r="D825" s="6"/>
      <c r="E825" s="6"/>
      <c r="F825" s="6"/>
    </row>
    <row r="826" spans="2:6" ht="13">
      <c r="B826" s="6"/>
      <c r="C826" s="6"/>
      <c r="D826" s="6"/>
      <c r="E826" s="6"/>
      <c r="F826" s="6"/>
    </row>
    <row r="827" spans="2:6" ht="13">
      <c r="B827" s="6"/>
      <c r="C827" s="6"/>
      <c r="D827" s="6"/>
      <c r="E827" s="6"/>
      <c r="F827" s="6"/>
    </row>
    <row r="828" spans="2:6" ht="13">
      <c r="B828" s="6"/>
      <c r="C828" s="6"/>
      <c r="D828" s="6"/>
      <c r="E828" s="6"/>
      <c r="F828" s="6"/>
    </row>
    <row r="829" spans="2:6" ht="13">
      <c r="B829" s="6"/>
      <c r="C829" s="6"/>
      <c r="D829" s="6"/>
      <c r="E829" s="6"/>
      <c r="F829" s="6"/>
    </row>
    <row r="830" spans="2:6" ht="13">
      <c r="B830" s="6"/>
      <c r="C830" s="6"/>
      <c r="D830" s="6"/>
      <c r="E830" s="6"/>
      <c r="F830" s="6"/>
    </row>
    <row r="831" spans="2:6" ht="13">
      <c r="B831" s="6"/>
      <c r="C831" s="6"/>
      <c r="D831" s="6"/>
      <c r="E831" s="6"/>
      <c r="F831" s="6"/>
    </row>
    <row r="832" spans="2:6" ht="13">
      <c r="B832" s="6"/>
      <c r="C832" s="6"/>
      <c r="D832" s="6"/>
      <c r="E832" s="6"/>
      <c r="F832" s="6"/>
    </row>
    <row r="833" spans="2:6" ht="13">
      <c r="B833" s="6"/>
      <c r="C833" s="6"/>
      <c r="D833" s="6"/>
      <c r="E833" s="6"/>
      <c r="F833" s="6"/>
    </row>
    <row r="834" spans="2:6" ht="13">
      <c r="B834" s="6"/>
      <c r="C834" s="6"/>
      <c r="D834" s="6"/>
      <c r="E834" s="6"/>
      <c r="F834" s="6"/>
    </row>
    <row r="835" spans="2:6" ht="13">
      <c r="B835" s="6"/>
      <c r="C835" s="6"/>
      <c r="D835" s="6"/>
      <c r="E835" s="6"/>
      <c r="F835" s="6"/>
    </row>
    <row r="836" spans="2:6" ht="13">
      <c r="B836" s="6"/>
      <c r="C836" s="6"/>
      <c r="D836" s="6"/>
      <c r="E836" s="6"/>
      <c r="F836" s="6"/>
    </row>
    <row r="837" spans="2:6" ht="13">
      <c r="B837" s="6"/>
      <c r="C837" s="6"/>
      <c r="D837" s="6"/>
      <c r="E837" s="6"/>
      <c r="F837" s="6"/>
    </row>
    <row r="838" spans="2:6" ht="13">
      <c r="B838" s="6"/>
      <c r="C838" s="6"/>
      <c r="D838" s="6"/>
      <c r="E838" s="6"/>
      <c r="F838" s="6"/>
    </row>
    <row r="839" spans="2:6" ht="13">
      <c r="B839" s="6"/>
      <c r="C839" s="6"/>
      <c r="D839" s="6"/>
      <c r="E839" s="6"/>
      <c r="F839" s="6"/>
    </row>
    <row r="840" spans="2:6" ht="13">
      <c r="B840" s="6"/>
      <c r="C840" s="6"/>
      <c r="D840" s="6"/>
      <c r="E840" s="6"/>
      <c r="F840" s="6"/>
    </row>
    <row r="841" spans="2:6" ht="13">
      <c r="B841" s="6"/>
      <c r="C841" s="6"/>
      <c r="D841" s="6"/>
      <c r="E841" s="6"/>
      <c r="F841" s="6"/>
    </row>
    <row r="842" spans="2:6" ht="13">
      <c r="B842" s="6"/>
      <c r="C842" s="6"/>
      <c r="D842" s="6"/>
      <c r="E842" s="6"/>
      <c r="F842" s="6"/>
    </row>
    <row r="843" spans="2:6" ht="13">
      <c r="B843" s="6"/>
      <c r="C843" s="6"/>
      <c r="D843" s="6"/>
      <c r="E843" s="6"/>
      <c r="F843" s="6"/>
    </row>
    <row r="844" spans="2:6" ht="13">
      <c r="B844" s="6"/>
      <c r="C844" s="6"/>
      <c r="D844" s="6"/>
      <c r="E844" s="6"/>
      <c r="F844" s="6"/>
    </row>
    <row r="845" spans="2:6" ht="13">
      <c r="B845" s="6"/>
      <c r="C845" s="6"/>
      <c r="D845" s="6"/>
      <c r="E845" s="6"/>
      <c r="F845" s="6"/>
    </row>
    <row r="846" spans="2:6" ht="13">
      <c r="B846" s="6"/>
      <c r="C846" s="6"/>
      <c r="D846" s="6"/>
      <c r="E846" s="6"/>
      <c r="F846" s="6"/>
    </row>
    <row r="847" spans="2:6" ht="13">
      <c r="B847" s="6"/>
      <c r="C847" s="6"/>
      <c r="D847" s="6"/>
      <c r="E847" s="6"/>
      <c r="F847" s="6"/>
    </row>
    <row r="848" spans="2:6" ht="13">
      <c r="B848" s="6"/>
      <c r="C848" s="6"/>
      <c r="D848" s="6"/>
      <c r="E848" s="6"/>
      <c r="F848" s="6"/>
    </row>
    <row r="849" spans="2:6" ht="13">
      <c r="B849" s="6"/>
      <c r="C849" s="6"/>
      <c r="D849" s="6"/>
      <c r="E849" s="6"/>
      <c r="F849" s="6"/>
    </row>
    <row r="850" spans="2:6" ht="13">
      <c r="B850" s="6"/>
      <c r="C850" s="6"/>
      <c r="D850" s="6"/>
      <c r="E850" s="6"/>
      <c r="F850" s="6"/>
    </row>
    <row r="851" spans="2:6" ht="13">
      <c r="B851" s="6"/>
      <c r="C851" s="6"/>
      <c r="D851" s="6"/>
      <c r="E851" s="6"/>
      <c r="F851" s="6"/>
    </row>
    <row r="852" spans="2:6" ht="13">
      <c r="B852" s="6"/>
      <c r="C852" s="6"/>
      <c r="D852" s="6"/>
      <c r="E852" s="6"/>
      <c r="F852" s="6"/>
    </row>
    <row r="853" spans="2:6" ht="13">
      <c r="B853" s="6"/>
      <c r="C853" s="6"/>
      <c r="D853" s="6"/>
      <c r="E853" s="6"/>
      <c r="F853" s="6"/>
    </row>
    <row r="854" spans="2:6" ht="13">
      <c r="B854" s="6"/>
      <c r="C854" s="6"/>
      <c r="D854" s="6"/>
      <c r="E854" s="6"/>
      <c r="F854" s="6"/>
    </row>
    <row r="855" spans="2:6" ht="13">
      <c r="B855" s="6"/>
      <c r="C855" s="6"/>
      <c r="D855" s="6"/>
      <c r="E855" s="6"/>
      <c r="F855" s="6"/>
    </row>
    <row r="856" spans="2:6" ht="13">
      <c r="B856" s="6"/>
      <c r="C856" s="6"/>
      <c r="D856" s="6"/>
      <c r="E856" s="6"/>
      <c r="F856" s="6"/>
    </row>
    <row r="857" spans="2:6" ht="13">
      <c r="B857" s="6"/>
      <c r="C857" s="6"/>
      <c r="D857" s="6"/>
      <c r="E857" s="6"/>
      <c r="F857" s="6"/>
    </row>
    <row r="858" spans="2:6" ht="13">
      <c r="B858" s="6"/>
      <c r="C858" s="6"/>
      <c r="D858" s="6"/>
      <c r="E858" s="6"/>
      <c r="F858" s="6"/>
    </row>
    <row r="859" spans="2:6" ht="13">
      <c r="B859" s="6"/>
      <c r="C859" s="6"/>
      <c r="D859" s="6"/>
      <c r="E859" s="6"/>
      <c r="F859" s="6"/>
    </row>
    <row r="860" spans="2:6" ht="13">
      <c r="B860" s="6"/>
      <c r="C860" s="6"/>
      <c r="D860" s="6"/>
      <c r="E860" s="6"/>
      <c r="F860" s="6"/>
    </row>
    <row r="861" spans="2:6" ht="13">
      <c r="B861" s="6"/>
      <c r="C861" s="6"/>
      <c r="D861" s="6"/>
      <c r="E861" s="6"/>
      <c r="F861" s="6"/>
    </row>
    <row r="862" spans="2:6" ht="13">
      <c r="B862" s="6"/>
      <c r="C862" s="6"/>
      <c r="D862" s="6"/>
      <c r="E862" s="6"/>
      <c r="F862" s="6"/>
    </row>
    <row r="863" spans="2:6" ht="13">
      <c r="B863" s="6"/>
      <c r="C863" s="6"/>
      <c r="D863" s="6"/>
      <c r="E863" s="6"/>
      <c r="F863" s="6"/>
    </row>
    <row r="864" spans="2:6" ht="13">
      <c r="B864" s="6"/>
      <c r="C864" s="6"/>
      <c r="D864" s="6"/>
      <c r="E864" s="6"/>
      <c r="F864" s="6"/>
    </row>
    <row r="865" spans="2:6" ht="13">
      <c r="B865" s="6"/>
      <c r="C865" s="6"/>
      <c r="D865" s="6"/>
      <c r="E865" s="6"/>
      <c r="F865" s="6"/>
    </row>
    <row r="866" spans="2:6" ht="13">
      <c r="B866" s="6"/>
      <c r="C866" s="6"/>
      <c r="D866" s="6"/>
      <c r="E866" s="6"/>
      <c r="F866" s="6"/>
    </row>
    <row r="867" spans="2:6" ht="13">
      <c r="B867" s="6"/>
      <c r="C867" s="6"/>
      <c r="D867" s="6"/>
      <c r="E867" s="6"/>
      <c r="F867" s="6"/>
    </row>
    <row r="868" spans="2:6" ht="13">
      <c r="B868" s="6"/>
      <c r="C868" s="6"/>
      <c r="D868" s="6"/>
      <c r="E868" s="6"/>
      <c r="F868" s="6"/>
    </row>
    <row r="869" spans="2:6" ht="13">
      <c r="B869" s="6"/>
      <c r="C869" s="6"/>
      <c r="D869" s="6"/>
      <c r="E869" s="6"/>
      <c r="F869" s="6"/>
    </row>
    <row r="870" spans="2:6" ht="13">
      <c r="B870" s="6"/>
      <c r="C870" s="6"/>
      <c r="D870" s="6"/>
      <c r="E870" s="6"/>
      <c r="F870" s="6"/>
    </row>
    <row r="871" spans="2:6" ht="13">
      <c r="B871" s="6"/>
      <c r="C871" s="6"/>
      <c r="D871" s="6"/>
      <c r="E871" s="6"/>
      <c r="F871" s="6"/>
    </row>
    <row r="872" spans="2:6" ht="13">
      <c r="B872" s="6"/>
      <c r="C872" s="6"/>
      <c r="D872" s="6"/>
      <c r="E872" s="6"/>
      <c r="F872" s="6"/>
    </row>
    <row r="873" spans="2:6" ht="13">
      <c r="B873" s="6"/>
      <c r="C873" s="6"/>
      <c r="D873" s="6"/>
      <c r="E873" s="6"/>
      <c r="F873" s="6"/>
    </row>
    <row r="874" spans="2:6" ht="13">
      <c r="B874" s="6"/>
      <c r="C874" s="6"/>
      <c r="D874" s="6"/>
      <c r="E874" s="6"/>
      <c r="F874" s="6"/>
    </row>
    <row r="875" spans="2:6" ht="13">
      <c r="B875" s="6"/>
      <c r="C875" s="6"/>
      <c r="D875" s="6"/>
      <c r="E875" s="6"/>
      <c r="F875" s="6"/>
    </row>
    <row r="876" spans="2:6" ht="13">
      <c r="B876" s="6"/>
      <c r="C876" s="6"/>
      <c r="D876" s="6"/>
      <c r="E876" s="6"/>
      <c r="F876" s="6"/>
    </row>
    <row r="877" spans="2:6" ht="13">
      <c r="B877" s="6"/>
      <c r="C877" s="6"/>
      <c r="D877" s="6"/>
      <c r="E877" s="6"/>
      <c r="F877" s="6"/>
    </row>
    <row r="878" spans="2:6" ht="13">
      <c r="B878" s="6"/>
      <c r="C878" s="6"/>
      <c r="D878" s="6"/>
      <c r="E878" s="6"/>
      <c r="F878" s="6"/>
    </row>
    <row r="879" spans="2:6" ht="13">
      <c r="B879" s="6"/>
      <c r="C879" s="6"/>
      <c r="D879" s="6"/>
      <c r="E879" s="6"/>
      <c r="F879" s="6"/>
    </row>
    <row r="880" spans="2:6" ht="13">
      <c r="B880" s="6"/>
      <c r="C880" s="6"/>
      <c r="D880" s="6"/>
      <c r="E880" s="6"/>
      <c r="F880" s="6"/>
    </row>
    <row r="881" spans="2:6" ht="13">
      <c r="B881" s="6"/>
      <c r="C881" s="6"/>
      <c r="D881" s="6"/>
      <c r="E881" s="6"/>
      <c r="F881" s="6"/>
    </row>
    <row r="882" spans="2:6" ht="13">
      <c r="B882" s="6"/>
      <c r="C882" s="6"/>
      <c r="D882" s="6"/>
      <c r="E882" s="6"/>
      <c r="F882" s="6"/>
    </row>
    <row r="883" spans="2:6" ht="13">
      <c r="B883" s="6"/>
      <c r="C883" s="6"/>
      <c r="D883" s="6"/>
      <c r="E883" s="6"/>
      <c r="F883" s="6"/>
    </row>
    <row r="884" spans="2:6" ht="13">
      <c r="B884" s="6"/>
      <c r="C884" s="6"/>
      <c r="D884" s="6"/>
      <c r="E884" s="6"/>
      <c r="F884" s="6"/>
    </row>
    <row r="885" spans="2:6" ht="13">
      <c r="B885" s="6"/>
      <c r="C885" s="6"/>
      <c r="D885" s="6"/>
      <c r="E885" s="6"/>
      <c r="F885" s="6"/>
    </row>
    <row r="886" spans="2:6" ht="13">
      <c r="B886" s="6"/>
      <c r="C886" s="6"/>
      <c r="D886" s="6"/>
      <c r="E886" s="6"/>
      <c r="F886" s="6"/>
    </row>
    <row r="887" spans="2:6" ht="13">
      <c r="B887" s="6"/>
      <c r="C887" s="6"/>
      <c r="D887" s="6"/>
      <c r="E887" s="6"/>
      <c r="F887" s="6"/>
    </row>
    <row r="888" spans="2:6" ht="13">
      <c r="B888" s="6"/>
      <c r="C888" s="6"/>
      <c r="D888" s="6"/>
      <c r="E888" s="6"/>
      <c r="F888" s="6"/>
    </row>
    <row r="889" spans="2:6" ht="13">
      <c r="B889" s="6"/>
      <c r="C889" s="6"/>
      <c r="D889" s="6"/>
      <c r="E889" s="6"/>
      <c r="F889" s="6"/>
    </row>
    <row r="890" spans="2:6" ht="13">
      <c r="B890" s="6"/>
      <c r="C890" s="6"/>
      <c r="D890" s="6"/>
      <c r="E890" s="6"/>
      <c r="F890" s="6"/>
    </row>
    <row r="891" spans="2:6" ht="13">
      <c r="B891" s="6"/>
      <c r="C891" s="6"/>
      <c r="D891" s="6"/>
      <c r="E891" s="6"/>
      <c r="F891" s="6"/>
    </row>
    <row r="892" spans="2:6" ht="13">
      <c r="B892" s="6"/>
      <c r="C892" s="6"/>
      <c r="D892" s="6"/>
      <c r="E892" s="6"/>
      <c r="F892" s="6"/>
    </row>
    <row r="893" spans="2:6" ht="13">
      <c r="B893" s="6"/>
      <c r="C893" s="6"/>
      <c r="D893" s="6"/>
      <c r="E893" s="6"/>
      <c r="F893" s="6"/>
    </row>
    <row r="894" spans="2:6" ht="13">
      <c r="B894" s="6"/>
      <c r="C894" s="6"/>
      <c r="D894" s="6"/>
      <c r="E894" s="6"/>
      <c r="F894" s="6"/>
    </row>
    <row r="895" spans="2:6" ht="13">
      <c r="B895" s="6"/>
      <c r="C895" s="6"/>
      <c r="D895" s="6"/>
      <c r="E895" s="6"/>
      <c r="F895" s="6"/>
    </row>
    <row r="896" spans="2:6" ht="13">
      <c r="B896" s="6"/>
      <c r="C896" s="6"/>
      <c r="D896" s="6"/>
      <c r="E896" s="6"/>
      <c r="F896" s="6"/>
    </row>
    <row r="897" spans="2:6" ht="13">
      <c r="B897" s="6"/>
      <c r="C897" s="6"/>
      <c r="D897" s="6"/>
      <c r="E897" s="6"/>
      <c r="F897" s="6"/>
    </row>
    <row r="898" spans="2:6" ht="13">
      <c r="B898" s="6"/>
      <c r="C898" s="6"/>
      <c r="D898" s="6"/>
      <c r="E898" s="6"/>
      <c r="F898" s="6"/>
    </row>
    <row r="899" spans="2:6" ht="13">
      <c r="B899" s="6"/>
      <c r="C899" s="6"/>
      <c r="D899" s="6"/>
      <c r="E899" s="6"/>
      <c r="F899" s="6"/>
    </row>
    <row r="900" spans="2:6" ht="13">
      <c r="B900" s="6"/>
      <c r="C900" s="6"/>
      <c r="D900" s="6"/>
      <c r="E900" s="6"/>
      <c r="F900" s="6"/>
    </row>
    <row r="901" spans="2:6" ht="13">
      <c r="B901" s="6"/>
      <c r="C901" s="6"/>
      <c r="D901" s="6"/>
      <c r="E901" s="6"/>
      <c r="F901" s="6"/>
    </row>
    <row r="902" spans="2:6" ht="13">
      <c r="B902" s="6"/>
      <c r="C902" s="6"/>
      <c r="D902" s="6"/>
      <c r="E902" s="6"/>
      <c r="F902" s="6"/>
    </row>
    <row r="903" spans="2:6" ht="13">
      <c r="B903" s="6"/>
      <c r="C903" s="6"/>
      <c r="D903" s="6"/>
      <c r="E903" s="6"/>
      <c r="F903" s="6"/>
    </row>
    <row r="904" spans="2:6" ht="13">
      <c r="B904" s="6"/>
      <c r="C904" s="6"/>
      <c r="D904" s="6"/>
      <c r="E904" s="6"/>
      <c r="F904" s="6"/>
    </row>
    <row r="905" spans="2:6" ht="13">
      <c r="B905" s="6"/>
      <c r="C905" s="6"/>
      <c r="D905" s="6"/>
      <c r="E905" s="6"/>
      <c r="F905" s="6"/>
    </row>
    <row r="906" spans="2:6" ht="13">
      <c r="B906" s="6"/>
      <c r="C906" s="6"/>
      <c r="D906" s="6"/>
      <c r="E906" s="6"/>
      <c r="F906" s="6"/>
    </row>
    <row r="907" spans="2:6" ht="13">
      <c r="B907" s="6"/>
      <c r="C907" s="6"/>
      <c r="D907" s="6"/>
      <c r="E907" s="6"/>
      <c r="F907" s="6"/>
    </row>
    <row r="908" spans="2:6" ht="13">
      <c r="B908" s="6"/>
      <c r="C908" s="6"/>
      <c r="D908" s="6"/>
      <c r="E908" s="6"/>
      <c r="F908" s="6"/>
    </row>
    <row r="909" spans="2:6" ht="13">
      <c r="B909" s="6"/>
      <c r="C909" s="6"/>
      <c r="D909" s="6"/>
      <c r="E909" s="6"/>
      <c r="F909" s="6"/>
    </row>
    <row r="910" spans="2:6" ht="13">
      <c r="B910" s="6"/>
      <c r="C910" s="6"/>
      <c r="D910" s="6"/>
      <c r="E910" s="6"/>
      <c r="F910" s="6"/>
    </row>
    <row r="911" spans="2:6" ht="13">
      <c r="B911" s="6"/>
      <c r="C911" s="6"/>
      <c r="D911" s="6"/>
      <c r="E911" s="6"/>
      <c r="F911" s="6"/>
    </row>
    <row r="912" spans="2:6" ht="13">
      <c r="B912" s="6"/>
      <c r="C912" s="6"/>
      <c r="D912" s="6"/>
      <c r="E912" s="6"/>
      <c r="F912" s="6"/>
    </row>
    <row r="913" spans="2:6" ht="13">
      <c r="B913" s="6"/>
      <c r="C913" s="6"/>
      <c r="D913" s="6"/>
      <c r="E913" s="6"/>
      <c r="F913" s="6"/>
    </row>
    <row r="914" spans="2:6" ht="13">
      <c r="B914" s="6"/>
      <c r="C914" s="6"/>
      <c r="D914" s="6"/>
      <c r="E914" s="6"/>
      <c r="F914" s="6"/>
    </row>
    <row r="915" spans="2:6" ht="13">
      <c r="B915" s="6"/>
      <c r="C915" s="6"/>
      <c r="D915" s="6"/>
      <c r="E915" s="6"/>
      <c r="F915" s="6"/>
    </row>
    <row r="916" spans="2:6" ht="13">
      <c r="B916" s="6"/>
      <c r="C916" s="6"/>
      <c r="D916" s="6"/>
      <c r="E916" s="6"/>
      <c r="F916" s="6"/>
    </row>
    <row r="917" spans="2:6" ht="13">
      <c r="B917" s="6"/>
      <c r="C917" s="6"/>
      <c r="D917" s="6"/>
      <c r="E917" s="6"/>
      <c r="F917" s="6"/>
    </row>
    <row r="918" spans="2:6" ht="13">
      <c r="B918" s="6"/>
      <c r="C918" s="6"/>
      <c r="D918" s="6"/>
      <c r="E918" s="6"/>
      <c r="F918" s="6"/>
    </row>
    <row r="919" spans="2:6" ht="13">
      <c r="B919" s="6"/>
      <c r="C919" s="6"/>
      <c r="D919" s="6"/>
      <c r="E919" s="6"/>
      <c r="F919" s="6"/>
    </row>
    <row r="920" spans="2:6" ht="13">
      <c r="B920" s="6"/>
      <c r="C920" s="6"/>
      <c r="D920" s="6"/>
      <c r="E920" s="6"/>
      <c r="F920" s="6"/>
    </row>
    <row r="921" spans="2:6" ht="13">
      <c r="B921" s="6"/>
      <c r="C921" s="6"/>
      <c r="D921" s="6"/>
      <c r="E921" s="6"/>
      <c r="F921" s="6"/>
    </row>
    <row r="922" spans="2:6" ht="13">
      <c r="B922" s="6"/>
      <c r="C922" s="6"/>
      <c r="D922" s="6"/>
      <c r="E922" s="6"/>
      <c r="F922" s="6"/>
    </row>
    <row r="923" spans="2:6" ht="13">
      <c r="B923" s="6"/>
      <c r="C923" s="6"/>
      <c r="D923" s="6"/>
      <c r="E923" s="6"/>
      <c r="F923" s="6"/>
    </row>
    <row r="924" spans="2:6" ht="13">
      <c r="B924" s="6"/>
      <c r="C924" s="6"/>
      <c r="D924" s="6"/>
      <c r="E924" s="6"/>
      <c r="F924" s="6"/>
    </row>
    <row r="925" spans="2:6" ht="13">
      <c r="B925" s="6"/>
      <c r="C925" s="6"/>
      <c r="D925" s="6"/>
      <c r="E925" s="6"/>
      <c r="F925" s="6"/>
    </row>
    <row r="926" spans="2:6" ht="13">
      <c r="B926" s="6"/>
      <c r="C926" s="6"/>
      <c r="D926" s="6"/>
      <c r="E926" s="6"/>
      <c r="F926" s="6"/>
    </row>
    <row r="927" spans="2:6" ht="13">
      <c r="B927" s="6"/>
      <c r="C927" s="6"/>
      <c r="D927" s="6"/>
      <c r="E927" s="6"/>
      <c r="F927" s="6"/>
    </row>
    <row r="928" spans="2:6" ht="13">
      <c r="B928" s="6"/>
      <c r="C928" s="6"/>
      <c r="D928" s="6"/>
      <c r="E928" s="6"/>
      <c r="F928" s="6"/>
    </row>
    <row r="929" spans="2:6" ht="13">
      <c r="B929" s="6"/>
      <c r="C929" s="6"/>
      <c r="D929" s="6"/>
      <c r="E929" s="6"/>
      <c r="F929" s="6"/>
    </row>
    <row r="930" spans="2:6" ht="13">
      <c r="B930" s="6"/>
      <c r="C930" s="6"/>
      <c r="D930" s="6"/>
      <c r="E930" s="6"/>
      <c r="F930" s="6"/>
    </row>
    <row r="931" spans="2:6" ht="13">
      <c r="B931" s="6"/>
      <c r="C931" s="6"/>
      <c r="D931" s="6"/>
      <c r="E931" s="6"/>
      <c r="F931" s="6"/>
    </row>
    <row r="932" spans="2:6" ht="13">
      <c r="B932" s="6"/>
      <c r="C932" s="6"/>
      <c r="D932" s="6"/>
      <c r="E932" s="6"/>
      <c r="F932" s="6"/>
    </row>
    <row r="933" spans="2:6" ht="13">
      <c r="B933" s="6"/>
      <c r="C933" s="6"/>
      <c r="D933" s="6"/>
      <c r="E933" s="6"/>
      <c r="F933" s="6"/>
    </row>
    <row r="934" spans="2:6" ht="13">
      <c r="B934" s="6"/>
      <c r="C934" s="6"/>
      <c r="D934" s="6"/>
      <c r="E934" s="6"/>
      <c r="F934" s="6"/>
    </row>
    <row r="935" spans="2:6" ht="13">
      <c r="B935" s="6"/>
      <c r="C935" s="6"/>
      <c r="D935" s="6"/>
      <c r="E935" s="6"/>
      <c r="F935" s="6"/>
    </row>
    <row r="936" spans="2:6" ht="13">
      <c r="B936" s="6"/>
      <c r="C936" s="6"/>
      <c r="D936" s="6"/>
      <c r="E936" s="6"/>
      <c r="F936" s="6"/>
    </row>
    <row r="937" spans="2:6" ht="13">
      <c r="B937" s="6"/>
      <c r="C937" s="6"/>
      <c r="D937" s="6"/>
      <c r="E937" s="6"/>
      <c r="F937" s="6"/>
    </row>
    <row r="938" spans="2:6" ht="13">
      <c r="B938" s="6"/>
      <c r="C938" s="6"/>
      <c r="D938" s="6"/>
      <c r="E938" s="6"/>
      <c r="F938" s="6"/>
    </row>
    <row r="939" spans="2:6" ht="13">
      <c r="B939" s="6"/>
      <c r="C939" s="6"/>
      <c r="D939" s="6"/>
      <c r="E939" s="6"/>
      <c r="F939" s="6"/>
    </row>
    <row r="940" spans="2:6" ht="13">
      <c r="B940" s="6"/>
      <c r="C940" s="6"/>
      <c r="D940" s="6"/>
      <c r="E940" s="6"/>
      <c r="F940" s="6"/>
    </row>
    <row r="941" spans="2:6" ht="13">
      <c r="B941" s="6"/>
      <c r="C941" s="6"/>
      <c r="D941" s="6"/>
      <c r="E941" s="6"/>
      <c r="F941" s="6"/>
    </row>
    <row r="942" spans="2:6" ht="13">
      <c r="B942" s="6"/>
      <c r="C942" s="6"/>
      <c r="D942" s="6"/>
      <c r="E942" s="6"/>
      <c r="F942" s="6"/>
    </row>
    <row r="943" spans="2:6" ht="13">
      <c r="B943" s="6"/>
      <c r="C943" s="6"/>
      <c r="D943" s="6"/>
      <c r="E943" s="6"/>
      <c r="F943" s="6"/>
    </row>
    <row r="944" spans="2:6" ht="13">
      <c r="B944" s="6"/>
      <c r="C944" s="6"/>
      <c r="D944" s="6"/>
      <c r="E944" s="6"/>
      <c r="F944" s="6"/>
    </row>
    <row r="945" spans="2:6" ht="13">
      <c r="B945" s="6"/>
      <c r="C945" s="6"/>
      <c r="D945" s="6"/>
      <c r="E945" s="6"/>
      <c r="F945" s="6"/>
    </row>
    <row r="946" spans="2:6" ht="13">
      <c r="B946" s="6"/>
      <c r="C946" s="6"/>
      <c r="D946" s="6"/>
      <c r="E946" s="6"/>
      <c r="F946" s="6"/>
    </row>
    <row r="947" spans="2:6" ht="13">
      <c r="B947" s="6"/>
      <c r="C947" s="6"/>
      <c r="D947" s="6"/>
      <c r="E947" s="6"/>
      <c r="F947" s="6"/>
    </row>
    <row r="948" spans="2:6" ht="13">
      <c r="B948" s="6"/>
      <c r="C948" s="6"/>
      <c r="D948" s="6"/>
      <c r="E948" s="6"/>
      <c r="F948" s="6"/>
    </row>
    <row r="949" spans="2:6" ht="13">
      <c r="B949" s="6"/>
      <c r="C949" s="6"/>
      <c r="D949" s="6"/>
      <c r="E949" s="6"/>
      <c r="F949" s="6"/>
    </row>
    <row r="950" spans="2:6" ht="13">
      <c r="B950" s="6"/>
      <c r="C950" s="6"/>
      <c r="D950" s="6"/>
      <c r="E950" s="6"/>
      <c r="F950" s="6"/>
    </row>
    <row r="951" spans="2:6" ht="13">
      <c r="B951" s="6"/>
      <c r="C951" s="6"/>
      <c r="D951" s="6"/>
      <c r="E951" s="6"/>
      <c r="F951" s="6"/>
    </row>
    <row r="952" spans="2:6" ht="13">
      <c r="B952" s="6"/>
      <c r="C952" s="6"/>
      <c r="D952" s="6"/>
      <c r="E952" s="6"/>
      <c r="F952" s="6"/>
    </row>
    <row r="953" spans="2:6" ht="13">
      <c r="B953" s="6"/>
      <c r="C953" s="6"/>
      <c r="D953" s="6"/>
      <c r="E953" s="6"/>
      <c r="F953" s="6"/>
    </row>
    <row r="954" spans="2:6" ht="13">
      <c r="B954" s="6"/>
      <c r="C954" s="6"/>
      <c r="D954" s="6"/>
      <c r="E954" s="6"/>
      <c r="F954" s="6"/>
    </row>
    <row r="955" spans="2:6" ht="13">
      <c r="B955" s="6"/>
      <c r="C955" s="6"/>
      <c r="D955" s="6"/>
      <c r="E955" s="6"/>
      <c r="F955" s="6"/>
    </row>
    <row r="956" spans="2:6" ht="13">
      <c r="B956" s="6"/>
      <c r="C956" s="6"/>
      <c r="D956" s="6"/>
      <c r="E956" s="6"/>
      <c r="F956" s="6"/>
    </row>
    <row r="957" spans="2:6" ht="13">
      <c r="B957" s="6"/>
      <c r="C957" s="6"/>
      <c r="D957" s="6"/>
      <c r="E957" s="6"/>
      <c r="F957" s="6"/>
    </row>
    <row r="958" spans="2:6" ht="13">
      <c r="B958" s="6"/>
      <c r="C958" s="6"/>
      <c r="D958" s="6"/>
      <c r="E958" s="6"/>
      <c r="F958" s="6"/>
    </row>
    <row r="959" spans="2:6" ht="13">
      <c r="B959" s="6"/>
      <c r="C959" s="6"/>
      <c r="D959" s="6"/>
      <c r="E959" s="6"/>
      <c r="F959" s="6"/>
    </row>
    <row r="960" spans="2:6" ht="13">
      <c r="B960" s="6"/>
      <c r="C960" s="6"/>
      <c r="D960" s="6"/>
      <c r="E960" s="6"/>
      <c r="F960" s="6"/>
    </row>
    <row r="961" spans="2:6" ht="13">
      <c r="B961" s="6"/>
      <c r="C961" s="6"/>
      <c r="D961" s="6"/>
      <c r="E961" s="6"/>
      <c r="F961" s="6"/>
    </row>
    <row r="962" spans="2:6" ht="13">
      <c r="B962" s="6"/>
      <c r="C962" s="6"/>
      <c r="D962" s="6"/>
      <c r="E962" s="6"/>
      <c r="F962" s="6"/>
    </row>
    <row r="963" spans="2:6" ht="13">
      <c r="B963" s="6"/>
      <c r="C963" s="6"/>
      <c r="D963" s="6"/>
      <c r="E963" s="6"/>
      <c r="F963" s="6"/>
    </row>
    <row r="964" spans="2:6" ht="13">
      <c r="B964" s="6"/>
      <c r="C964" s="6"/>
      <c r="D964" s="6"/>
      <c r="E964" s="6"/>
      <c r="F964" s="6"/>
    </row>
    <row r="965" spans="2:6" ht="13">
      <c r="B965" s="6"/>
      <c r="C965" s="6"/>
      <c r="D965" s="6"/>
      <c r="E965" s="6"/>
      <c r="F965" s="6"/>
    </row>
    <row r="966" spans="2:6" ht="13">
      <c r="B966" s="6"/>
      <c r="C966" s="6"/>
      <c r="D966" s="6"/>
      <c r="E966" s="6"/>
      <c r="F966" s="6"/>
    </row>
    <row r="967" spans="2:6" ht="13">
      <c r="B967" s="6"/>
      <c r="C967" s="6"/>
      <c r="D967" s="6"/>
      <c r="E967" s="6"/>
      <c r="F967" s="6"/>
    </row>
    <row r="968" spans="2:6" ht="13">
      <c r="B968" s="6"/>
      <c r="C968" s="6"/>
      <c r="D968" s="6"/>
      <c r="E968" s="6"/>
      <c r="F968" s="6"/>
    </row>
    <row r="969" spans="2:6" ht="13">
      <c r="B969" s="6"/>
      <c r="C969" s="6"/>
      <c r="D969" s="6"/>
      <c r="E969" s="6"/>
      <c r="F969" s="6"/>
    </row>
    <row r="970" spans="2:6" ht="13">
      <c r="B970" s="6"/>
      <c r="C970" s="6"/>
      <c r="D970" s="6"/>
      <c r="E970" s="6"/>
      <c r="F970" s="6"/>
    </row>
    <row r="971" spans="2:6" ht="13">
      <c r="B971" s="6"/>
      <c r="C971" s="6"/>
      <c r="D971" s="6"/>
      <c r="E971" s="6"/>
      <c r="F971" s="6"/>
    </row>
    <row r="972" spans="2:6" ht="13">
      <c r="B972" s="6"/>
      <c r="C972" s="6"/>
      <c r="D972" s="6"/>
      <c r="E972" s="6"/>
      <c r="F972" s="6"/>
    </row>
    <row r="973" spans="2:6" ht="13">
      <c r="B973" s="6"/>
      <c r="C973" s="6"/>
      <c r="D973" s="6"/>
      <c r="E973" s="6"/>
      <c r="F973" s="6"/>
    </row>
    <row r="974" spans="2:6" ht="13">
      <c r="B974" s="6"/>
      <c r="C974" s="6"/>
      <c r="D974" s="6"/>
      <c r="E974" s="6"/>
      <c r="F974" s="6"/>
    </row>
    <row r="975" spans="2:6" ht="13">
      <c r="B975" s="6"/>
      <c r="C975" s="6"/>
      <c r="D975" s="6"/>
      <c r="E975" s="6"/>
      <c r="F975" s="6"/>
    </row>
    <row r="976" spans="2:6" ht="13">
      <c r="B976" s="6"/>
      <c r="C976" s="6"/>
      <c r="D976" s="6"/>
      <c r="E976" s="6"/>
      <c r="F976" s="6"/>
    </row>
    <row r="977" spans="2:6" ht="13">
      <c r="B977" s="6"/>
      <c r="C977" s="6"/>
      <c r="D977" s="6"/>
      <c r="E977" s="6"/>
      <c r="F977" s="6"/>
    </row>
    <row r="978" spans="2:6" ht="13">
      <c r="B978" s="6"/>
      <c r="C978" s="6"/>
      <c r="D978" s="6"/>
      <c r="E978" s="6"/>
      <c r="F978" s="6"/>
    </row>
    <row r="979" spans="2:6" ht="13">
      <c r="B979" s="6"/>
      <c r="C979" s="6"/>
      <c r="D979" s="6"/>
      <c r="E979" s="6"/>
      <c r="F979" s="6"/>
    </row>
    <row r="980" spans="2:6" ht="13">
      <c r="B980" s="6"/>
      <c r="C980" s="6"/>
      <c r="D980" s="6"/>
      <c r="E980" s="6"/>
      <c r="F980" s="6"/>
    </row>
    <row r="981" spans="2:6" ht="13">
      <c r="B981" s="6"/>
      <c r="C981" s="6"/>
      <c r="D981" s="6"/>
      <c r="E981" s="6"/>
      <c r="F981" s="6"/>
    </row>
    <row r="982" spans="2:6" ht="13">
      <c r="B982" s="6"/>
      <c r="C982" s="6"/>
      <c r="D982" s="6"/>
      <c r="E982" s="6"/>
      <c r="F982" s="6"/>
    </row>
    <row r="983" spans="2:6" ht="13">
      <c r="B983" s="6"/>
      <c r="C983" s="6"/>
      <c r="D983" s="6"/>
      <c r="E983" s="6"/>
      <c r="F983" s="6"/>
    </row>
    <row r="984" spans="2:6" ht="13">
      <c r="B984" s="6"/>
      <c r="C984" s="6"/>
      <c r="D984" s="6"/>
      <c r="E984" s="6"/>
      <c r="F984" s="6"/>
    </row>
    <row r="985" spans="2:6" ht="13">
      <c r="B985" s="6"/>
      <c r="C985" s="6"/>
      <c r="D985" s="6"/>
      <c r="E985" s="6"/>
      <c r="F985" s="6"/>
    </row>
    <row r="986" spans="2:6" ht="13">
      <c r="B986" s="6"/>
      <c r="C986" s="6"/>
      <c r="D986" s="6"/>
      <c r="E986" s="6"/>
      <c r="F986" s="6"/>
    </row>
    <row r="987" spans="2:6" ht="13">
      <c r="B987" s="6"/>
      <c r="C987" s="6"/>
      <c r="D987" s="6"/>
      <c r="E987" s="6"/>
      <c r="F987" s="6"/>
    </row>
    <row r="988" spans="2:6" ht="13">
      <c r="B988" s="6"/>
      <c r="C988" s="6"/>
      <c r="D988" s="6"/>
      <c r="E988" s="6"/>
      <c r="F988" s="6"/>
    </row>
    <row r="989" spans="2:6" ht="13">
      <c r="B989" s="6"/>
      <c r="C989" s="6"/>
      <c r="D989" s="6"/>
      <c r="E989" s="6"/>
      <c r="F989" s="6"/>
    </row>
    <row r="990" spans="2:6" ht="13">
      <c r="B990" s="6"/>
      <c r="C990" s="6"/>
      <c r="D990" s="6"/>
      <c r="E990" s="6"/>
      <c r="F990" s="6"/>
    </row>
    <row r="991" spans="2:6" ht="13">
      <c r="B991" s="6"/>
      <c r="C991" s="6"/>
      <c r="D991" s="6"/>
      <c r="E991" s="6"/>
      <c r="F991" s="6"/>
    </row>
    <row r="992" spans="2:6" ht="13">
      <c r="B992" s="6"/>
      <c r="C992" s="6"/>
      <c r="D992" s="6"/>
      <c r="E992" s="6"/>
      <c r="F992" s="6"/>
    </row>
    <row r="993" spans="2:6" ht="13">
      <c r="B993" s="6"/>
      <c r="C993" s="6"/>
      <c r="D993" s="6"/>
      <c r="E993" s="6"/>
      <c r="F993" s="6"/>
    </row>
    <row r="994" spans="2:6" ht="13">
      <c r="B994" s="6"/>
      <c r="C994" s="6"/>
      <c r="D994" s="6"/>
      <c r="E994" s="6"/>
      <c r="F994" s="6"/>
    </row>
    <row r="995" spans="2:6" ht="13">
      <c r="B995" s="6"/>
      <c r="C995" s="6"/>
      <c r="D995" s="6"/>
      <c r="E995" s="6"/>
      <c r="F995" s="6"/>
    </row>
    <row r="996" spans="2:6" ht="13">
      <c r="B996" s="6"/>
      <c r="C996" s="6"/>
      <c r="D996" s="6"/>
      <c r="E996" s="6"/>
      <c r="F996" s="6"/>
    </row>
    <row r="997" spans="2:6" ht="13">
      <c r="B997" s="6"/>
      <c r="C997" s="6"/>
      <c r="D997" s="6"/>
      <c r="E997" s="6"/>
      <c r="F997" s="6"/>
    </row>
    <row r="998" spans="2:6" ht="13">
      <c r="B998" s="6"/>
      <c r="C998" s="6"/>
      <c r="D998" s="6"/>
      <c r="E998" s="6"/>
      <c r="F998" s="6"/>
    </row>
    <row r="999" spans="2:6" ht="13">
      <c r="B999" s="6"/>
      <c r="C999" s="6"/>
      <c r="D999" s="6"/>
      <c r="E999" s="6"/>
      <c r="F999" s="6"/>
    </row>
    <row r="1000" spans="2:6" ht="13">
      <c r="B1000" s="6"/>
      <c r="C1000" s="6"/>
      <c r="D1000" s="6"/>
      <c r="E1000" s="6"/>
      <c r="F1000" s="6"/>
    </row>
    <row r="1001" spans="2:6" ht="13">
      <c r="B1001" s="6"/>
      <c r="C1001" s="6"/>
      <c r="D1001" s="6"/>
      <c r="E1001" s="6"/>
      <c r="F1001" s="6"/>
    </row>
    <row r="1002" spans="2:6" ht="13">
      <c r="B1002" s="6"/>
      <c r="C1002" s="6"/>
      <c r="D1002" s="6"/>
      <c r="E1002" s="6"/>
      <c r="F1002" s="6"/>
    </row>
    <row r="1003" spans="2:6" ht="13">
      <c r="B1003" s="6"/>
      <c r="C1003" s="6"/>
      <c r="D1003" s="6"/>
      <c r="E1003" s="6"/>
      <c r="F1003" s="6"/>
    </row>
    <row r="1004" spans="2:6" ht="13">
      <c r="B1004" s="6"/>
      <c r="C1004" s="6"/>
      <c r="D1004" s="6"/>
      <c r="E1004" s="6"/>
      <c r="F1004" s="6"/>
    </row>
    <row r="1005" spans="2:6" ht="13">
      <c r="B1005" s="6"/>
      <c r="C1005" s="6"/>
      <c r="D1005" s="6"/>
      <c r="E1005" s="6"/>
      <c r="F1005" s="6"/>
    </row>
    <row r="1006" spans="2:6" ht="13">
      <c r="B1006" s="6"/>
      <c r="C1006" s="6"/>
      <c r="D1006" s="6"/>
      <c r="E1006" s="6"/>
      <c r="F1006" s="6"/>
    </row>
    <row r="1007" spans="2:6" ht="13">
      <c r="B1007" s="6"/>
      <c r="C1007" s="6"/>
      <c r="D1007" s="6"/>
      <c r="E1007" s="6"/>
      <c r="F1007" s="6"/>
    </row>
    <row r="1008" spans="2:6" ht="13">
      <c r="B1008" s="6"/>
      <c r="C1008" s="6"/>
      <c r="D1008" s="6"/>
      <c r="E1008" s="6"/>
      <c r="F1008" s="6"/>
    </row>
    <row r="1009" spans="2:6" ht="13">
      <c r="B1009" s="6"/>
      <c r="C1009" s="6"/>
      <c r="D1009" s="6"/>
      <c r="E1009" s="6"/>
      <c r="F1009" s="6"/>
    </row>
    <row r="1010" spans="2:6" ht="13">
      <c r="B1010" s="6"/>
      <c r="C1010" s="6"/>
      <c r="D1010" s="6"/>
      <c r="E1010" s="6"/>
      <c r="F1010" s="6"/>
    </row>
    <row r="1011" spans="2:6" ht="13">
      <c r="B1011" s="6"/>
      <c r="C1011" s="6"/>
      <c r="D1011" s="6"/>
      <c r="E1011" s="6"/>
      <c r="F1011" s="6"/>
    </row>
    <row r="1012" spans="2:6" ht="13">
      <c r="B1012" s="6"/>
      <c r="C1012" s="6"/>
      <c r="D1012" s="6"/>
      <c r="E1012" s="6"/>
      <c r="F1012" s="6"/>
    </row>
    <row r="1013" spans="2:6" ht="13">
      <c r="B1013" s="6"/>
      <c r="C1013" s="6"/>
      <c r="D1013" s="6"/>
      <c r="E1013" s="6"/>
      <c r="F1013" s="6"/>
    </row>
  </sheetData>
  <mergeCells count="2">
    <mergeCell ref="J16:M16"/>
    <mergeCell ref="J20:M20"/>
  </mergeCells>
  <hyperlinks>
    <hyperlink ref="B12" r:id="rId1" xr:uid="{00000000-0004-0000-0500-000000000000}"/>
    <hyperlink ref="B13" r:id="rId2" location="/CBS/nl/dataset/84526NED/table?ts=1623854205977" xr:uid="{00000000-0004-0000-0500-000001000000}"/>
    <hyperlink ref="A98" r:id="rId3" xr:uid="{00000000-0004-0000-0500-000002000000}"/>
    <hyperlink ref="B111" r:id="rId4" xr:uid="{00000000-0004-0000-0500-000003000000}"/>
  </hyperlinks>
  <pageMargins left="0.7" right="0.7" top="0.75" bottom="0.75" header="0.3" footer="0.3"/>
  <drawing r:id="rId5"/>
  <tableParts count="6">
    <tablePart r:id="rId6"/>
    <tablePart r:id="rId7"/>
    <tablePart r:id="rId8"/>
    <tablePart r:id="rId9"/>
    <tablePart r:id="rId10"/>
    <tablePart r:id="rId1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104"/>
  <sheetViews>
    <sheetView topLeftCell="G1" workbookViewId="0"/>
  </sheetViews>
  <sheetFormatPr baseColWidth="10" defaultColWidth="12.6640625" defaultRowHeight="15.75" customHeight="1"/>
  <sheetData>
    <row r="1" spans="1:15" ht="15.75" customHeight="1">
      <c r="A1" s="2" t="s">
        <v>1001</v>
      </c>
      <c r="B1" s="39" t="s">
        <v>1002</v>
      </c>
      <c r="C1" s="2"/>
      <c r="D1" s="2"/>
      <c r="E1" s="6"/>
    </row>
    <row r="2" spans="1:15" ht="15.75" customHeight="1">
      <c r="A2" s="1" t="s">
        <v>1003</v>
      </c>
      <c r="B2" s="1" t="s">
        <v>1004</v>
      </c>
      <c r="C2" s="1" t="s">
        <v>1005</v>
      </c>
      <c r="D2" s="1" t="s">
        <v>1006</v>
      </c>
      <c r="E2" s="157" t="s">
        <v>1007</v>
      </c>
      <c r="G2" s="208" t="s">
        <v>1008</v>
      </c>
      <c r="H2" s="208" t="s">
        <v>1006</v>
      </c>
      <c r="I2" s="209"/>
      <c r="J2" s="210"/>
      <c r="M2" s="4" t="s">
        <v>1009</v>
      </c>
      <c r="N2" s="2"/>
      <c r="O2" s="2"/>
    </row>
    <row r="3" spans="1:15" ht="15.75" customHeight="1">
      <c r="A3" s="2" t="s">
        <v>1010</v>
      </c>
      <c r="B3" s="2" t="s">
        <v>1011</v>
      </c>
      <c r="C3" s="2" t="s">
        <v>1012</v>
      </c>
      <c r="D3" s="2" t="s">
        <v>1013</v>
      </c>
      <c r="E3" s="6">
        <v>19223890</v>
      </c>
      <c r="G3" s="208" t="s">
        <v>1004</v>
      </c>
      <c r="H3" s="211" t="s">
        <v>1014</v>
      </c>
      <c r="I3" s="212" t="s">
        <v>1013</v>
      </c>
      <c r="J3" s="213" t="s">
        <v>1015</v>
      </c>
      <c r="K3" s="2" t="s">
        <v>1016</v>
      </c>
      <c r="M3" s="1" t="s">
        <v>936</v>
      </c>
      <c r="N3" s="1" t="s">
        <v>1017</v>
      </c>
      <c r="O3" s="1" t="s">
        <v>1018</v>
      </c>
    </row>
    <row r="4" spans="1:15" ht="15.75" customHeight="1">
      <c r="A4" s="2" t="s">
        <v>1010</v>
      </c>
      <c r="B4" s="2" t="s">
        <v>1011</v>
      </c>
      <c r="C4" s="2" t="s">
        <v>1012</v>
      </c>
      <c r="D4" s="2" t="s">
        <v>1014</v>
      </c>
      <c r="E4" s="6">
        <v>8331840</v>
      </c>
      <c r="F4" s="24"/>
      <c r="G4" s="211" t="s">
        <v>1011</v>
      </c>
      <c r="H4" s="229">
        <v>8331840</v>
      </c>
      <c r="I4" s="230">
        <v>19223890</v>
      </c>
      <c r="J4" s="235"/>
      <c r="K4" s="24">
        <f t="shared" ref="K4:K23" si="0">I4-H4+J4</f>
        <v>10892050</v>
      </c>
      <c r="M4" s="2">
        <v>2002</v>
      </c>
      <c r="N4" s="24">
        <f t="shared" ref="N4:N18" si="1">K4</f>
        <v>10892050</v>
      </c>
      <c r="O4" s="2"/>
    </row>
    <row r="5" spans="1:15" ht="15.75" customHeight="1">
      <c r="A5" s="2" t="s">
        <v>1010</v>
      </c>
      <c r="B5" s="2" t="s">
        <v>1011</v>
      </c>
      <c r="C5" s="2" t="s">
        <v>1012</v>
      </c>
      <c r="D5" s="2" t="s">
        <v>1019</v>
      </c>
      <c r="E5" s="6" t="s">
        <v>1020</v>
      </c>
      <c r="F5" s="24"/>
      <c r="G5" s="214" t="s">
        <v>1021</v>
      </c>
      <c r="H5" s="231">
        <v>11895970</v>
      </c>
      <c r="I5" s="232">
        <v>26347030</v>
      </c>
      <c r="J5" s="236">
        <v>27574000</v>
      </c>
      <c r="K5" s="24">
        <f t="shared" si="0"/>
        <v>42025060</v>
      </c>
      <c r="M5" s="2">
        <v>2003</v>
      </c>
      <c r="N5" s="24">
        <f t="shared" si="1"/>
        <v>42025060</v>
      </c>
      <c r="O5" s="24"/>
    </row>
    <row r="6" spans="1:15" ht="15.75" customHeight="1">
      <c r="A6" s="2" t="s">
        <v>1010</v>
      </c>
      <c r="B6" s="2" t="s">
        <v>1021</v>
      </c>
      <c r="C6" s="2" t="s">
        <v>1012</v>
      </c>
      <c r="D6" s="2" t="s">
        <v>1015</v>
      </c>
      <c r="E6" s="6">
        <v>27574000</v>
      </c>
      <c r="F6" s="24"/>
      <c r="G6" s="214" t="s">
        <v>1022</v>
      </c>
      <c r="H6" s="231">
        <v>14754780</v>
      </c>
      <c r="I6" s="232">
        <v>33674580</v>
      </c>
      <c r="J6" s="236">
        <v>23771000</v>
      </c>
      <c r="K6" s="24">
        <f t="shared" si="0"/>
        <v>42690800</v>
      </c>
      <c r="M6" s="2">
        <v>2004</v>
      </c>
      <c r="N6" s="24">
        <f t="shared" si="1"/>
        <v>42690800</v>
      </c>
      <c r="O6" s="24"/>
    </row>
    <row r="7" spans="1:15" ht="15.75" customHeight="1">
      <c r="A7" s="2" t="s">
        <v>1010</v>
      </c>
      <c r="B7" s="2" t="s">
        <v>1021</v>
      </c>
      <c r="C7" s="2" t="s">
        <v>1012</v>
      </c>
      <c r="D7" s="2" t="s">
        <v>1013</v>
      </c>
      <c r="E7" s="6">
        <v>26347030</v>
      </c>
      <c r="F7" s="24"/>
      <c r="G7" s="214" t="s">
        <v>1023</v>
      </c>
      <c r="H7" s="231">
        <v>18766080</v>
      </c>
      <c r="I7" s="232">
        <v>37052890</v>
      </c>
      <c r="J7" s="236">
        <v>19838000</v>
      </c>
      <c r="K7" s="24">
        <f t="shared" si="0"/>
        <v>38124810</v>
      </c>
      <c r="M7" s="2">
        <v>2005</v>
      </c>
      <c r="N7" s="24">
        <f t="shared" si="1"/>
        <v>38124810</v>
      </c>
      <c r="O7" s="24"/>
    </row>
    <row r="8" spans="1:15" ht="15.75" customHeight="1">
      <c r="A8" s="2" t="s">
        <v>1010</v>
      </c>
      <c r="B8" s="2" t="s">
        <v>1021</v>
      </c>
      <c r="C8" s="2" t="s">
        <v>1012</v>
      </c>
      <c r="D8" s="2" t="s">
        <v>1014</v>
      </c>
      <c r="E8" s="6">
        <v>11895970</v>
      </c>
      <c r="F8" s="24"/>
      <c r="G8" s="214" t="s">
        <v>1024</v>
      </c>
      <c r="H8" s="231">
        <v>31808430</v>
      </c>
      <c r="I8" s="232">
        <v>51739190</v>
      </c>
      <c r="J8" s="236">
        <v>15146000</v>
      </c>
      <c r="K8" s="24">
        <f t="shared" si="0"/>
        <v>35076760</v>
      </c>
      <c r="M8" s="2">
        <v>2006</v>
      </c>
      <c r="N8" s="24">
        <f t="shared" si="1"/>
        <v>35076760</v>
      </c>
      <c r="O8" s="24"/>
    </row>
    <row r="9" spans="1:15" ht="15.75" customHeight="1">
      <c r="A9" s="2" t="s">
        <v>1010</v>
      </c>
      <c r="B9" s="2" t="s">
        <v>1021</v>
      </c>
      <c r="C9" s="2" t="s">
        <v>1012</v>
      </c>
      <c r="D9" s="2" t="s">
        <v>1019</v>
      </c>
      <c r="E9" s="6" t="s">
        <v>1020</v>
      </c>
      <c r="F9" s="24"/>
      <c r="G9" s="214" t="s">
        <v>1025</v>
      </c>
      <c r="H9" s="231">
        <v>54266440</v>
      </c>
      <c r="I9" s="232">
        <v>72622230</v>
      </c>
      <c r="J9" s="236">
        <v>8826000</v>
      </c>
      <c r="K9" s="24">
        <f t="shared" si="0"/>
        <v>27181790</v>
      </c>
      <c r="M9" s="2">
        <v>2007</v>
      </c>
      <c r="N9" s="24">
        <f t="shared" si="1"/>
        <v>27181790</v>
      </c>
      <c r="O9" s="24"/>
    </row>
    <row r="10" spans="1:15" ht="15.75" customHeight="1">
      <c r="A10" s="2" t="s">
        <v>1010</v>
      </c>
      <c r="B10" s="2" t="s">
        <v>1021</v>
      </c>
      <c r="C10" s="2" t="s">
        <v>1012</v>
      </c>
      <c r="D10" s="2" t="s">
        <v>1026</v>
      </c>
      <c r="E10" s="6">
        <v>39369</v>
      </c>
      <c r="F10" s="24"/>
      <c r="G10" s="214" t="s">
        <v>1027</v>
      </c>
      <c r="H10" s="231">
        <v>39656330</v>
      </c>
      <c r="I10" s="232">
        <v>72162530</v>
      </c>
      <c r="J10" s="236">
        <v>10528000</v>
      </c>
      <c r="K10" s="24">
        <f t="shared" si="0"/>
        <v>43034200</v>
      </c>
      <c r="M10" s="2">
        <v>2008</v>
      </c>
      <c r="N10" s="24">
        <f t="shared" si="1"/>
        <v>43034200</v>
      </c>
      <c r="O10" s="24"/>
    </row>
    <row r="11" spans="1:15" ht="15.75" customHeight="1">
      <c r="A11" s="2" t="s">
        <v>1010</v>
      </c>
      <c r="B11" s="2" t="s">
        <v>1022</v>
      </c>
      <c r="C11" s="2" t="s">
        <v>1012</v>
      </c>
      <c r="D11" s="2" t="s">
        <v>1015</v>
      </c>
      <c r="E11" s="6">
        <v>23771000</v>
      </c>
      <c r="F11" s="24"/>
      <c r="G11" s="214" t="s">
        <v>1028</v>
      </c>
      <c r="H11" s="231">
        <v>25139310</v>
      </c>
      <c r="I11" s="232">
        <v>60484190</v>
      </c>
      <c r="J11" s="236">
        <v>27273000</v>
      </c>
      <c r="K11" s="24">
        <f t="shared" si="0"/>
        <v>62617880</v>
      </c>
      <c r="M11" s="2">
        <v>2009</v>
      </c>
      <c r="N11" s="24">
        <f t="shared" si="1"/>
        <v>62617880</v>
      </c>
      <c r="O11" s="24"/>
    </row>
    <row r="12" spans="1:15" ht="15.75" customHeight="1">
      <c r="A12" s="2" t="s">
        <v>1010</v>
      </c>
      <c r="B12" s="2" t="s">
        <v>1022</v>
      </c>
      <c r="C12" s="2" t="s">
        <v>1012</v>
      </c>
      <c r="D12" s="2" t="s">
        <v>1013</v>
      </c>
      <c r="E12" s="6">
        <v>33674580</v>
      </c>
      <c r="F12" s="24"/>
      <c r="G12" s="214" t="s">
        <v>1029</v>
      </c>
      <c r="H12" s="231">
        <v>36829890</v>
      </c>
      <c r="I12" s="232">
        <v>69816070</v>
      </c>
      <c r="J12" s="236">
        <v>24252000</v>
      </c>
      <c r="K12" s="24">
        <f t="shared" si="0"/>
        <v>57238180</v>
      </c>
      <c r="M12" s="2">
        <v>2010</v>
      </c>
      <c r="N12" s="24">
        <f t="shared" si="1"/>
        <v>57238180</v>
      </c>
      <c r="O12" s="24"/>
    </row>
    <row r="13" spans="1:15" ht="15.75" customHeight="1">
      <c r="A13" s="2" t="s">
        <v>1010</v>
      </c>
      <c r="B13" s="2" t="s">
        <v>1022</v>
      </c>
      <c r="C13" s="2" t="s">
        <v>1012</v>
      </c>
      <c r="D13" s="2" t="s">
        <v>1014</v>
      </c>
      <c r="E13" s="6">
        <v>14754780</v>
      </c>
      <c r="F13" s="24"/>
      <c r="G13" s="214" t="s">
        <v>1030</v>
      </c>
      <c r="H13" s="231">
        <v>47048280</v>
      </c>
      <c r="I13" s="232">
        <v>94690080</v>
      </c>
      <c r="J13" s="236">
        <v>10516000</v>
      </c>
      <c r="K13" s="24">
        <f t="shared" si="0"/>
        <v>58157800</v>
      </c>
      <c r="M13" s="2">
        <v>2011</v>
      </c>
      <c r="N13" s="24">
        <f t="shared" si="1"/>
        <v>58157800</v>
      </c>
      <c r="O13" s="24"/>
    </row>
    <row r="14" spans="1:15" ht="15.75" customHeight="1">
      <c r="A14" s="2" t="s">
        <v>1010</v>
      </c>
      <c r="B14" s="2" t="s">
        <v>1022</v>
      </c>
      <c r="C14" s="2" t="s">
        <v>1012</v>
      </c>
      <c r="D14" s="2" t="s">
        <v>1019</v>
      </c>
      <c r="E14" s="6" t="s">
        <v>1020</v>
      </c>
      <c r="F14" s="24"/>
      <c r="G14" s="214" t="s">
        <v>1031</v>
      </c>
      <c r="H14" s="231">
        <v>50358720</v>
      </c>
      <c r="I14" s="232">
        <v>84160980</v>
      </c>
      <c r="J14" s="236">
        <v>6895000</v>
      </c>
      <c r="K14" s="24">
        <f t="shared" si="0"/>
        <v>40697260</v>
      </c>
      <c r="M14" s="2">
        <v>2012</v>
      </c>
      <c r="N14" s="24">
        <f t="shared" si="1"/>
        <v>40697260</v>
      </c>
      <c r="O14" s="24"/>
    </row>
    <row r="15" spans="1:15" ht="15.75" customHeight="1">
      <c r="A15" s="2" t="s">
        <v>1010</v>
      </c>
      <c r="B15" s="2" t="s">
        <v>1022</v>
      </c>
      <c r="C15" s="2" t="s">
        <v>1012</v>
      </c>
      <c r="D15" s="2" t="s">
        <v>1026</v>
      </c>
      <c r="E15" s="6">
        <v>1760</v>
      </c>
      <c r="F15" s="24"/>
      <c r="G15" s="214" t="s">
        <v>1032</v>
      </c>
      <c r="H15" s="231">
        <v>22423440</v>
      </c>
      <c r="I15" s="232">
        <v>40758100</v>
      </c>
      <c r="J15" s="236">
        <v>7701000</v>
      </c>
      <c r="K15" s="24">
        <f t="shared" si="0"/>
        <v>26035660</v>
      </c>
      <c r="M15" s="2">
        <v>2013</v>
      </c>
      <c r="N15" s="24">
        <f t="shared" si="1"/>
        <v>26035660</v>
      </c>
      <c r="O15" s="24"/>
    </row>
    <row r="16" spans="1:15" ht="15.75" customHeight="1">
      <c r="A16" s="2" t="s">
        <v>1010</v>
      </c>
      <c r="B16" s="2" t="s">
        <v>1023</v>
      </c>
      <c r="C16" s="2" t="s">
        <v>1012</v>
      </c>
      <c r="D16" s="2" t="s">
        <v>1015</v>
      </c>
      <c r="E16" s="6">
        <v>19838000</v>
      </c>
      <c r="F16" s="24"/>
      <c r="G16" s="214" t="s">
        <v>1033</v>
      </c>
      <c r="H16" s="231">
        <v>26221390</v>
      </c>
      <c r="I16" s="232">
        <v>47783840</v>
      </c>
      <c r="J16" s="236">
        <v>7541000</v>
      </c>
      <c r="K16" s="24">
        <f t="shared" si="0"/>
        <v>29103450</v>
      </c>
      <c r="M16" s="2">
        <v>2014</v>
      </c>
      <c r="N16" s="24">
        <f t="shared" si="1"/>
        <v>29103450</v>
      </c>
      <c r="O16" s="24"/>
    </row>
    <row r="17" spans="1:15" ht="15.75" customHeight="1">
      <c r="A17" s="2" t="s">
        <v>1010</v>
      </c>
      <c r="B17" s="2" t="s">
        <v>1023</v>
      </c>
      <c r="C17" s="2" t="s">
        <v>1012</v>
      </c>
      <c r="D17" s="2" t="s">
        <v>1013</v>
      </c>
      <c r="E17" s="6">
        <v>37052890</v>
      </c>
      <c r="F17" s="24"/>
      <c r="G17" s="214" t="s">
        <v>1034</v>
      </c>
      <c r="H17" s="231">
        <v>25874580</v>
      </c>
      <c r="I17" s="232">
        <v>49940360</v>
      </c>
      <c r="J17" s="236">
        <v>7686000</v>
      </c>
      <c r="K17" s="24">
        <f t="shared" si="0"/>
        <v>31751780</v>
      </c>
      <c r="M17" s="2">
        <v>2015</v>
      </c>
      <c r="N17" s="24">
        <f t="shared" si="1"/>
        <v>31751780</v>
      </c>
      <c r="O17" s="24"/>
    </row>
    <row r="18" spans="1:15" ht="15.75" customHeight="1">
      <c r="A18" s="2" t="s">
        <v>1010</v>
      </c>
      <c r="B18" s="2" t="s">
        <v>1023</v>
      </c>
      <c r="C18" s="2" t="s">
        <v>1012</v>
      </c>
      <c r="D18" s="2" t="s">
        <v>1014</v>
      </c>
      <c r="E18" s="6">
        <v>18766080</v>
      </c>
      <c r="F18" s="24"/>
      <c r="G18" s="214" t="s">
        <v>1035</v>
      </c>
      <c r="H18" s="231">
        <v>17887750</v>
      </c>
      <c r="I18" s="232">
        <v>61578390</v>
      </c>
      <c r="J18" s="236">
        <v>25940000</v>
      </c>
      <c r="K18" s="24">
        <f t="shared" si="0"/>
        <v>69630640</v>
      </c>
      <c r="M18" s="2">
        <v>2016</v>
      </c>
      <c r="N18" s="24">
        <f t="shared" si="1"/>
        <v>69630640</v>
      </c>
      <c r="O18" s="24">
        <f t="shared" ref="O18:O23" si="2">K18</f>
        <v>69630640</v>
      </c>
    </row>
    <row r="19" spans="1:15" ht="15.75" customHeight="1">
      <c r="A19" s="2" t="s">
        <v>1010</v>
      </c>
      <c r="B19" s="2" t="s">
        <v>1023</v>
      </c>
      <c r="C19" s="2" t="s">
        <v>1012</v>
      </c>
      <c r="D19" s="2" t="s">
        <v>1019</v>
      </c>
      <c r="E19" s="6" t="s">
        <v>1020</v>
      </c>
      <c r="F19" s="24"/>
      <c r="G19" s="214" t="s">
        <v>1036</v>
      </c>
      <c r="H19" s="231">
        <v>47362590</v>
      </c>
      <c r="I19" s="232">
        <v>85470140</v>
      </c>
      <c r="J19" s="236">
        <v>20121000</v>
      </c>
      <c r="K19" s="24">
        <f t="shared" si="0"/>
        <v>58228550</v>
      </c>
      <c r="M19" s="2">
        <v>2017</v>
      </c>
      <c r="N19" s="2"/>
      <c r="O19" s="24">
        <f t="shared" si="2"/>
        <v>58228550</v>
      </c>
    </row>
    <row r="20" spans="1:15" ht="15.75" customHeight="1">
      <c r="A20" s="2" t="s">
        <v>1010</v>
      </c>
      <c r="B20" s="2" t="s">
        <v>1023</v>
      </c>
      <c r="C20" s="2" t="s">
        <v>1012</v>
      </c>
      <c r="D20" s="2" t="s">
        <v>1026</v>
      </c>
      <c r="E20" s="6">
        <v>26977</v>
      </c>
      <c r="F20" s="24"/>
      <c r="G20" s="214" t="s">
        <v>1037</v>
      </c>
      <c r="H20" s="231">
        <v>56946610</v>
      </c>
      <c r="I20" s="232">
        <v>114180210</v>
      </c>
      <c r="J20" s="236">
        <v>12934000</v>
      </c>
      <c r="K20" s="24">
        <f t="shared" si="0"/>
        <v>70167600</v>
      </c>
      <c r="M20" s="2">
        <v>2018</v>
      </c>
      <c r="N20" s="2"/>
      <c r="O20" s="24">
        <f t="shared" si="2"/>
        <v>70167600</v>
      </c>
    </row>
    <row r="21" spans="1:15" ht="15.75" customHeight="1">
      <c r="A21" s="2" t="s">
        <v>1010</v>
      </c>
      <c r="B21" s="2" t="s">
        <v>1024</v>
      </c>
      <c r="C21" s="2" t="s">
        <v>1012</v>
      </c>
      <c r="D21" s="2" t="s">
        <v>1015</v>
      </c>
      <c r="E21" s="6">
        <v>15146000</v>
      </c>
      <c r="F21" s="24"/>
      <c r="G21" s="214" t="s">
        <v>1038</v>
      </c>
      <c r="H21" s="231">
        <v>69289910</v>
      </c>
      <c r="I21" s="232">
        <v>206514910</v>
      </c>
      <c r="J21" s="236">
        <v>15858000</v>
      </c>
      <c r="K21" s="24">
        <f t="shared" si="0"/>
        <v>153083000</v>
      </c>
      <c r="M21" s="2">
        <v>2019</v>
      </c>
      <c r="N21" s="2"/>
      <c r="O21" s="24">
        <f t="shared" si="2"/>
        <v>153083000</v>
      </c>
    </row>
    <row r="22" spans="1:15" ht="15.75" customHeight="1">
      <c r="A22" s="2" t="s">
        <v>1010</v>
      </c>
      <c r="B22" s="2" t="s">
        <v>1024</v>
      </c>
      <c r="C22" s="2" t="s">
        <v>1012</v>
      </c>
      <c r="D22" s="2" t="s">
        <v>1013</v>
      </c>
      <c r="E22" s="6">
        <v>51739190</v>
      </c>
      <c r="F22" s="24"/>
      <c r="G22" s="214" t="s">
        <v>1039</v>
      </c>
      <c r="H22" s="231">
        <v>86229859</v>
      </c>
      <c r="I22" s="232">
        <v>270979940</v>
      </c>
      <c r="J22" s="236">
        <v>21362000</v>
      </c>
      <c r="K22" s="24">
        <f t="shared" si="0"/>
        <v>206112081</v>
      </c>
      <c r="M22" s="2">
        <v>2020</v>
      </c>
      <c r="N22" s="2"/>
      <c r="O22" s="24">
        <f t="shared" si="2"/>
        <v>206112081</v>
      </c>
    </row>
    <row r="23" spans="1:15" ht="15.75" customHeight="1">
      <c r="A23" s="2" t="s">
        <v>1010</v>
      </c>
      <c r="B23" s="2" t="s">
        <v>1024</v>
      </c>
      <c r="C23" s="2" t="s">
        <v>1012</v>
      </c>
      <c r="D23" s="2" t="s">
        <v>1014</v>
      </c>
      <c r="E23" s="6">
        <v>31808430</v>
      </c>
      <c r="F23" s="24"/>
      <c r="G23" s="215" t="s">
        <v>1040</v>
      </c>
      <c r="H23" s="237">
        <v>115633860</v>
      </c>
      <c r="I23" s="238">
        <v>346428511</v>
      </c>
      <c r="J23" s="239">
        <v>11066000</v>
      </c>
      <c r="K23" s="24">
        <f t="shared" si="0"/>
        <v>241860651</v>
      </c>
      <c r="M23" s="2">
        <v>2021</v>
      </c>
      <c r="N23" s="2"/>
      <c r="O23" s="24">
        <f t="shared" si="2"/>
        <v>241860651</v>
      </c>
    </row>
    <row r="24" spans="1:15" ht="15.75" customHeight="1">
      <c r="A24" s="2" t="s">
        <v>1010</v>
      </c>
      <c r="B24" s="2" t="s">
        <v>1024</v>
      </c>
      <c r="C24" s="2" t="s">
        <v>1012</v>
      </c>
      <c r="D24" s="2" t="s">
        <v>1019</v>
      </c>
      <c r="E24" s="6" t="s">
        <v>1020</v>
      </c>
      <c r="F24" s="24"/>
      <c r="G24" s="24"/>
      <c r="H24" s="24"/>
      <c r="I24" s="24"/>
      <c r="J24" s="24"/>
      <c r="K24" s="24"/>
      <c r="O24" s="24"/>
    </row>
    <row r="25" spans="1:15" ht="15.75" customHeight="1">
      <c r="A25" s="2" t="s">
        <v>1010</v>
      </c>
      <c r="B25" s="2" t="s">
        <v>1024</v>
      </c>
      <c r="C25" s="2" t="s">
        <v>1012</v>
      </c>
      <c r="D25" s="2" t="s">
        <v>1026</v>
      </c>
      <c r="E25" s="6">
        <v>23756</v>
      </c>
      <c r="F25" s="24"/>
      <c r="G25" s="24"/>
      <c r="H25" s="24"/>
      <c r="I25" s="24"/>
      <c r="J25" s="24"/>
      <c r="K25" s="24"/>
      <c r="L25" s="24"/>
      <c r="M25" s="163"/>
      <c r="N25" s="24"/>
      <c r="O25" s="24"/>
    </row>
    <row r="26" spans="1:15" ht="15.75" customHeight="1">
      <c r="A26" s="2" t="s">
        <v>1010</v>
      </c>
      <c r="B26" s="2" t="s">
        <v>1025</v>
      </c>
      <c r="C26" s="2" t="s">
        <v>1012</v>
      </c>
      <c r="D26" s="2" t="s">
        <v>1015</v>
      </c>
      <c r="E26" s="6">
        <v>8826000</v>
      </c>
      <c r="F26" s="24"/>
      <c r="G26" s="24"/>
      <c r="H26" s="24"/>
      <c r="I26" s="24"/>
      <c r="J26" s="24"/>
      <c r="K26" s="24"/>
      <c r="L26" s="24"/>
      <c r="M26" s="163"/>
      <c r="N26" s="24"/>
      <c r="O26" s="24"/>
    </row>
    <row r="27" spans="1:15" ht="15.75" customHeight="1">
      <c r="A27" s="2" t="s">
        <v>1010</v>
      </c>
      <c r="B27" s="2" t="s">
        <v>1025</v>
      </c>
      <c r="C27" s="2" t="s">
        <v>1012</v>
      </c>
      <c r="D27" s="2" t="s">
        <v>1013</v>
      </c>
      <c r="E27" s="6">
        <v>72622230</v>
      </c>
      <c r="F27" s="24"/>
      <c r="G27" s="24"/>
      <c r="H27" s="24"/>
      <c r="I27" s="24"/>
      <c r="J27" s="24"/>
      <c r="K27" s="24"/>
      <c r="L27" s="24"/>
      <c r="M27" s="163"/>
      <c r="N27" s="24"/>
      <c r="O27" s="24"/>
    </row>
    <row r="28" spans="1:15" ht="15.75" customHeight="1">
      <c r="A28" s="2" t="s">
        <v>1010</v>
      </c>
      <c r="B28" s="2" t="s">
        <v>1025</v>
      </c>
      <c r="C28" s="2" t="s">
        <v>1012</v>
      </c>
      <c r="D28" s="2" t="s">
        <v>1014</v>
      </c>
      <c r="E28" s="6">
        <v>54266440</v>
      </c>
      <c r="F28" s="24"/>
      <c r="G28" s="24"/>
      <c r="H28" s="24"/>
      <c r="I28" s="24"/>
      <c r="J28" s="24"/>
      <c r="K28" s="24"/>
      <c r="L28" s="24"/>
      <c r="M28" s="163"/>
      <c r="N28" s="24"/>
      <c r="O28" s="24"/>
    </row>
    <row r="29" spans="1:15" ht="15.75" customHeight="1">
      <c r="A29" s="2" t="s">
        <v>1010</v>
      </c>
      <c r="B29" s="2" t="s">
        <v>1025</v>
      </c>
      <c r="C29" s="2" t="s">
        <v>1012</v>
      </c>
      <c r="D29" s="2" t="s">
        <v>1019</v>
      </c>
      <c r="E29" s="6" t="s">
        <v>1020</v>
      </c>
      <c r="F29" s="24"/>
      <c r="G29" s="24"/>
      <c r="H29" s="24"/>
      <c r="I29" s="24"/>
      <c r="J29" s="24"/>
      <c r="K29" s="24"/>
      <c r="L29" s="24"/>
      <c r="M29" s="163"/>
      <c r="N29" s="24"/>
      <c r="O29" s="24"/>
    </row>
    <row r="30" spans="1:15" ht="15.75" customHeight="1">
      <c r="A30" s="2" t="s">
        <v>1010</v>
      </c>
      <c r="B30" s="2" t="s">
        <v>1025</v>
      </c>
      <c r="C30" s="2" t="s">
        <v>1012</v>
      </c>
      <c r="D30" s="2" t="s">
        <v>1026</v>
      </c>
      <c r="E30" s="6">
        <v>14200</v>
      </c>
      <c r="F30" s="24"/>
      <c r="G30" s="24"/>
      <c r="H30" s="24"/>
      <c r="I30" s="24"/>
      <c r="J30" s="24"/>
      <c r="K30" s="24"/>
      <c r="L30" s="24"/>
      <c r="M30" s="163"/>
      <c r="N30" s="24"/>
      <c r="O30" s="24"/>
    </row>
    <row r="31" spans="1:15" ht="15.75" customHeight="1">
      <c r="A31" s="2" t="s">
        <v>1010</v>
      </c>
      <c r="B31" s="2" t="s">
        <v>1027</v>
      </c>
      <c r="C31" s="2" t="s">
        <v>1012</v>
      </c>
      <c r="D31" s="2" t="s">
        <v>1015</v>
      </c>
      <c r="E31" s="6">
        <v>10528000</v>
      </c>
      <c r="F31" s="24"/>
      <c r="G31" s="24"/>
      <c r="H31" s="24"/>
      <c r="I31" s="24"/>
      <c r="J31" s="24"/>
      <c r="K31" s="24"/>
      <c r="L31" s="24"/>
      <c r="M31" s="163"/>
      <c r="N31" s="24"/>
      <c r="O31" s="24"/>
    </row>
    <row r="32" spans="1:15" ht="15.75" customHeight="1">
      <c r="A32" s="2" t="s">
        <v>1010</v>
      </c>
      <c r="B32" s="2" t="s">
        <v>1027</v>
      </c>
      <c r="C32" s="2" t="s">
        <v>1012</v>
      </c>
      <c r="D32" s="2" t="s">
        <v>1013</v>
      </c>
      <c r="E32" s="6">
        <v>72162530</v>
      </c>
      <c r="F32" s="24"/>
      <c r="G32" s="24"/>
      <c r="H32" s="24"/>
      <c r="I32" s="24"/>
      <c r="J32" s="24"/>
      <c r="K32" s="24"/>
      <c r="L32" s="24"/>
      <c r="M32" s="163"/>
      <c r="N32" s="24"/>
      <c r="O32" s="24"/>
    </row>
    <row r="33" spans="1:15" ht="15.75" customHeight="1">
      <c r="A33" s="2" t="s">
        <v>1010</v>
      </c>
      <c r="B33" s="2" t="s">
        <v>1027</v>
      </c>
      <c r="C33" s="2" t="s">
        <v>1012</v>
      </c>
      <c r="D33" s="2" t="s">
        <v>1014</v>
      </c>
      <c r="E33" s="6">
        <v>39656330</v>
      </c>
      <c r="F33" s="24"/>
      <c r="G33" s="24"/>
      <c r="H33" s="24"/>
      <c r="I33" s="24"/>
      <c r="J33" s="24"/>
      <c r="K33" s="24"/>
      <c r="L33" s="24"/>
      <c r="M33" s="163"/>
      <c r="N33" s="24"/>
      <c r="O33" s="24"/>
    </row>
    <row r="34" spans="1:15" ht="15.75" customHeight="1">
      <c r="A34" s="2" t="s">
        <v>1010</v>
      </c>
      <c r="B34" s="2" t="s">
        <v>1027</v>
      </c>
      <c r="C34" s="2" t="s">
        <v>1012</v>
      </c>
      <c r="D34" s="2" t="s">
        <v>1019</v>
      </c>
      <c r="E34" s="6" t="s">
        <v>1020</v>
      </c>
      <c r="F34" s="24"/>
      <c r="G34" s="24"/>
      <c r="H34" s="24"/>
      <c r="I34" s="24"/>
      <c r="J34" s="24"/>
      <c r="K34" s="24"/>
      <c r="L34" s="24"/>
      <c r="M34" s="163"/>
      <c r="N34" s="24"/>
      <c r="O34" s="24"/>
    </row>
    <row r="35" spans="1:15" ht="15.75" customHeight="1">
      <c r="A35" s="2" t="s">
        <v>1010</v>
      </c>
      <c r="B35" s="2" t="s">
        <v>1027</v>
      </c>
      <c r="C35" s="2" t="s">
        <v>1012</v>
      </c>
      <c r="D35" s="2" t="s">
        <v>1026</v>
      </c>
      <c r="E35" s="6">
        <v>17153</v>
      </c>
      <c r="F35" s="24"/>
      <c r="G35" s="24"/>
      <c r="H35" s="24"/>
      <c r="I35" s="24"/>
      <c r="J35" s="24"/>
      <c r="K35" s="24"/>
      <c r="L35" s="24"/>
      <c r="M35" s="163"/>
      <c r="N35" s="24"/>
      <c r="O35" s="24"/>
    </row>
    <row r="36" spans="1:15" ht="15.75" customHeight="1">
      <c r="A36" s="2" t="s">
        <v>1010</v>
      </c>
      <c r="B36" s="2" t="s">
        <v>1028</v>
      </c>
      <c r="C36" s="2" t="s">
        <v>1012</v>
      </c>
      <c r="D36" s="2" t="s">
        <v>1015</v>
      </c>
      <c r="E36" s="6">
        <v>27273000</v>
      </c>
      <c r="F36" s="24"/>
      <c r="G36" s="24"/>
      <c r="H36" s="24"/>
      <c r="I36" s="24"/>
      <c r="J36" s="24"/>
      <c r="K36" s="24"/>
      <c r="L36" s="24"/>
      <c r="M36" s="163"/>
      <c r="N36" s="24"/>
      <c r="O36" s="24"/>
    </row>
    <row r="37" spans="1:15" ht="15.75" customHeight="1">
      <c r="A37" s="2" t="s">
        <v>1010</v>
      </c>
      <c r="B37" s="2" t="s">
        <v>1028</v>
      </c>
      <c r="C37" s="2" t="s">
        <v>1012</v>
      </c>
      <c r="D37" s="2" t="s">
        <v>1013</v>
      </c>
      <c r="E37" s="6">
        <v>60484190</v>
      </c>
      <c r="F37" s="24"/>
      <c r="G37" s="24"/>
      <c r="H37" s="24"/>
      <c r="I37" s="24"/>
      <c r="J37" s="24"/>
      <c r="K37" s="24"/>
      <c r="L37" s="24"/>
      <c r="M37" s="163"/>
      <c r="N37" s="24"/>
      <c r="O37" s="24"/>
    </row>
    <row r="38" spans="1:15" ht="15.75" customHeight="1">
      <c r="A38" s="2" t="s">
        <v>1010</v>
      </c>
      <c r="B38" s="2" t="s">
        <v>1028</v>
      </c>
      <c r="C38" s="2" t="s">
        <v>1012</v>
      </c>
      <c r="D38" s="2" t="s">
        <v>1014</v>
      </c>
      <c r="E38" s="6">
        <v>25139310</v>
      </c>
      <c r="F38" s="24"/>
      <c r="G38" s="24"/>
      <c r="H38" s="24"/>
      <c r="I38" s="24"/>
      <c r="J38" s="24"/>
      <c r="K38" s="24"/>
      <c r="L38" s="24"/>
      <c r="M38" s="163"/>
      <c r="N38" s="24"/>
      <c r="O38" s="24"/>
    </row>
    <row r="39" spans="1:15" ht="15.75" customHeight="1">
      <c r="A39" s="2" t="s">
        <v>1010</v>
      </c>
      <c r="B39" s="2" t="s">
        <v>1028</v>
      </c>
      <c r="C39" s="2" t="s">
        <v>1012</v>
      </c>
      <c r="D39" s="2" t="s">
        <v>1019</v>
      </c>
      <c r="E39" s="6" t="s">
        <v>1020</v>
      </c>
      <c r="F39" s="24"/>
      <c r="G39" s="24"/>
      <c r="H39" s="24"/>
      <c r="I39" s="24"/>
      <c r="J39" s="24"/>
      <c r="K39" s="24"/>
      <c r="L39" s="24"/>
      <c r="M39" s="163"/>
      <c r="N39" s="24"/>
      <c r="O39" s="24"/>
    </row>
    <row r="40" spans="1:15" ht="15.75" customHeight="1">
      <c r="A40" s="2" t="s">
        <v>1010</v>
      </c>
      <c r="B40" s="2" t="s">
        <v>1028</v>
      </c>
      <c r="C40" s="2" t="s">
        <v>1012</v>
      </c>
      <c r="D40" s="2" t="s">
        <v>1026</v>
      </c>
      <c r="E40" s="6">
        <v>4457</v>
      </c>
    </row>
    <row r="41" spans="1:15" ht="15.75" customHeight="1">
      <c r="A41" s="2" t="s">
        <v>1010</v>
      </c>
      <c r="B41" s="2" t="s">
        <v>1029</v>
      </c>
      <c r="C41" s="2" t="s">
        <v>1012</v>
      </c>
      <c r="D41" s="2" t="s">
        <v>1015</v>
      </c>
      <c r="E41" s="6">
        <v>24252000</v>
      </c>
    </row>
    <row r="42" spans="1:15" ht="15.75" customHeight="1">
      <c r="A42" s="2" t="s">
        <v>1010</v>
      </c>
      <c r="B42" s="2" t="s">
        <v>1029</v>
      </c>
      <c r="C42" s="2" t="s">
        <v>1012</v>
      </c>
      <c r="D42" s="2" t="s">
        <v>1013</v>
      </c>
      <c r="E42" s="6">
        <v>69816070</v>
      </c>
    </row>
    <row r="43" spans="1:15" ht="15.75" customHeight="1">
      <c r="A43" s="2" t="s">
        <v>1010</v>
      </c>
      <c r="B43" s="2" t="s">
        <v>1029</v>
      </c>
      <c r="C43" s="2" t="s">
        <v>1012</v>
      </c>
      <c r="D43" s="2" t="s">
        <v>1014</v>
      </c>
      <c r="E43" s="6">
        <v>36829890</v>
      </c>
    </row>
    <row r="44" spans="1:15" ht="15.75" customHeight="1">
      <c r="A44" s="2" t="s">
        <v>1010</v>
      </c>
      <c r="B44" s="2" t="s">
        <v>1029</v>
      </c>
      <c r="C44" s="2" t="s">
        <v>1012</v>
      </c>
      <c r="D44" s="2" t="s">
        <v>1019</v>
      </c>
      <c r="E44" s="6" t="s">
        <v>1020</v>
      </c>
    </row>
    <row r="45" spans="1:15" ht="15.75" customHeight="1">
      <c r="A45" s="2" t="s">
        <v>1010</v>
      </c>
      <c r="B45" s="2" t="s">
        <v>1029</v>
      </c>
      <c r="C45" s="2" t="s">
        <v>1012</v>
      </c>
      <c r="D45" s="2" t="s">
        <v>1026</v>
      </c>
      <c r="E45" s="6">
        <v>43331</v>
      </c>
    </row>
    <row r="46" spans="1:15" ht="15.75" customHeight="1">
      <c r="A46" s="2" t="s">
        <v>1010</v>
      </c>
      <c r="B46" s="2" t="s">
        <v>1030</v>
      </c>
      <c r="C46" s="2" t="s">
        <v>1012</v>
      </c>
      <c r="D46" s="2" t="s">
        <v>1015</v>
      </c>
      <c r="E46" s="6">
        <v>10516000</v>
      </c>
    </row>
    <row r="47" spans="1:15" ht="15.75" customHeight="1">
      <c r="A47" s="2" t="s">
        <v>1010</v>
      </c>
      <c r="B47" s="2" t="s">
        <v>1030</v>
      </c>
      <c r="C47" s="2" t="s">
        <v>1012</v>
      </c>
      <c r="D47" s="2" t="s">
        <v>1013</v>
      </c>
      <c r="E47" s="6">
        <v>94690080</v>
      </c>
    </row>
    <row r="48" spans="1:15" ht="15.75" customHeight="1">
      <c r="A48" s="2" t="s">
        <v>1010</v>
      </c>
      <c r="B48" s="2" t="s">
        <v>1030</v>
      </c>
      <c r="C48" s="2" t="s">
        <v>1012</v>
      </c>
      <c r="D48" s="2" t="s">
        <v>1014</v>
      </c>
      <c r="E48" s="6">
        <v>47048280</v>
      </c>
    </row>
    <row r="49" spans="1:5" ht="15.75" customHeight="1">
      <c r="A49" s="2" t="s">
        <v>1010</v>
      </c>
      <c r="B49" s="2" t="s">
        <v>1030</v>
      </c>
      <c r="C49" s="2" t="s">
        <v>1012</v>
      </c>
      <c r="D49" s="2" t="s">
        <v>1019</v>
      </c>
      <c r="E49" s="6" t="s">
        <v>1020</v>
      </c>
    </row>
    <row r="50" spans="1:5" ht="15.75" customHeight="1">
      <c r="A50" s="2" t="s">
        <v>1010</v>
      </c>
      <c r="B50" s="2" t="s">
        <v>1030</v>
      </c>
      <c r="C50" s="2" t="s">
        <v>1012</v>
      </c>
      <c r="D50" s="2" t="s">
        <v>1026</v>
      </c>
      <c r="E50" s="6">
        <v>2067</v>
      </c>
    </row>
    <row r="51" spans="1:5" ht="13">
      <c r="A51" s="2" t="s">
        <v>1010</v>
      </c>
      <c r="B51" s="2" t="s">
        <v>1031</v>
      </c>
      <c r="C51" s="2" t="s">
        <v>1012</v>
      </c>
      <c r="D51" s="2" t="s">
        <v>1015</v>
      </c>
      <c r="E51" s="6">
        <v>6895000</v>
      </c>
    </row>
    <row r="52" spans="1:5" ht="13">
      <c r="A52" s="2" t="s">
        <v>1010</v>
      </c>
      <c r="B52" s="2" t="s">
        <v>1031</v>
      </c>
      <c r="C52" s="2" t="s">
        <v>1012</v>
      </c>
      <c r="D52" s="2" t="s">
        <v>1013</v>
      </c>
      <c r="E52" s="6">
        <v>84160980</v>
      </c>
    </row>
    <row r="53" spans="1:5" ht="13">
      <c r="A53" s="2" t="s">
        <v>1010</v>
      </c>
      <c r="B53" s="2" t="s">
        <v>1031</v>
      </c>
      <c r="C53" s="2" t="s">
        <v>1012</v>
      </c>
      <c r="D53" s="2" t="s">
        <v>1014</v>
      </c>
      <c r="E53" s="6">
        <v>50358720</v>
      </c>
    </row>
    <row r="54" spans="1:5" ht="13">
      <c r="A54" s="2" t="s">
        <v>1010</v>
      </c>
      <c r="B54" s="2" t="s">
        <v>1031</v>
      </c>
      <c r="C54" s="2" t="s">
        <v>1012</v>
      </c>
      <c r="D54" s="2" t="s">
        <v>1019</v>
      </c>
      <c r="E54" s="6" t="s">
        <v>1020</v>
      </c>
    </row>
    <row r="55" spans="1:5" ht="13">
      <c r="A55" s="2" t="s">
        <v>1010</v>
      </c>
      <c r="B55" s="2" t="s">
        <v>1031</v>
      </c>
      <c r="C55" s="2" t="s">
        <v>1012</v>
      </c>
      <c r="D55" s="2" t="s">
        <v>1026</v>
      </c>
      <c r="E55" s="6">
        <v>1215</v>
      </c>
    </row>
    <row r="56" spans="1:5" ht="13">
      <c r="A56" s="2" t="s">
        <v>1010</v>
      </c>
      <c r="B56" s="2" t="s">
        <v>1032</v>
      </c>
      <c r="C56" s="2" t="s">
        <v>1012</v>
      </c>
      <c r="D56" s="2" t="s">
        <v>1015</v>
      </c>
      <c r="E56" s="6">
        <v>7701000</v>
      </c>
    </row>
    <row r="57" spans="1:5" ht="13">
      <c r="A57" s="2" t="s">
        <v>1010</v>
      </c>
      <c r="B57" s="2" t="s">
        <v>1032</v>
      </c>
      <c r="C57" s="2" t="s">
        <v>1012</v>
      </c>
      <c r="D57" s="2" t="s">
        <v>1013</v>
      </c>
      <c r="E57" s="6">
        <v>40758100</v>
      </c>
    </row>
    <row r="58" spans="1:5" ht="13">
      <c r="A58" s="2" t="s">
        <v>1010</v>
      </c>
      <c r="B58" s="2" t="s">
        <v>1032</v>
      </c>
      <c r="C58" s="2" t="s">
        <v>1012</v>
      </c>
      <c r="D58" s="2" t="s">
        <v>1014</v>
      </c>
      <c r="E58" s="6">
        <v>22423440</v>
      </c>
    </row>
    <row r="59" spans="1:5" ht="13">
      <c r="A59" s="2" t="s">
        <v>1010</v>
      </c>
      <c r="B59" s="2" t="s">
        <v>1032</v>
      </c>
      <c r="C59" s="2" t="s">
        <v>1012</v>
      </c>
      <c r="D59" s="2" t="s">
        <v>1019</v>
      </c>
      <c r="E59" s="6" t="s">
        <v>1020</v>
      </c>
    </row>
    <row r="60" spans="1:5" ht="13">
      <c r="A60" s="2" t="s">
        <v>1010</v>
      </c>
      <c r="B60" s="2" t="s">
        <v>1032</v>
      </c>
      <c r="C60" s="2" t="s">
        <v>1012</v>
      </c>
      <c r="D60" s="2" t="s">
        <v>1026</v>
      </c>
      <c r="E60" s="6">
        <v>1871</v>
      </c>
    </row>
    <row r="61" spans="1:5" ht="13">
      <c r="A61" s="2" t="s">
        <v>1010</v>
      </c>
      <c r="B61" s="2" t="s">
        <v>1033</v>
      </c>
      <c r="C61" s="2" t="s">
        <v>1012</v>
      </c>
      <c r="D61" s="2" t="s">
        <v>1015</v>
      </c>
      <c r="E61" s="6">
        <v>7541000</v>
      </c>
    </row>
    <row r="62" spans="1:5" ht="13">
      <c r="A62" s="2" t="s">
        <v>1010</v>
      </c>
      <c r="B62" s="2" t="s">
        <v>1033</v>
      </c>
      <c r="C62" s="2" t="s">
        <v>1012</v>
      </c>
      <c r="D62" s="2" t="s">
        <v>1013</v>
      </c>
      <c r="E62" s="6">
        <v>47783840</v>
      </c>
    </row>
    <row r="63" spans="1:5" ht="13">
      <c r="A63" s="2" t="s">
        <v>1010</v>
      </c>
      <c r="B63" s="2" t="s">
        <v>1033</v>
      </c>
      <c r="C63" s="2" t="s">
        <v>1012</v>
      </c>
      <c r="D63" s="2" t="s">
        <v>1014</v>
      </c>
      <c r="E63" s="6">
        <v>26221390</v>
      </c>
    </row>
    <row r="64" spans="1:5" ht="13">
      <c r="A64" s="2" t="s">
        <v>1010</v>
      </c>
      <c r="B64" s="2" t="s">
        <v>1033</v>
      </c>
      <c r="C64" s="2" t="s">
        <v>1012</v>
      </c>
      <c r="D64" s="2" t="s">
        <v>1019</v>
      </c>
      <c r="E64" s="6" t="s">
        <v>1020</v>
      </c>
    </row>
    <row r="65" spans="1:5" ht="13">
      <c r="A65" s="2" t="s">
        <v>1010</v>
      </c>
      <c r="B65" s="2" t="s">
        <v>1033</v>
      </c>
      <c r="C65" s="2" t="s">
        <v>1012</v>
      </c>
      <c r="D65" s="2" t="s">
        <v>1026</v>
      </c>
      <c r="E65" s="6">
        <v>1817</v>
      </c>
    </row>
    <row r="66" spans="1:5" ht="13">
      <c r="A66" s="2" t="s">
        <v>1010</v>
      </c>
      <c r="B66" s="2" t="s">
        <v>1034</v>
      </c>
      <c r="C66" s="2" t="s">
        <v>1012</v>
      </c>
      <c r="D66" s="2" t="s">
        <v>1015</v>
      </c>
      <c r="E66" s="6">
        <v>7686000</v>
      </c>
    </row>
    <row r="67" spans="1:5" ht="13">
      <c r="A67" s="2" t="s">
        <v>1010</v>
      </c>
      <c r="B67" s="2" t="s">
        <v>1034</v>
      </c>
      <c r="C67" s="2" t="s">
        <v>1012</v>
      </c>
      <c r="D67" s="2" t="s">
        <v>1013</v>
      </c>
      <c r="E67" s="6">
        <v>49940360</v>
      </c>
    </row>
    <row r="68" spans="1:5" ht="13">
      <c r="A68" s="2" t="s">
        <v>1010</v>
      </c>
      <c r="B68" s="2" t="s">
        <v>1034</v>
      </c>
      <c r="C68" s="2" t="s">
        <v>1012</v>
      </c>
      <c r="D68" s="2" t="s">
        <v>1014</v>
      </c>
      <c r="E68" s="6">
        <v>25874580</v>
      </c>
    </row>
    <row r="69" spans="1:5" ht="13">
      <c r="A69" s="2" t="s">
        <v>1010</v>
      </c>
      <c r="B69" s="2" t="s">
        <v>1034</v>
      </c>
      <c r="C69" s="2" t="s">
        <v>1012</v>
      </c>
      <c r="D69" s="2" t="s">
        <v>1019</v>
      </c>
      <c r="E69" s="6" t="s">
        <v>1020</v>
      </c>
    </row>
    <row r="70" spans="1:5" ht="13">
      <c r="A70" s="2" t="s">
        <v>1010</v>
      </c>
      <c r="B70" s="2" t="s">
        <v>1034</v>
      </c>
      <c r="C70" s="2" t="s">
        <v>1012</v>
      </c>
      <c r="D70" s="2" t="s">
        <v>1026</v>
      </c>
      <c r="E70" s="6">
        <v>2942</v>
      </c>
    </row>
    <row r="71" spans="1:5" ht="13">
      <c r="A71" s="2" t="s">
        <v>1010</v>
      </c>
      <c r="B71" s="2" t="s">
        <v>1035</v>
      </c>
      <c r="C71" s="2" t="s">
        <v>1012</v>
      </c>
      <c r="D71" s="2" t="s">
        <v>1015</v>
      </c>
      <c r="E71" s="6">
        <v>25940000</v>
      </c>
    </row>
    <row r="72" spans="1:5" ht="13">
      <c r="A72" s="2" t="s">
        <v>1010</v>
      </c>
      <c r="B72" s="2" t="s">
        <v>1035</v>
      </c>
      <c r="C72" s="2" t="s">
        <v>1012</v>
      </c>
      <c r="D72" s="2" t="s">
        <v>1013</v>
      </c>
      <c r="E72" s="6">
        <v>61578390</v>
      </c>
    </row>
    <row r="73" spans="1:5" ht="13">
      <c r="A73" s="2" t="s">
        <v>1010</v>
      </c>
      <c r="B73" s="2" t="s">
        <v>1035</v>
      </c>
      <c r="C73" s="2" t="s">
        <v>1012</v>
      </c>
      <c r="D73" s="2" t="s">
        <v>1014</v>
      </c>
      <c r="E73" s="6">
        <v>17887750</v>
      </c>
    </row>
    <row r="74" spans="1:5" ht="13">
      <c r="A74" s="2" t="s">
        <v>1010</v>
      </c>
      <c r="B74" s="2" t="s">
        <v>1035</v>
      </c>
      <c r="C74" s="2" t="s">
        <v>1012</v>
      </c>
      <c r="D74" s="2" t="s">
        <v>1019</v>
      </c>
      <c r="E74" s="6" t="s">
        <v>1020</v>
      </c>
    </row>
    <row r="75" spans="1:5" ht="13">
      <c r="A75" s="2" t="s">
        <v>1010</v>
      </c>
      <c r="B75" s="2" t="s">
        <v>1035</v>
      </c>
      <c r="C75" s="2" t="s">
        <v>1012</v>
      </c>
      <c r="D75" s="2" t="s">
        <v>1026</v>
      </c>
      <c r="E75" s="6">
        <v>7150</v>
      </c>
    </row>
    <row r="76" spans="1:5" ht="13">
      <c r="A76" s="2" t="s">
        <v>1010</v>
      </c>
      <c r="B76" s="2" t="s">
        <v>1036</v>
      </c>
      <c r="C76" s="2" t="s">
        <v>1012</v>
      </c>
      <c r="D76" s="2" t="s">
        <v>1015</v>
      </c>
      <c r="E76" s="6">
        <v>20121000</v>
      </c>
    </row>
    <row r="77" spans="1:5" ht="13">
      <c r="A77" s="2" t="s">
        <v>1010</v>
      </c>
      <c r="B77" s="2" t="s">
        <v>1036</v>
      </c>
      <c r="C77" s="2" t="s">
        <v>1012</v>
      </c>
      <c r="D77" s="2" t="s">
        <v>1013</v>
      </c>
      <c r="E77" s="6">
        <v>85470140</v>
      </c>
    </row>
    <row r="78" spans="1:5" ht="13">
      <c r="A78" s="2" t="s">
        <v>1010</v>
      </c>
      <c r="B78" s="2" t="s">
        <v>1036</v>
      </c>
      <c r="C78" s="2" t="s">
        <v>1012</v>
      </c>
      <c r="D78" s="2" t="s">
        <v>1014</v>
      </c>
      <c r="E78" s="6">
        <v>47362590</v>
      </c>
    </row>
    <row r="79" spans="1:5" ht="13">
      <c r="A79" s="2" t="s">
        <v>1010</v>
      </c>
      <c r="B79" s="2" t="s">
        <v>1036</v>
      </c>
      <c r="C79" s="2" t="s">
        <v>1012</v>
      </c>
      <c r="D79" s="2" t="s">
        <v>1019</v>
      </c>
      <c r="E79" s="6" t="s">
        <v>1020</v>
      </c>
    </row>
    <row r="80" spans="1:5" ht="13">
      <c r="A80" s="2" t="s">
        <v>1010</v>
      </c>
      <c r="B80" s="2" t="s">
        <v>1036</v>
      </c>
      <c r="C80" s="2" t="s">
        <v>1012</v>
      </c>
      <c r="D80" s="2" t="s">
        <v>1026</v>
      </c>
      <c r="E80" s="6">
        <v>12513</v>
      </c>
    </row>
    <row r="81" spans="1:5" ht="13">
      <c r="A81" s="2" t="s">
        <v>1010</v>
      </c>
      <c r="B81" s="2" t="s">
        <v>1037</v>
      </c>
      <c r="C81" s="2" t="s">
        <v>1012</v>
      </c>
      <c r="D81" s="2" t="s">
        <v>1015</v>
      </c>
      <c r="E81" s="6">
        <v>12934000</v>
      </c>
    </row>
    <row r="82" spans="1:5" ht="13">
      <c r="A82" s="2" t="s">
        <v>1010</v>
      </c>
      <c r="B82" s="2" t="s">
        <v>1037</v>
      </c>
      <c r="C82" s="2" t="s">
        <v>1012</v>
      </c>
      <c r="D82" s="2" t="s">
        <v>1013</v>
      </c>
      <c r="E82" s="6">
        <v>114180210</v>
      </c>
    </row>
    <row r="83" spans="1:5" ht="13">
      <c r="A83" s="2" t="s">
        <v>1010</v>
      </c>
      <c r="B83" s="2" t="s">
        <v>1037</v>
      </c>
      <c r="C83" s="2" t="s">
        <v>1012</v>
      </c>
      <c r="D83" s="2" t="s">
        <v>1014</v>
      </c>
      <c r="E83" s="6">
        <v>56946610</v>
      </c>
    </row>
    <row r="84" spans="1:5" ht="13">
      <c r="A84" s="2" t="s">
        <v>1010</v>
      </c>
      <c r="B84" s="2" t="s">
        <v>1037</v>
      </c>
      <c r="C84" s="2" t="s">
        <v>1012</v>
      </c>
      <c r="D84" s="2" t="s">
        <v>1019</v>
      </c>
      <c r="E84" s="6" t="s">
        <v>1020</v>
      </c>
    </row>
    <row r="85" spans="1:5" ht="13">
      <c r="A85" s="2" t="s">
        <v>1010</v>
      </c>
      <c r="B85" s="2" t="s">
        <v>1037</v>
      </c>
      <c r="C85" s="2" t="s">
        <v>1012</v>
      </c>
      <c r="D85" s="2" t="s">
        <v>1026</v>
      </c>
      <c r="E85" s="6">
        <v>9802</v>
      </c>
    </row>
    <row r="86" spans="1:5" ht="13">
      <c r="A86" s="2" t="s">
        <v>1010</v>
      </c>
      <c r="B86" s="2" t="s">
        <v>1038</v>
      </c>
      <c r="C86" s="2" t="s">
        <v>1012</v>
      </c>
      <c r="D86" s="2" t="s">
        <v>1015</v>
      </c>
      <c r="E86" s="6">
        <v>15858000</v>
      </c>
    </row>
    <row r="87" spans="1:5" ht="13">
      <c r="A87" s="2" t="s">
        <v>1010</v>
      </c>
      <c r="B87" s="2" t="s">
        <v>1038</v>
      </c>
      <c r="C87" s="2" t="s">
        <v>1012</v>
      </c>
      <c r="D87" s="2" t="s">
        <v>1013</v>
      </c>
      <c r="E87" s="6">
        <v>206514910</v>
      </c>
    </row>
    <row r="88" spans="1:5" ht="13">
      <c r="A88" s="2" t="s">
        <v>1010</v>
      </c>
      <c r="B88" s="2" t="s">
        <v>1038</v>
      </c>
      <c r="C88" s="2" t="s">
        <v>1012</v>
      </c>
      <c r="D88" s="2" t="s">
        <v>1014</v>
      </c>
      <c r="E88" s="6">
        <v>69289910</v>
      </c>
    </row>
    <row r="89" spans="1:5" ht="13">
      <c r="A89" s="2" t="s">
        <v>1010</v>
      </c>
      <c r="B89" s="2" t="s">
        <v>1038</v>
      </c>
      <c r="C89" s="2" t="s">
        <v>1012</v>
      </c>
      <c r="D89" s="2" t="s">
        <v>1019</v>
      </c>
      <c r="E89" s="6" t="s">
        <v>1020</v>
      </c>
    </row>
    <row r="90" spans="1:5" ht="13">
      <c r="A90" s="2" t="s">
        <v>1010</v>
      </c>
      <c r="B90" s="2" t="s">
        <v>1038</v>
      </c>
      <c r="C90" s="2" t="s">
        <v>1012</v>
      </c>
      <c r="D90" s="2" t="s">
        <v>1026</v>
      </c>
      <c r="E90" s="6">
        <v>7144</v>
      </c>
    </row>
    <row r="91" spans="1:5" ht="13">
      <c r="A91" s="2" t="s">
        <v>1010</v>
      </c>
      <c r="B91" s="2" t="s">
        <v>1039</v>
      </c>
      <c r="C91" s="2" t="s">
        <v>1012</v>
      </c>
      <c r="D91" s="2" t="s">
        <v>1015</v>
      </c>
      <c r="E91" s="6">
        <v>21362000</v>
      </c>
    </row>
    <row r="92" spans="1:5" ht="13">
      <c r="A92" s="2" t="s">
        <v>1010</v>
      </c>
      <c r="B92" s="2" t="s">
        <v>1039</v>
      </c>
      <c r="C92" s="2" t="s">
        <v>1012</v>
      </c>
      <c r="D92" s="2" t="s">
        <v>1013</v>
      </c>
      <c r="E92" s="6">
        <v>270979940</v>
      </c>
    </row>
    <row r="93" spans="1:5" ht="13">
      <c r="A93" s="2" t="s">
        <v>1010</v>
      </c>
      <c r="B93" s="2" t="s">
        <v>1039</v>
      </c>
      <c r="C93" s="2" t="s">
        <v>1012</v>
      </c>
      <c r="D93" s="2" t="s">
        <v>1014</v>
      </c>
      <c r="E93" s="6">
        <v>86229859</v>
      </c>
    </row>
    <row r="94" spans="1:5" ht="13">
      <c r="A94" s="2" t="s">
        <v>1010</v>
      </c>
      <c r="B94" s="2" t="s">
        <v>1039</v>
      </c>
      <c r="C94" s="2" t="s">
        <v>1012</v>
      </c>
      <c r="D94" s="2" t="s">
        <v>1019</v>
      </c>
      <c r="E94" s="6" t="s">
        <v>1020</v>
      </c>
    </row>
    <row r="95" spans="1:5" ht="13">
      <c r="A95" s="2" t="s">
        <v>1010</v>
      </c>
      <c r="B95" s="2" t="s">
        <v>1039</v>
      </c>
      <c r="C95" s="2" t="s">
        <v>1012</v>
      </c>
      <c r="D95" s="2" t="s">
        <v>1026</v>
      </c>
      <c r="E95" s="6">
        <v>11654</v>
      </c>
    </row>
    <row r="96" spans="1:5" ht="13">
      <c r="A96" s="2" t="s">
        <v>1010</v>
      </c>
      <c r="B96" s="2" t="s">
        <v>1040</v>
      </c>
      <c r="C96" s="2" t="s">
        <v>1012</v>
      </c>
      <c r="D96" s="2" t="s">
        <v>1015</v>
      </c>
      <c r="E96" s="6">
        <v>11066000</v>
      </c>
    </row>
    <row r="97" spans="1:5" ht="13">
      <c r="A97" s="2" t="s">
        <v>1010</v>
      </c>
      <c r="B97" s="2" t="s">
        <v>1040</v>
      </c>
      <c r="C97" s="2" t="s">
        <v>1012</v>
      </c>
      <c r="D97" s="2" t="s">
        <v>1013</v>
      </c>
      <c r="E97" s="6">
        <v>346428511</v>
      </c>
    </row>
    <row r="98" spans="1:5" ht="13">
      <c r="A98" s="2" t="s">
        <v>1010</v>
      </c>
      <c r="B98" s="2" t="s">
        <v>1040</v>
      </c>
      <c r="C98" s="2" t="s">
        <v>1012</v>
      </c>
      <c r="D98" s="2" t="s">
        <v>1014</v>
      </c>
      <c r="E98" s="6">
        <v>115633860</v>
      </c>
    </row>
    <row r="99" spans="1:5" ht="13">
      <c r="A99" s="2" t="s">
        <v>1010</v>
      </c>
      <c r="B99" s="2" t="s">
        <v>1040</v>
      </c>
      <c r="C99" s="2" t="s">
        <v>1012</v>
      </c>
      <c r="D99" s="2" t="s">
        <v>1019</v>
      </c>
      <c r="E99" s="6" t="s">
        <v>1020</v>
      </c>
    </row>
    <row r="100" spans="1:5" ht="13">
      <c r="A100" s="2" t="s">
        <v>1010</v>
      </c>
      <c r="B100" s="2" t="s">
        <v>1040</v>
      </c>
      <c r="C100" s="2" t="s">
        <v>1012</v>
      </c>
      <c r="D100" s="2" t="s">
        <v>1026</v>
      </c>
      <c r="E100" s="6">
        <v>5125</v>
      </c>
    </row>
    <row r="101" spans="1:5" ht="13">
      <c r="A101" s="2" t="s">
        <v>1010</v>
      </c>
      <c r="B101" s="2" t="s">
        <v>1041</v>
      </c>
      <c r="C101" s="2" t="s">
        <v>1012</v>
      </c>
      <c r="D101" s="2" t="s">
        <v>1013</v>
      </c>
      <c r="E101" s="6">
        <v>341302175</v>
      </c>
    </row>
    <row r="102" spans="1:5" ht="13">
      <c r="A102" s="2" t="s">
        <v>1010</v>
      </c>
      <c r="B102" s="2" t="s">
        <v>1041</v>
      </c>
      <c r="C102" s="2" t="s">
        <v>1012</v>
      </c>
      <c r="D102" s="2" t="s">
        <v>1014</v>
      </c>
      <c r="E102" s="6">
        <v>148866715</v>
      </c>
    </row>
    <row r="103" spans="1:5" ht="13">
      <c r="A103" s="2" t="s">
        <v>1010</v>
      </c>
      <c r="B103" s="2" t="s">
        <v>1041</v>
      </c>
      <c r="C103" s="2" t="s">
        <v>1012</v>
      </c>
      <c r="D103" s="2" t="s">
        <v>1019</v>
      </c>
      <c r="E103" s="6" t="s">
        <v>1020</v>
      </c>
    </row>
    <row r="104" spans="1:5" ht="13">
      <c r="A104" s="2" t="s">
        <v>1010</v>
      </c>
      <c r="B104" s="2" t="s">
        <v>1041</v>
      </c>
      <c r="C104" s="2" t="s">
        <v>1012</v>
      </c>
      <c r="D104" s="2" t="s">
        <v>1026</v>
      </c>
      <c r="E104" s="6">
        <v>1210</v>
      </c>
    </row>
  </sheetData>
  <hyperlinks>
    <hyperlink ref="B1" r:id="rId2" xr:uid="{00000000-0004-0000-0600-000000000000}"/>
  </hyperlinks>
  <pageMargins left="0.7" right="0.7" top="0.75" bottom="0.75" header="0.3" footer="0.3"/>
  <drawing r:id="rId3"/>
  <tableParts count="2">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I29"/>
  <sheetViews>
    <sheetView workbookViewId="0">
      <pane xSplit="2" ySplit="3" topLeftCell="F4" activePane="bottomRight" state="frozen"/>
      <selection pane="topRight" activeCell="C1" sqref="C1"/>
      <selection pane="bottomLeft" activeCell="A4" sqref="A4"/>
      <selection pane="bottomRight" activeCell="C4" sqref="C4"/>
    </sheetView>
  </sheetViews>
  <sheetFormatPr baseColWidth="10" defaultColWidth="12.6640625" defaultRowHeight="15.75" customHeight="1"/>
  <cols>
    <col min="1" max="1" width="24.1640625" customWidth="1"/>
    <col min="3" max="3" width="14.5" customWidth="1"/>
    <col min="4" max="4" width="21.33203125" customWidth="1"/>
  </cols>
  <sheetData>
    <row r="1" spans="1:35" ht="15.75" customHeight="1">
      <c r="D1" s="2"/>
      <c r="E1" s="2" t="s">
        <v>1042</v>
      </c>
      <c r="F1" s="2"/>
      <c r="G1" s="2"/>
      <c r="H1" s="2"/>
      <c r="I1" s="2"/>
      <c r="J1" s="2" t="s">
        <v>1043</v>
      </c>
      <c r="O1" s="2" t="s">
        <v>1044</v>
      </c>
      <c r="T1" s="2" t="s">
        <v>1045</v>
      </c>
      <c r="Y1" s="2" t="s">
        <v>1046</v>
      </c>
      <c r="Z1" s="2"/>
      <c r="AA1" s="2"/>
      <c r="AB1" s="2"/>
      <c r="AC1" s="2"/>
      <c r="AD1" s="2" t="s">
        <v>1047</v>
      </c>
      <c r="AF1" s="2"/>
      <c r="AG1" s="2"/>
      <c r="AH1" s="2"/>
      <c r="AI1" s="2"/>
    </row>
    <row r="2" spans="1:35" ht="16">
      <c r="A2" s="164"/>
      <c r="B2" s="165"/>
      <c r="C2" s="165"/>
      <c r="D2" s="165"/>
      <c r="E2" s="166">
        <v>2030</v>
      </c>
      <c r="F2" s="166">
        <v>2050</v>
      </c>
      <c r="G2" s="166">
        <v>2050</v>
      </c>
      <c r="H2" s="166">
        <v>2050</v>
      </c>
      <c r="I2" s="166" t="s">
        <v>1048</v>
      </c>
      <c r="J2" s="167">
        <v>2030</v>
      </c>
      <c r="K2" s="167">
        <v>2050</v>
      </c>
      <c r="L2" s="167">
        <v>2050</v>
      </c>
      <c r="M2" s="167">
        <v>2050</v>
      </c>
      <c r="N2" s="167">
        <v>2050</v>
      </c>
      <c r="O2" s="168">
        <v>2030</v>
      </c>
      <c r="P2" s="168">
        <v>2050</v>
      </c>
      <c r="Q2" s="168">
        <v>2050</v>
      </c>
      <c r="R2" s="168">
        <v>2050</v>
      </c>
      <c r="S2" s="168">
        <v>2050</v>
      </c>
      <c r="T2" s="169">
        <v>2030</v>
      </c>
      <c r="U2" s="169">
        <v>2050</v>
      </c>
      <c r="V2" s="169">
        <v>2050</v>
      </c>
      <c r="W2" s="169">
        <v>2050</v>
      </c>
      <c r="X2" s="169">
        <v>2050</v>
      </c>
      <c r="Y2" s="170">
        <v>2030</v>
      </c>
      <c r="Z2" s="170">
        <v>2050</v>
      </c>
      <c r="AA2" s="170">
        <v>2050</v>
      </c>
      <c r="AB2" s="170">
        <v>2050</v>
      </c>
      <c r="AC2" s="170">
        <v>2050</v>
      </c>
      <c r="AD2" s="171" t="s">
        <v>1049</v>
      </c>
      <c r="AE2" s="172">
        <v>2030</v>
      </c>
      <c r="AF2" s="172">
        <v>2050</v>
      </c>
      <c r="AG2" s="172">
        <v>2050</v>
      </c>
      <c r="AH2" s="172">
        <v>2050</v>
      </c>
      <c r="AI2" s="172">
        <v>2050</v>
      </c>
    </row>
    <row r="3" spans="1:35" ht="15.75" customHeight="1">
      <c r="A3" s="165" t="s">
        <v>1050</v>
      </c>
      <c r="B3" s="165" t="s">
        <v>311</v>
      </c>
      <c r="C3" s="165" t="s">
        <v>1051</v>
      </c>
      <c r="D3" s="165" t="s">
        <v>1052</v>
      </c>
      <c r="E3" s="173"/>
      <c r="F3" s="173" t="s">
        <v>963</v>
      </c>
      <c r="G3" s="173" t="s">
        <v>964</v>
      </c>
      <c r="H3" s="173" t="s">
        <v>965</v>
      </c>
      <c r="I3" s="173"/>
      <c r="J3" s="174"/>
      <c r="K3" s="174" t="s">
        <v>1053</v>
      </c>
      <c r="L3" s="174" t="s">
        <v>1054</v>
      </c>
      <c r="M3" s="174" t="s">
        <v>1055</v>
      </c>
      <c r="N3" s="174" t="s">
        <v>1056</v>
      </c>
      <c r="O3" s="175"/>
      <c r="P3" s="175" t="s">
        <v>1053</v>
      </c>
      <c r="Q3" s="175" t="s">
        <v>1054</v>
      </c>
      <c r="R3" s="175" t="s">
        <v>1055</v>
      </c>
      <c r="S3" s="175" t="s">
        <v>1056</v>
      </c>
      <c r="T3" s="176"/>
      <c r="U3" s="176" t="s">
        <v>1053</v>
      </c>
      <c r="V3" s="176" t="s">
        <v>1054</v>
      </c>
      <c r="W3" s="176" t="s">
        <v>1055</v>
      </c>
      <c r="X3" s="176" t="s">
        <v>1056</v>
      </c>
      <c r="Y3" s="177"/>
      <c r="Z3" s="177" t="s">
        <v>1053</v>
      </c>
      <c r="AA3" s="177" t="s">
        <v>1054</v>
      </c>
      <c r="AB3" s="177" t="s">
        <v>1055</v>
      </c>
      <c r="AC3" s="177" t="s">
        <v>1056</v>
      </c>
      <c r="AD3" s="178" t="s">
        <v>1057</v>
      </c>
      <c r="AE3" s="178"/>
      <c r="AF3" s="178" t="s">
        <v>1053</v>
      </c>
      <c r="AG3" s="178" t="s">
        <v>1054</v>
      </c>
      <c r="AH3" s="178" t="s">
        <v>1055</v>
      </c>
      <c r="AI3" s="178" t="s">
        <v>1056</v>
      </c>
    </row>
    <row r="4" spans="1:35" ht="15.75" customHeight="1">
      <c r="A4" s="2" t="s">
        <v>1058</v>
      </c>
      <c r="B4" s="2" t="s">
        <v>1059</v>
      </c>
      <c r="C4" s="21">
        <v>10.1</v>
      </c>
      <c r="D4" s="2" t="s">
        <v>1060</v>
      </c>
      <c r="E4" s="41">
        <f t="shared" ref="E4:F4" si="0">AE4</f>
        <v>0.28985507246376813</v>
      </c>
      <c r="F4" s="41">
        <f t="shared" si="0"/>
        <v>0.55045871559633031</v>
      </c>
      <c r="G4" s="41">
        <f t="shared" ref="G4:G9" si="1">AVERAGE(AG4:AH4)</f>
        <v>0.93577981651376152</v>
      </c>
      <c r="H4" s="41">
        <f t="shared" ref="H4:H9" si="2">AI4</f>
        <v>1.2660550458715598</v>
      </c>
      <c r="I4" s="41" t="s">
        <v>1061</v>
      </c>
      <c r="J4" s="21">
        <f t="shared" ref="J4:N4" si="3">$C4+O4</f>
        <v>11.1</v>
      </c>
      <c r="K4" s="21">
        <f t="shared" si="3"/>
        <v>11.1</v>
      </c>
      <c r="L4" s="21">
        <f t="shared" si="3"/>
        <v>11.5</v>
      </c>
      <c r="M4" s="21">
        <f t="shared" si="3"/>
        <v>12.1</v>
      </c>
      <c r="N4" s="21">
        <f t="shared" si="3"/>
        <v>12.399999999999999</v>
      </c>
      <c r="O4" s="2">
        <v>1</v>
      </c>
      <c r="P4" s="21">
        <f>1</f>
        <v>1</v>
      </c>
      <c r="Q4" s="21">
        <v>1.4</v>
      </c>
      <c r="R4" s="21">
        <v>2</v>
      </c>
      <c r="S4" s="21">
        <v>2.2999999999999998</v>
      </c>
      <c r="T4" s="38"/>
      <c r="U4" s="38"/>
      <c r="V4" s="38"/>
      <c r="W4" s="38"/>
      <c r="X4" s="38"/>
      <c r="Y4" s="41">
        <f t="shared" ref="Y4:Y8" si="4">10*O4/(Y$2-$D$19)</f>
        <v>0.28985507246376813</v>
      </c>
      <c r="Z4" s="41">
        <f t="shared" ref="Z4:AC4" si="5">10*P4/($Z$2-$D$19)</f>
        <v>0.1834862385321101</v>
      </c>
      <c r="AA4" s="41">
        <f t="shared" si="5"/>
        <v>0.25688073394495414</v>
      </c>
      <c r="AB4" s="41">
        <f t="shared" si="5"/>
        <v>0.3669724770642202</v>
      </c>
      <c r="AC4" s="41">
        <f t="shared" si="5"/>
        <v>0.42201834862385323</v>
      </c>
      <c r="AD4" s="41" t="s">
        <v>1062</v>
      </c>
      <c r="AE4" s="41">
        <f t="shared" ref="AE4:AE8" si="6">Y4*(AE$2-$D$20)/10</f>
        <v>0.28985507246376813</v>
      </c>
      <c r="AF4" s="41">
        <f>Z4*($AF$2-$D$20)/10</f>
        <v>0.55045871559633031</v>
      </c>
      <c r="AG4" s="41">
        <f t="shared" ref="AG4:AI4" si="7">AA4*(AG$2-$D$20)/10</f>
        <v>0.77064220183486243</v>
      </c>
      <c r="AH4" s="41">
        <f t="shared" si="7"/>
        <v>1.1009174311926606</v>
      </c>
      <c r="AI4" s="41">
        <f t="shared" si="7"/>
        <v>1.2660550458715598</v>
      </c>
    </row>
    <row r="5" spans="1:35" ht="15.75" customHeight="1">
      <c r="A5" s="2" t="s">
        <v>1063</v>
      </c>
      <c r="B5" s="2" t="s">
        <v>1059</v>
      </c>
      <c r="C5" s="21">
        <v>9.5</v>
      </c>
      <c r="D5" s="2"/>
      <c r="E5" s="41">
        <f t="shared" ref="E5:F5" si="8">AE5</f>
        <v>0.2318840579710145</v>
      </c>
      <c r="F5" s="41">
        <f t="shared" si="8"/>
        <v>0.49541284403669728</v>
      </c>
      <c r="G5" s="41">
        <f t="shared" si="1"/>
        <v>0.798165137614679</v>
      </c>
      <c r="H5" s="41">
        <f t="shared" si="2"/>
        <v>1.1559633027522938</v>
      </c>
      <c r="I5" s="41" t="s">
        <v>1064</v>
      </c>
      <c r="J5" s="21">
        <f t="shared" ref="J5:N5" si="9">$C5+O5</f>
        <v>10.3</v>
      </c>
      <c r="K5" s="21">
        <f t="shared" si="9"/>
        <v>10.4</v>
      </c>
      <c r="L5" s="21">
        <f t="shared" si="9"/>
        <v>10.6</v>
      </c>
      <c r="M5" s="21">
        <f t="shared" si="9"/>
        <v>11.3</v>
      </c>
      <c r="N5" s="21">
        <f t="shared" si="9"/>
        <v>11.6</v>
      </c>
      <c r="O5" s="2">
        <v>0.8</v>
      </c>
      <c r="P5" s="21">
        <v>0.9</v>
      </c>
      <c r="Q5" s="21">
        <v>1.1000000000000001</v>
      </c>
      <c r="R5" s="21">
        <v>1.8</v>
      </c>
      <c r="S5" s="21">
        <v>2.1</v>
      </c>
      <c r="T5" s="38"/>
      <c r="U5" s="38"/>
      <c r="V5" s="38"/>
      <c r="W5" s="38"/>
      <c r="X5" s="38"/>
      <c r="Y5" s="41">
        <f t="shared" si="4"/>
        <v>0.2318840579710145</v>
      </c>
      <c r="Z5" s="41">
        <f t="shared" ref="Z5:AC5" si="10">10*P5/($Z$2-$D$19)</f>
        <v>0.16513761467889909</v>
      </c>
      <c r="AA5" s="41">
        <f t="shared" si="10"/>
        <v>0.20183486238532111</v>
      </c>
      <c r="AB5" s="41">
        <f t="shared" si="10"/>
        <v>0.33027522935779818</v>
      </c>
      <c r="AC5" s="41">
        <f t="shared" si="10"/>
        <v>0.38532110091743121</v>
      </c>
      <c r="AD5" s="41" t="s">
        <v>1062</v>
      </c>
      <c r="AE5" s="41">
        <f t="shared" si="6"/>
        <v>0.2318840579710145</v>
      </c>
      <c r="AF5" s="41">
        <f t="shared" ref="AF5:AI5" si="11">Z5*(AF$2-$D$20)/10</f>
        <v>0.49541284403669728</v>
      </c>
      <c r="AG5" s="41">
        <f t="shared" si="11"/>
        <v>0.60550458715596334</v>
      </c>
      <c r="AH5" s="41">
        <f t="shared" si="11"/>
        <v>0.99082568807339455</v>
      </c>
      <c r="AI5" s="41">
        <f t="shared" si="11"/>
        <v>1.1559633027522938</v>
      </c>
    </row>
    <row r="6" spans="1:35" ht="15.75" customHeight="1">
      <c r="A6" s="2" t="s">
        <v>1065</v>
      </c>
      <c r="B6" s="2" t="s">
        <v>1059</v>
      </c>
      <c r="C6" s="21">
        <v>17</v>
      </c>
      <c r="D6" s="2"/>
      <c r="E6" s="41">
        <f t="shared" ref="E6:F6" si="12">AE6</f>
        <v>0.2608695652173913</v>
      </c>
      <c r="F6" s="41">
        <f t="shared" si="12"/>
        <v>0.55045871559633031</v>
      </c>
      <c r="G6" s="41">
        <f t="shared" si="1"/>
        <v>0.85321100917431192</v>
      </c>
      <c r="H6" s="41">
        <f t="shared" si="2"/>
        <v>1.2660550458715598</v>
      </c>
      <c r="I6" s="41" t="s">
        <v>1064</v>
      </c>
      <c r="J6" s="21">
        <f t="shared" ref="J6:N6" si="13">$C6+O6</f>
        <v>17.899999999999999</v>
      </c>
      <c r="K6" s="21">
        <f t="shared" si="13"/>
        <v>18</v>
      </c>
      <c r="L6" s="21">
        <f t="shared" si="13"/>
        <v>18.399999999999999</v>
      </c>
      <c r="M6" s="21">
        <f t="shared" si="13"/>
        <v>18.7</v>
      </c>
      <c r="N6" s="21">
        <f t="shared" si="13"/>
        <v>19.3</v>
      </c>
      <c r="O6" s="2">
        <v>0.9</v>
      </c>
      <c r="P6" s="21">
        <v>1</v>
      </c>
      <c r="Q6" s="21">
        <v>1.4</v>
      </c>
      <c r="R6" s="21">
        <v>1.7</v>
      </c>
      <c r="S6" s="21">
        <v>2.2999999999999998</v>
      </c>
      <c r="T6" s="38"/>
      <c r="U6" s="38"/>
      <c r="V6" s="38"/>
      <c r="W6" s="38"/>
      <c r="X6" s="38"/>
      <c r="Y6" s="41">
        <f t="shared" si="4"/>
        <v>0.2608695652173913</v>
      </c>
      <c r="Z6" s="41">
        <f t="shared" ref="Z6:AC6" si="14">10*P6/($Z$2-$D$19)</f>
        <v>0.1834862385321101</v>
      </c>
      <c r="AA6" s="41">
        <f t="shared" si="14"/>
        <v>0.25688073394495414</v>
      </c>
      <c r="AB6" s="41">
        <f t="shared" si="14"/>
        <v>0.31192660550458717</v>
      </c>
      <c r="AC6" s="41">
        <f t="shared" si="14"/>
        <v>0.42201834862385323</v>
      </c>
      <c r="AD6" s="41" t="s">
        <v>1062</v>
      </c>
      <c r="AE6" s="41">
        <f t="shared" si="6"/>
        <v>0.2608695652173913</v>
      </c>
      <c r="AF6" s="41">
        <f t="shared" ref="AF6:AI6" si="15">Z6*(AF$2-$D$20)/10</f>
        <v>0.55045871559633031</v>
      </c>
      <c r="AG6" s="41">
        <f t="shared" si="15"/>
        <v>0.77064220183486243</v>
      </c>
      <c r="AH6" s="41">
        <f t="shared" si="15"/>
        <v>0.93577981651376141</v>
      </c>
      <c r="AI6" s="41">
        <f t="shared" si="15"/>
        <v>1.2660550458715598</v>
      </c>
    </row>
    <row r="7" spans="1:35" ht="15.75" customHeight="1">
      <c r="A7" s="2" t="s">
        <v>1066</v>
      </c>
      <c r="B7" s="2" t="s">
        <v>1059</v>
      </c>
      <c r="C7" s="21">
        <v>10.6</v>
      </c>
      <c r="D7" s="2"/>
      <c r="E7" s="41">
        <f t="shared" ref="E7:F7" si="16">AE7</f>
        <v>0.28985507246376813</v>
      </c>
      <c r="F7" s="41">
        <f t="shared" si="16"/>
        <v>0.60550458715596334</v>
      </c>
      <c r="G7" s="41">
        <f t="shared" si="1"/>
        <v>0.96330275229357798</v>
      </c>
      <c r="H7" s="41">
        <f t="shared" si="2"/>
        <v>1.2660550458715598</v>
      </c>
      <c r="I7" s="41" t="s">
        <v>1064</v>
      </c>
      <c r="J7" s="21">
        <f t="shared" ref="J7:N7" si="17">$C7+O7</f>
        <v>11.6</v>
      </c>
      <c r="K7" s="21">
        <f t="shared" si="17"/>
        <v>11.7</v>
      </c>
      <c r="L7" s="21">
        <f t="shared" si="17"/>
        <v>11.9</v>
      </c>
      <c r="M7" s="21">
        <f t="shared" si="17"/>
        <v>12.8</v>
      </c>
      <c r="N7" s="21">
        <f t="shared" si="17"/>
        <v>12.899999999999999</v>
      </c>
      <c r="O7" s="2">
        <v>1</v>
      </c>
      <c r="P7" s="21">
        <v>1.1000000000000001</v>
      </c>
      <c r="Q7" s="21">
        <v>1.3</v>
      </c>
      <c r="R7" s="21">
        <v>2.2000000000000002</v>
      </c>
      <c r="S7" s="21">
        <v>2.2999999999999998</v>
      </c>
      <c r="T7" s="38"/>
      <c r="U7" s="38"/>
      <c r="V7" s="38"/>
      <c r="W7" s="38"/>
      <c r="X7" s="38"/>
      <c r="Y7" s="41">
        <f t="shared" si="4"/>
        <v>0.28985507246376813</v>
      </c>
      <c r="Z7" s="41">
        <f t="shared" ref="Z7:AC7" si="18">10*P7/($Z$2-$D$19)</f>
        <v>0.20183486238532111</v>
      </c>
      <c r="AA7" s="41">
        <f t="shared" si="18"/>
        <v>0.23853211009174313</v>
      </c>
      <c r="AB7" s="41">
        <f t="shared" si="18"/>
        <v>0.40366972477064222</v>
      </c>
      <c r="AC7" s="41">
        <f t="shared" si="18"/>
        <v>0.42201834862385323</v>
      </c>
      <c r="AD7" s="41" t="s">
        <v>1062</v>
      </c>
      <c r="AE7" s="41">
        <f t="shared" si="6"/>
        <v>0.28985507246376813</v>
      </c>
      <c r="AF7" s="41">
        <f t="shared" ref="AF7:AI7" si="19">Z7*(AF$2-$D$20)/10</f>
        <v>0.60550458715596334</v>
      </c>
      <c r="AG7" s="41">
        <f t="shared" si="19"/>
        <v>0.7155963302752294</v>
      </c>
      <c r="AH7" s="41">
        <f t="shared" si="19"/>
        <v>1.2110091743119267</v>
      </c>
      <c r="AI7" s="41">
        <f t="shared" si="19"/>
        <v>1.2660550458715598</v>
      </c>
    </row>
    <row r="8" spans="1:35" ht="15.75" customHeight="1">
      <c r="A8" s="2" t="s">
        <v>1067</v>
      </c>
      <c r="B8" s="2" t="s">
        <v>1059</v>
      </c>
      <c r="C8" s="21">
        <v>3.4</v>
      </c>
      <c r="D8" s="2"/>
      <c r="E8" s="41">
        <f t="shared" ref="E8:F8" si="20">AE8</f>
        <v>0.34782608695652173</v>
      </c>
      <c r="F8" s="41">
        <f t="shared" si="20"/>
        <v>0.60550458715596334</v>
      </c>
      <c r="G8" s="41">
        <f t="shared" si="1"/>
        <v>1.0183486238532111</v>
      </c>
      <c r="H8" s="41">
        <f t="shared" si="2"/>
        <v>1.4862385321100917</v>
      </c>
      <c r="I8" s="41" t="s">
        <v>1064</v>
      </c>
      <c r="J8" s="21">
        <f t="shared" ref="J8:N8" si="21">$C8+O8</f>
        <v>4.5999999999999996</v>
      </c>
      <c r="K8" s="21">
        <f t="shared" si="21"/>
        <v>4.5</v>
      </c>
      <c r="L8" s="21">
        <f t="shared" si="21"/>
        <v>5</v>
      </c>
      <c r="M8" s="21">
        <f t="shared" si="21"/>
        <v>5.5</v>
      </c>
      <c r="N8" s="21">
        <f t="shared" si="21"/>
        <v>6.1</v>
      </c>
      <c r="O8" s="2">
        <v>1.2</v>
      </c>
      <c r="P8" s="21">
        <v>1.1000000000000001</v>
      </c>
      <c r="Q8" s="21">
        <v>1.6</v>
      </c>
      <c r="R8" s="21">
        <v>2.1</v>
      </c>
      <c r="S8" s="21">
        <v>2.7</v>
      </c>
      <c r="T8" s="38"/>
      <c r="U8" s="38"/>
      <c r="V8" s="38"/>
      <c r="W8" s="38"/>
      <c r="X8" s="38"/>
      <c r="Y8" s="41">
        <f t="shared" si="4"/>
        <v>0.34782608695652173</v>
      </c>
      <c r="Z8" s="41">
        <f t="shared" ref="Z8:AC8" si="22">10*P8/($Z$2-$D$19)</f>
        <v>0.20183486238532111</v>
      </c>
      <c r="AA8" s="41">
        <f t="shared" si="22"/>
        <v>0.29357798165137616</v>
      </c>
      <c r="AB8" s="41">
        <f t="shared" si="22"/>
        <v>0.38532110091743121</v>
      </c>
      <c r="AC8" s="41">
        <f t="shared" si="22"/>
        <v>0.49541284403669728</v>
      </c>
      <c r="AD8" s="41" t="s">
        <v>1062</v>
      </c>
      <c r="AE8" s="41">
        <f t="shared" si="6"/>
        <v>0.34782608695652173</v>
      </c>
      <c r="AF8" s="41">
        <f t="shared" ref="AF8:AI8" si="23">Z8*(AF$2-$D$20)/10</f>
        <v>0.60550458715596334</v>
      </c>
      <c r="AG8" s="41">
        <f t="shared" si="23"/>
        <v>0.88073394495412849</v>
      </c>
      <c r="AH8" s="41">
        <f t="shared" si="23"/>
        <v>1.1559633027522938</v>
      </c>
      <c r="AI8" s="41">
        <f t="shared" si="23"/>
        <v>1.4862385321100917</v>
      </c>
    </row>
    <row r="9" spans="1:35" ht="15.75" customHeight="1">
      <c r="A9" s="2" t="s">
        <v>1068</v>
      </c>
      <c r="B9" s="2" t="s">
        <v>1059</v>
      </c>
      <c r="C9" s="2">
        <v>11.8</v>
      </c>
      <c r="D9" s="2" t="s">
        <v>1069</v>
      </c>
      <c r="E9" s="41">
        <f t="shared" ref="E9:F9" si="24">AE9</f>
        <v>0.28985507246376813</v>
      </c>
      <c r="F9" s="41">
        <f t="shared" si="24"/>
        <v>0.55045871559633031</v>
      </c>
      <c r="G9" s="41">
        <f t="shared" si="1"/>
        <v>0.93577981651376152</v>
      </c>
      <c r="H9" s="41">
        <f t="shared" si="2"/>
        <v>1.2660550458715598</v>
      </c>
      <c r="I9" s="41" t="s">
        <v>1070</v>
      </c>
      <c r="Y9" s="41">
        <f t="shared" ref="Y9:AC9" si="25">Y4</f>
        <v>0.28985507246376813</v>
      </c>
      <c r="Z9" s="41">
        <f t="shared" si="25"/>
        <v>0.1834862385321101</v>
      </c>
      <c r="AA9" s="41">
        <f t="shared" si="25"/>
        <v>0.25688073394495414</v>
      </c>
      <c r="AB9" s="41">
        <f t="shared" si="25"/>
        <v>0.3669724770642202</v>
      </c>
      <c r="AC9" s="41">
        <f t="shared" si="25"/>
        <v>0.42201834862385323</v>
      </c>
      <c r="AD9" s="41" t="s">
        <v>1062</v>
      </c>
      <c r="AE9" s="41">
        <f t="shared" ref="AE9:AI9" si="26">AE4</f>
        <v>0.28985507246376813</v>
      </c>
      <c r="AF9" s="41">
        <f t="shared" si="26"/>
        <v>0.55045871559633031</v>
      </c>
      <c r="AG9" s="41">
        <f t="shared" si="26"/>
        <v>0.77064220183486243</v>
      </c>
      <c r="AH9" s="41">
        <f t="shared" si="26"/>
        <v>1.1009174311926606</v>
      </c>
      <c r="AI9" s="41">
        <f t="shared" si="26"/>
        <v>1.2660550458715598</v>
      </c>
    </row>
    <row r="10" spans="1:35" ht="15.75" customHeight="1">
      <c r="A10" s="2" t="s">
        <v>1071</v>
      </c>
      <c r="B10" s="2" t="s">
        <v>1059</v>
      </c>
      <c r="C10" s="2">
        <v>8.3000000000000007</v>
      </c>
      <c r="D10" s="2" t="s">
        <v>1072</v>
      </c>
      <c r="E10" s="2">
        <v>0</v>
      </c>
      <c r="F10" s="2">
        <v>0.1</v>
      </c>
      <c r="G10" s="2">
        <v>0.3</v>
      </c>
      <c r="H10" s="2">
        <v>1.5</v>
      </c>
      <c r="I10" s="41" t="s">
        <v>1064</v>
      </c>
      <c r="AD10" s="41" t="s">
        <v>1062</v>
      </c>
    </row>
    <row r="11" spans="1:35" ht="15.75" customHeight="1">
      <c r="A11" s="2" t="s">
        <v>1073</v>
      </c>
      <c r="B11" s="2" t="s">
        <v>1059</v>
      </c>
      <c r="C11" s="2">
        <v>2.1</v>
      </c>
      <c r="D11" s="2" t="s">
        <v>1072</v>
      </c>
      <c r="E11" s="2">
        <v>0</v>
      </c>
      <c r="F11" s="2">
        <v>0.1</v>
      </c>
      <c r="G11" s="2">
        <v>0.3</v>
      </c>
      <c r="H11" s="2">
        <v>1.5</v>
      </c>
      <c r="I11" s="41" t="s">
        <v>1064</v>
      </c>
      <c r="AD11" s="41"/>
    </row>
    <row r="12" spans="1:35" ht="15.75" customHeight="1">
      <c r="A12" s="2" t="s">
        <v>1074</v>
      </c>
      <c r="B12" s="2" t="s">
        <v>1075</v>
      </c>
      <c r="C12" s="2">
        <v>354</v>
      </c>
      <c r="D12" s="2"/>
      <c r="E12" s="38">
        <f t="shared" ref="E12:F12" si="27">AE12</f>
        <v>5.6425462137044136E-4</v>
      </c>
      <c r="F12" s="38">
        <f t="shared" si="27"/>
        <v>4.4952919399270375E-3</v>
      </c>
      <c r="G12" s="38">
        <f t="shared" ref="G12:G14" si="28">AVERAGE(AG12:AH12)</f>
        <v>2.9714886760134895E-3</v>
      </c>
      <c r="H12" s="38">
        <f t="shared" ref="H12:H14" si="29">AI12</f>
        <v>8.97718438381645E-3</v>
      </c>
      <c r="I12" s="2" t="s">
        <v>1076</v>
      </c>
      <c r="J12" s="22">
        <f t="shared" ref="J12:N12" si="30">$C12*(1+O12)</f>
        <v>354.70800000000003</v>
      </c>
      <c r="K12" s="22">
        <f t="shared" si="30"/>
        <v>356.12400000000002</v>
      </c>
      <c r="L12" s="22">
        <f t="shared" si="30"/>
        <v>359.66399999999999</v>
      </c>
      <c r="M12" s="22">
        <f t="shared" si="30"/>
        <v>351.16800000000001</v>
      </c>
      <c r="N12" s="22">
        <f t="shared" si="30"/>
        <v>358.24799999999999</v>
      </c>
      <c r="O12" s="38">
        <v>2E-3</v>
      </c>
      <c r="P12" s="34">
        <v>6.0000000000000001E-3</v>
      </c>
      <c r="Q12" s="34">
        <v>1.6E-2</v>
      </c>
      <c r="R12" s="34">
        <v>-8.0000000000000002E-3</v>
      </c>
      <c r="S12" s="34">
        <v>1.2E-2</v>
      </c>
      <c r="T12" s="38">
        <f t="shared" ref="T12:X12" si="31">LOG((1+O12), T$2-$D$19)</f>
        <v>5.6425462137051172E-4</v>
      </c>
      <c r="U12" s="38">
        <f t="shared" si="31"/>
        <v>1.4961909428533764E-3</v>
      </c>
      <c r="V12" s="38">
        <f t="shared" si="31"/>
        <v>3.9701231480608863E-3</v>
      </c>
      <c r="W12" s="38">
        <f t="shared" si="31"/>
        <v>-2.0089465978811259E-3</v>
      </c>
      <c r="X12" s="38">
        <f t="shared" si="31"/>
        <v>2.9834847611061107E-3</v>
      </c>
      <c r="AD12" s="2" t="s">
        <v>1077</v>
      </c>
      <c r="AE12" s="38">
        <f t="shared" ref="AE12:AI12" si="32">(1+T12)^((AE$2-$D$20)/10)-1</f>
        <v>5.6425462137044136E-4</v>
      </c>
      <c r="AF12" s="38">
        <f t="shared" si="32"/>
        <v>4.4952919399270375E-3</v>
      </c>
      <c r="AG12" s="38">
        <f t="shared" si="32"/>
        <v>1.1957717654210942E-2</v>
      </c>
      <c r="AH12" s="38">
        <f t="shared" si="32"/>
        <v>-6.0147403021839629E-3</v>
      </c>
      <c r="AI12" s="38">
        <f t="shared" si="32"/>
        <v>8.97718438381645E-3</v>
      </c>
    </row>
    <row r="13" spans="1:35" ht="15.75" customHeight="1">
      <c r="A13" s="2" t="s">
        <v>1078</v>
      </c>
      <c r="B13" s="2" t="s">
        <v>1075</v>
      </c>
      <c r="C13" s="2">
        <v>153</v>
      </c>
      <c r="D13" s="2" t="s">
        <v>1079</v>
      </c>
      <c r="E13" s="38">
        <f t="shared" ref="E13:F13" si="33">AE13</f>
        <v>5.315439268906319E-3</v>
      </c>
      <c r="F13" s="38">
        <f t="shared" si="33"/>
        <v>1.56751161276385E-2</v>
      </c>
      <c r="G13" s="38">
        <f t="shared" si="28"/>
        <v>2.2271176374266122E-2</v>
      </c>
      <c r="H13" s="38">
        <f t="shared" si="29"/>
        <v>4.8000523883314994E-2</v>
      </c>
      <c r="I13" s="2" t="s">
        <v>1076</v>
      </c>
      <c r="J13" s="22">
        <f t="shared" ref="J13:N13" si="34">$C13*(1+O13)</f>
        <v>155.90699999999998</v>
      </c>
      <c r="K13" s="22">
        <f t="shared" si="34"/>
        <v>156.21299999999999</v>
      </c>
      <c r="L13" s="22">
        <f t="shared" si="34"/>
        <v>160.65</v>
      </c>
      <c r="M13" s="22">
        <f t="shared" si="34"/>
        <v>154.53</v>
      </c>
      <c r="N13" s="22">
        <f t="shared" si="34"/>
        <v>162.94499999999999</v>
      </c>
      <c r="O13" s="38">
        <v>1.9E-2</v>
      </c>
      <c r="P13" s="34">
        <v>2.1000000000000001E-2</v>
      </c>
      <c r="Q13" s="34">
        <v>0.05</v>
      </c>
      <c r="R13" s="34">
        <v>0.01</v>
      </c>
      <c r="S13" s="34">
        <v>6.5000000000000002E-2</v>
      </c>
      <c r="T13" s="38">
        <f t="shared" ref="T13:X13" si="35">LOG((1+O13), T$2-$D$19)</f>
        <v>5.3154392689062488E-3</v>
      </c>
      <c r="U13" s="38">
        <f t="shared" si="35"/>
        <v>5.1979729716549652E-3</v>
      </c>
      <c r="V13" s="38">
        <f t="shared" si="35"/>
        <v>1.2203030265354806E-2</v>
      </c>
      <c r="W13" s="38">
        <f t="shared" si="35"/>
        <v>2.4887021927173275E-3</v>
      </c>
      <c r="X13" s="38">
        <f t="shared" si="35"/>
        <v>1.5750784880583207E-2</v>
      </c>
      <c r="AD13" s="2" t="s">
        <v>1077</v>
      </c>
      <c r="AE13" s="38">
        <f t="shared" ref="AE13:AI13" si="36">(1+T13)^((AE$2-$D$20)/10)-1</f>
        <v>5.315439268906319E-3</v>
      </c>
      <c r="AF13" s="38">
        <f t="shared" si="36"/>
        <v>1.56751161276385E-2</v>
      </c>
      <c r="AG13" s="38">
        <f t="shared" si="36"/>
        <v>3.7057649840446238E-2</v>
      </c>
      <c r="AH13" s="38">
        <f t="shared" si="36"/>
        <v>7.484702908086005E-3</v>
      </c>
      <c r="AI13" s="38">
        <f t="shared" si="36"/>
        <v>4.8000523883314994E-2</v>
      </c>
    </row>
    <row r="14" spans="1:35" ht="15.75" customHeight="1">
      <c r="A14" s="2" t="s">
        <v>1080</v>
      </c>
      <c r="B14" s="2" t="s">
        <v>1081</v>
      </c>
      <c r="C14" s="2">
        <v>21</v>
      </c>
      <c r="D14" s="2"/>
      <c r="E14" s="38">
        <f t="shared" ref="E14:F14" si="37">AE14</f>
        <v>0</v>
      </c>
      <c r="F14" s="38">
        <f t="shared" si="37"/>
        <v>0.15674902047406758</v>
      </c>
      <c r="G14" s="38">
        <f t="shared" si="28"/>
        <v>0.25840750086080044</v>
      </c>
      <c r="H14" s="38">
        <f t="shared" si="29"/>
        <v>0.45332914124929435</v>
      </c>
      <c r="I14" s="2" t="s">
        <v>1082</v>
      </c>
      <c r="J14" s="22">
        <f t="shared" ref="J14:N14" si="38">$C14*(1+O14)</f>
        <v>21</v>
      </c>
      <c r="K14" s="22">
        <f t="shared" si="38"/>
        <v>25.62</v>
      </c>
      <c r="L14" s="22">
        <f t="shared" si="38"/>
        <v>28.35</v>
      </c>
      <c r="M14" s="22">
        <f t="shared" si="38"/>
        <v>29.4</v>
      </c>
      <c r="N14" s="22">
        <f t="shared" si="38"/>
        <v>35.699999999999996</v>
      </c>
      <c r="O14" s="2">
        <v>0</v>
      </c>
      <c r="P14" s="5">
        <v>0.22</v>
      </c>
      <c r="Q14" s="5">
        <v>0.35</v>
      </c>
      <c r="R14" s="5">
        <v>0.4</v>
      </c>
      <c r="S14" s="5">
        <v>0.7</v>
      </c>
      <c r="T14" s="38">
        <f t="shared" ref="T14:X14" si="39">LOG((1+O14), T$2-$D$19)</f>
        <v>0</v>
      </c>
      <c r="U14" s="38">
        <f t="shared" si="39"/>
        <v>4.9735086750934597E-2</v>
      </c>
      <c r="V14" s="38">
        <f t="shared" si="39"/>
        <v>7.5059911906135243E-2</v>
      </c>
      <c r="W14" s="38">
        <f t="shared" si="39"/>
        <v>8.4155914554449443E-2</v>
      </c>
      <c r="X14" s="38">
        <f t="shared" si="39"/>
        <v>0.13271676202763902</v>
      </c>
      <c r="AD14" s="2" t="s">
        <v>1077</v>
      </c>
      <c r="AE14" s="38">
        <f t="shared" ref="AE14:AI14" si="40">(1+T14)^((AE$2-$D$20)/10)-1</f>
        <v>0</v>
      </c>
      <c r="AF14" s="38">
        <f t="shared" si="40"/>
        <v>0.15674902047406758</v>
      </c>
      <c r="AG14" s="38">
        <f t="shared" si="40"/>
        <v>0.24250459366573041</v>
      </c>
      <c r="AH14" s="38">
        <f t="shared" si="40"/>
        <v>0.27431040805587048</v>
      </c>
      <c r="AI14" s="38">
        <f t="shared" si="40"/>
        <v>0.45332914124929435</v>
      </c>
    </row>
    <row r="15" spans="1:35" ht="15.75" customHeight="1">
      <c r="D15" s="2"/>
    </row>
    <row r="16" spans="1:35" ht="15.75" customHeight="1">
      <c r="D16" s="2"/>
    </row>
    <row r="17" spans="1:19" ht="15.75" customHeight="1">
      <c r="A17" s="2" t="s">
        <v>1083</v>
      </c>
      <c r="D17" s="2"/>
    </row>
    <row r="18" spans="1:19" ht="15.75" customHeight="1">
      <c r="A18" s="165" t="s">
        <v>1084</v>
      </c>
      <c r="B18" s="165" t="s">
        <v>1085</v>
      </c>
      <c r="C18" s="165" t="s">
        <v>1086</v>
      </c>
      <c r="D18" s="165" t="s">
        <v>1087</v>
      </c>
      <c r="S18" s="5"/>
    </row>
    <row r="19" spans="1:19" ht="15.75" customHeight="1">
      <c r="A19" s="2" t="s">
        <v>1088</v>
      </c>
      <c r="B19" s="2">
        <v>1981</v>
      </c>
      <c r="C19" s="2">
        <v>2010</v>
      </c>
      <c r="D19" s="22">
        <f t="shared" ref="D19:D20" si="41">(C19-B19)/2+B19</f>
        <v>1995.5</v>
      </c>
      <c r="F19" s="38"/>
      <c r="G19" s="38"/>
      <c r="H19" s="38"/>
      <c r="I19" s="38"/>
      <c r="N19" s="41"/>
    </row>
    <row r="20" spans="1:19" ht="15.75" customHeight="1">
      <c r="A20" s="2" t="s">
        <v>1089</v>
      </c>
      <c r="B20" s="2">
        <v>2018</v>
      </c>
      <c r="C20" s="2">
        <v>2022</v>
      </c>
      <c r="D20" s="22">
        <f t="shared" si="41"/>
        <v>2020</v>
      </c>
      <c r="H20" s="38"/>
      <c r="K20" s="41"/>
      <c r="L20" s="41"/>
      <c r="M20" s="41"/>
      <c r="N20" s="41"/>
    </row>
    <row r="21" spans="1:19" ht="15.75" customHeight="1">
      <c r="A21" s="2"/>
      <c r="B21" s="2"/>
      <c r="C21" s="2"/>
      <c r="D21" s="22"/>
      <c r="H21" s="38"/>
      <c r="K21" s="41"/>
      <c r="L21" s="41"/>
      <c r="M21" s="41"/>
      <c r="N21" s="41"/>
    </row>
    <row r="22" spans="1:19" ht="15.75" customHeight="1">
      <c r="A22" s="2" t="s">
        <v>1090</v>
      </c>
      <c r="D22" s="2"/>
      <c r="H22" s="41"/>
      <c r="M22" s="41"/>
      <c r="N22" s="41"/>
    </row>
    <row r="23" spans="1:19" ht="15.75" customHeight="1">
      <c r="A23" s="165" t="s">
        <v>1091</v>
      </c>
      <c r="B23" s="165" t="s">
        <v>1092</v>
      </c>
      <c r="C23" s="165" t="s">
        <v>1093</v>
      </c>
      <c r="D23" s="4"/>
      <c r="K23" s="41"/>
    </row>
    <row r="24" spans="1:19" ht="15.75" customHeight="1">
      <c r="A24" s="2" t="s">
        <v>1094</v>
      </c>
      <c r="B24" s="2">
        <v>12</v>
      </c>
      <c r="C24" s="2">
        <v>2</v>
      </c>
      <c r="D24" s="22"/>
      <c r="K24" s="41"/>
    </row>
    <row r="25" spans="1:19" ht="15.75" customHeight="1">
      <c r="A25" s="2" t="s">
        <v>1095</v>
      </c>
      <c r="B25" s="2">
        <v>3</v>
      </c>
      <c r="C25" s="2">
        <v>5</v>
      </c>
      <c r="D25" s="22"/>
      <c r="K25" s="41"/>
    </row>
    <row r="26" spans="1:19" ht="15.75" customHeight="1">
      <c r="A26" s="2" t="s">
        <v>1096</v>
      </c>
      <c r="B26" s="2">
        <v>6</v>
      </c>
      <c r="C26" s="2">
        <v>8</v>
      </c>
      <c r="D26" s="22"/>
    </row>
    <row r="27" spans="1:19" ht="15.75" customHeight="1">
      <c r="A27" s="2" t="s">
        <v>1097</v>
      </c>
      <c r="B27" s="2">
        <v>9</v>
      </c>
      <c r="C27" s="2">
        <v>11</v>
      </c>
      <c r="D27" s="22"/>
      <c r="K27" s="41"/>
    </row>
    <row r="28" spans="1:19" ht="15.75" customHeight="1">
      <c r="A28" s="2"/>
      <c r="B28" s="2"/>
      <c r="C28" s="2"/>
      <c r="D28" s="22"/>
      <c r="K28" s="41"/>
    </row>
    <row r="29" spans="1:19" ht="15.75" customHeight="1">
      <c r="A29" s="2"/>
      <c r="B29" s="2"/>
      <c r="C29" s="2"/>
      <c r="D29"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R82"/>
  <sheetViews>
    <sheetView topLeftCell="A31" workbookViewId="0">
      <selection activeCell="H79" sqref="H79"/>
    </sheetView>
  </sheetViews>
  <sheetFormatPr baseColWidth="10" defaultColWidth="12.6640625" defaultRowHeight="15.75" customHeight="1"/>
  <cols>
    <col min="1" max="1" width="22.1640625" customWidth="1"/>
    <col min="4" max="4" width="20.83203125" customWidth="1"/>
    <col min="6" max="6" width="16.5" customWidth="1"/>
    <col min="7" max="7" width="25.83203125" customWidth="1"/>
    <col min="8" max="8" width="17.5" customWidth="1"/>
    <col min="10" max="10" width="24.1640625" customWidth="1"/>
    <col min="12" max="12" width="22.6640625" customWidth="1"/>
  </cols>
  <sheetData>
    <row r="1" spans="1:17" ht="15.75" customHeight="1">
      <c r="L1" s="5"/>
      <c r="M1" s="5"/>
    </row>
    <row r="2" spans="1:17" ht="15.75" customHeight="1">
      <c r="A2" s="79" t="s">
        <v>1098</v>
      </c>
      <c r="B2" s="79"/>
      <c r="C2" s="79"/>
      <c r="D2" s="79"/>
      <c r="E2" s="79"/>
      <c r="F2" s="79" t="s">
        <v>1099</v>
      </c>
      <c r="G2" s="79"/>
      <c r="H2" s="79"/>
      <c r="L2" s="5"/>
      <c r="M2" s="5"/>
    </row>
    <row r="3" spans="1:17" ht="15.75" customHeight="1">
      <c r="A3" s="47" t="s">
        <v>166</v>
      </c>
      <c r="B3" s="179" t="s">
        <v>1100</v>
      </c>
      <c r="C3" s="47" t="s">
        <v>1101</v>
      </c>
      <c r="D3" s="47" t="s">
        <v>1102</v>
      </c>
      <c r="E3" s="79"/>
      <c r="F3" s="47" t="s">
        <v>975</v>
      </c>
      <c r="G3" s="47" t="s">
        <v>1101</v>
      </c>
      <c r="H3" s="47" t="s">
        <v>1102</v>
      </c>
      <c r="L3" s="5"/>
      <c r="M3" s="5"/>
    </row>
    <row r="4" spans="1:17" ht="15.75" customHeight="1">
      <c r="A4" s="180" t="s">
        <v>1103</v>
      </c>
      <c r="B4" s="54">
        <v>427</v>
      </c>
      <c r="C4" s="109" t="s">
        <v>172</v>
      </c>
      <c r="D4" s="181" t="s">
        <v>1104</v>
      </c>
      <c r="E4" s="79"/>
      <c r="F4" s="180">
        <v>2030</v>
      </c>
      <c r="G4" s="109" t="s">
        <v>1105</v>
      </c>
      <c r="H4" s="182" t="s">
        <v>1106</v>
      </c>
      <c r="L4" s="5"/>
      <c r="M4" s="5"/>
    </row>
    <row r="5" spans="1:17" ht="15.75" customHeight="1">
      <c r="A5" s="183">
        <v>2030</v>
      </c>
      <c r="B5" s="57">
        <f>M32</f>
        <v>159.0308561093147</v>
      </c>
      <c r="C5" s="111" t="s">
        <v>1105</v>
      </c>
      <c r="D5" s="184" t="s">
        <v>1106</v>
      </c>
      <c r="E5" s="79"/>
      <c r="F5" s="185" t="s">
        <v>44</v>
      </c>
      <c r="G5" s="111" t="s">
        <v>1107</v>
      </c>
      <c r="H5" s="184" t="s">
        <v>1108</v>
      </c>
      <c r="L5" s="5"/>
      <c r="M5" s="5"/>
    </row>
    <row r="6" spans="1:17" ht="15.75" customHeight="1">
      <c r="A6" s="186" t="s">
        <v>44</v>
      </c>
      <c r="B6" s="54">
        <f>Q32</f>
        <v>29.444432974051299</v>
      </c>
      <c r="C6" s="109" t="s">
        <v>1107</v>
      </c>
      <c r="D6" s="182" t="s">
        <v>1108</v>
      </c>
      <c r="E6" s="79"/>
      <c r="F6" s="186" t="s">
        <v>45</v>
      </c>
      <c r="G6" s="109" t="s">
        <v>1109</v>
      </c>
      <c r="H6" s="182" t="s">
        <v>1108</v>
      </c>
      <c r="L6" s="5"/>
      <c r="M6" s="5"/>
    </row>
    <row r="7" spans="1:17" ht="15.75" customHeight="1">
      <c r="A7" s="185" t="s">
        <v>45</v>
      </c>
      <c r="B7" s="57">
        <f>N32</f>
        <v>41.563891400114152</v>
      </c>
      <c r="C7" s="111" t="s">
        <v>1109</v>
      </c>
      <c r="D7" s="184" t="s">
        <v>1108</v>
      </c>
      <c r="E7" s="79"/>
      <c r="F7" s="185" t="s">
        <v>46</v>
      </c>
      <c r="G7" s="111" t="s">
        <v>1110</v>
      </c>
      <c r="H7" s="184" t="s">
        <v>1108</v>
      </c>
      <c r="L7" s="5"/>
      <c r="M7" s="5"/>
    </row>
    <row r="8" spans="1:17" ht="15.75" customHeight="1">
      <c r="A8" s="186" t="s">
        <v>46</v>
      </c>
      <c r="B8" s="54">
        <f>B5</f>
        <v>159.0308561093147</v>
      </c>
      <c r="C8" s="109" t="s">
        <v>1110</v>
      </c>
      <c r="D8" s="182" t="s">
        <v>1108</v>
      </c>
      <c r="E8" s="79"/>
      <c r="F8" s="79"/>
      <c r="G8" s="79"/>
      <c r="H8" s="79"/>
      <c r="L8" s="5"/>
      <c r="M8" s="5"/>
    </row>
    <row r="9" spans="1:17" ht="15.75" customHeight="1">
      <c r="L9" s="5"/>
      <c r="M9" s="5"/>
    </row>
    <row r="10" spans="1:17" ht="15.75" customHeight="1">
      <c r="L10" s="5"/>
      <c r="M10" s="5"/>
    </row>
    <row r="11" spans="1:17" ht="15.75" customHeight="1">
      <c r="A11" s="4" t="s">
        <v>1111</v>
      </c>
      <c r="B11" s="187" t="s">
        <v>1108</v>
      </c>
    </row>
    <row r="12" spans="1:17" ht="15.75" customHeight="1">
      <c r="A12" s="4"/>
      <c r="B12" s="33" t="s">
        <v>1106</v>
      </c>
    </row>
    <row r="13" spans="1:17" ht="15.75" customHeight="1">
      <c r="A13" s="4" t="s">
        <v>1112</v>
      </c>
      <c r="B13" s="39" t="s">
        <v>1113</v>
      </c>
    </row>
    <row r="14" spans="1:17" ht="15.75" customHeight="1">
      <c r="M14" s="4"/>
    </row>
    <row r="15" spans="1:17" ht="15.75" customHeight="1">
      <c r="A15" s="4"/>
      <c r="B15" s="35" t="s">
        <v>1114</v>
      </c>
      <c r="C15" s="35"/>
      <c r="D15" s="35"/>
      <c r="E15" s="35"/>
      <c r="F15" s="35"/>
      <c r="G15" s="35" t="s">
        <v>1115</v>
      </c>
      <c r="H15" s="35"/>
      <c r="I15" s="35"/>
      <c r="J15" s="35"/>
      <c r="K15" s="35"/>
      <c r="L15" s="35" t="s">
        <v>1116</v>
      </c>
    </row>
    <row r="16" spans="1:17" ht="15.75" customHeight="1">
      <c r="A16" s="1" t="s">
        <v>1117</v>
      </c>
      <c r="B16" s="1">
        <v>2030</v>
      </c>
      <c r="C16" s="1" t="s">
        <v>1109</v>
      </c>
      <c r="D16" s="1" t="s">
        <v>1118</v>
      </c>
      <c r="E16" s="1" t="s">
        <v>1119</v>
      </c>
      <c r="F16" s="1" t="s">
        <v>1107</v>
      </c>
      <c r="G16" s="10">
        <f t="shared" ref="G16:K16" si="0">B16</f>
        <v>2030</v>
      </c>
      <c r="H16" s="10" t="str">
        <f t="shared" si="0"/>
        <v>2050 Regional</v>
      </c>
      <c r="I16" s="10" t="str">
        <f t="shared" si="0"/>
        <v>2050 National</v>
      </c>
      <c r="J16" s="10" t="str">
        <f t="shared" si="0"/>
        <v>2050 European</v>
      </c>
      <c r="K16" s="10" t="str">
        <f t="shared" si="0"/>
        <v>2050 International</v>
      </c>
      <c r="L16" s="188" t="s">
        <v>1120</v>
      </c>
      <c r="M16" s="188">
        <f t="shared" ref="M16:Q16" si="1">G16</f>
        <v>2030</v>
      </c>
      <c r="N16" s="188" t="str">
        <f t="shared" si="1"/>
        <v>2050 Regional</v>
      </c>
      <c r="O16" s="188" t="str">
        <f t="shared" si="1"/>
        <v>2050 National</v>
      </c>
      <c r="P16" s="188" t="str">
        <f t="shared" si="1"/>
        <v>2050 European</v>
      </c>
      <c r="Q16" s="188" t="str">
        <f t="shared" si="1"/>
        <v>2050 International</v>
      </c>
    </row>
    <row r="17" spans="1:18" ht="15.75" customHeight="1">
      <c r="A17" s="36" t="s">
        <v>1121</v>
      </c>
      <c r="B17" s="189">
        <v>8.6812199999999997</v>
      </c>
      <c r="C17" s="189">
        <v>1.9476199999999999</v>
      </c>
      <c r="D17" s="189">
        <v>0</v>
      </c>
      <c r="E17" s="189">
        <v>62.676409999999997</v>
      </c>
      <c r="F17" s="189">
        <v>6.9846000000000004</v>
      </c>
      <c r="G17" s="34">
        <f t="shared" ref="G17:K17" si="2">B17/B$32</f>
        <v>1.380296571009498E-2</v>
      </c>
      <c r="H17" s="34">
        <f t="shared" si="2"/>
        <v>1.5402751276726368E-3</v>
      </c>
      <c r="I17" s="34">
        <f t="shared" si="2"/>
        <v>0</v>
      </c>
      <c r="J17" s="34">
        <f t="shared" si="2"/>
        <v>5.3304497021704277E-2</v>
      </c>
      <c r="K17" s="34">
        <f t="shared" si="2"/>
        <v>6.1858748860175094E-3</v>
      </c>
      <c r="L17" s="41">
        <f t="shared" ref="L17:L20" si="3">INDEX($G$37:$I$49, MATCH($A17, $G$37:$G$49, 0), 3)</f>
        <v>0.20857876</v>
      </c>
      <c r="M17" s="41">
        <f t="shared" ref="M17:Q17" si="4">$L17*G17*1000</f>
        <v>2.8790054721341303</v>
      </c>
      <c r="N17" s="41">
        <f t="shared" si="4"/>
        <v>0.32126867618880023</v>
      </c>
      <c r="O17" s="41">
        <f t="shared" si="4"/>
        <v>0</v>
      </c>
      <c r="P17" s="41">
        <f t="shared" si="4"/>
        <v>11.118185891210771</v>
      </c>
      <c r="Q17" s="41">
        <f t="shared" si="4"/>
        <v>1.2902421132406734</v>
      </c>
    </row>
    <row r="18" spans="1:18" ht="15.75" customHeight="1">
      <c r="A18" s="36" t="s">
        <v>1122</v>
      </c>
      <c r="B18" s="189">
        <v>0</v>
      </c>
      <c r="C18" s="189">
        <v>0</v>
      </c>
      <c r="D18" s="189">
        <v>5.55</v>
      </c>
      <c r="E18" s="189">
        <v>12.09482</v>
      </c>
      <c r="F18" s="189">
        <v>6.0474100000000002</v>
      </c>
      <c r="G18" s="34">
        <f t="shared" ref="G18:K18" si="5">B18/B$32</f>
        <v>0</v>
      </c>
      <c r="H18" s="34">
        <f t="shared" si="5"/>
        <v>0</v>
      </c>
      <c r="I18" s="34">
        <f t="shared" si="5"/>
        <v>3.5279758953430732E-3</v>
      </c>
      <c r="J18" s="34">
        <f t="shared" si="5"/>
        <v>1.0286299050440977E-2</v>
      </c>
      <c r="K18" s="34">
        <f t="shared" si="5"/>
        <v>5.3558574069311271E-3</v>
      </c>
      <c r="L18" s="41">
        <f t="shared" si="3"/>
        <v>0.82983772</v>
      </c>
      <c r="M18" s="41">
        <f t="shared" ref="M18:Q18" si="6">$L18*G18*1000</f>
        <v>0</v>
      </c>
      <c r="N18" s="41">
        <f t="shared" si="6"/>
        <v>0</v>
      </c>
      <c r="O18" s="41">
        <f t="shared" si="6"/>
        <v>2.9276474732064544</v>
      </c>
      <c r="P18" s="41">
        <f t="shared" si="6"/>
        <v>8.535958951256104</v>
      </c>
      <c r="Q18" s="41">
        <f t="shared" si="6"/>
        <v>4.4444924992128394</v>
      </c>
    </row>
    <row r="19" spans="1:18" ht="15.75" customHeight="1">
      <c r="A19" s="36" t="s">
        <v>1123</v>
      </c>
      <c r="B19" s="189">
        <v>0.39988000000000001</v>
      </c>
      <c r="C19" s="189">
        <v>0.33500000000000002</v>
      </c>
      <c r="D19" s="189">
        <v>0.33</v>
      </c>
      <c r="E19" s="189">
        <v>0.33500000000000002</v>
      </c>
      <c r="F19" s="189">
        <v>0.33500000000000002</v>
      </c>
      <c r="G19" s="34">
        <f t="shared" ref="G19:K19" si="7">B19/B$32</f>
        <v>6.358011809576052E-4</v>
      </c>
      <c r="H19" s="34">
        <f t="shared" si="7"/>
        <v>2.6493472431497593E-4</v>
      </c>
      <c r="I19" s="34">
        <f t="shared" si="7"/>
        <v>2.0977153972310167E-4</v>
      </c>
      <c r="J19" s="34">
        <f t="shared" si="7"/>
        <v>2.8490793429730471E-4</v>
      </c>
      <c r="K19" s="34">
        <f t="shared" si="7"/>
        <v>2.9669101835693752E-4</v>
      </c>
      <c r="L19" s="41">
        <f t="shared" si="3"/>
        <v>4.0626537999999997E-3</v>
      </c>
      <c r="M19" s="41">
        <f t="shared" ref="M19:Q19" si="8">$L19*G19*1000</f>
        <v>2.5830400838619022E-3</v>
      </c>
      <c r="N19" s="41">
        <f t="shared" si="8"/>
        <v>1.0763380644901893E-3</v>
      </c>
      <c r="O19" s="41">
        <f t="shared" si="8"/>
        <v>8.5222914298790984E-4</v>
      </c>
      <c r="P19" s="41">
        <f t="shared" si="8"/>
        <v>1.1574823019230953E-3</v>
      </c>
      <c r="Q19" s="41">
        <f t="shared" si="8"/>
        <v>1.2053528931536819E-3</v>
      </c>
    </row>
    <row r="20" spans="1:18" ht="15.75" customHeight="1">
      <c r="A20" s="36" t="s">
        <v>1124</v>
      </c>
      <c r="B20" s="190">
        <v>0</v>
      </c>
      <c r="C20" s="190">
        <v>78.281409999999994</v>
      </c>
      <c r="D20" s="190">
        <v>59.28</v>
      </c>
      <c r="E20" s="190">
        <v>0</v>
      </c>
      <c r="F20" s="190">
        <v>60.502099999999999</v>
      </c>
      <c r="G20" s="34">
        <f t="shared" ref="G20:K20" si="9">B20/B$32</f>
        <v>0</v>
      </c>
      <c r="H20" s="34">
        <f t="shared" si="9"/>
        <v>6.1908847096530141E-2</v>
      </c>
      <c r="I20" s="34">
        <f t="shared" si="9"/>
        <v>3.7682596590258986E-2</v>
      </c>
      <c r="J20" s="34">
        <f t="shared" si="9"/>
        <v>0</v>
      </c>
      <c r="K20" s="34">
        <f t="shared" si="9"/>
        <v>5.3583372124576922E-2</v>
      </c>
      <c r="L20" s="41">
        <f t="shared" si="3"/>
        <v>0.05</v>
      </c>
      <c r="M20" s="41">
        <f t="shared" ref="M20:Q20" si="10">$L20*G20*1000</f>
        <v>0</v>
      </c>
      <c r="N20" s="41">
        <f t="shared" si="10"/>
        <v>3.0954423548265071</v>
      </c>
      <c r="O20" s="41">
        <f t="shared" si="10"/>
        <v>1.8841298295129494</v>
      </c>
      <c r="P20" s="41">
        <f t="shared" si="10"/>
        <v>0</v>
      </c>
      <c r="Q20" s="41">
        <f t="shared" si="10"/>
        <v>2.679168606228846</v>
      </c>
    </row>
    <row r="21" spans="1:18" ht="15.75" customHeight="1">
      <c r="A21" s="36" t="s">
        <v>1125</v>
      </c>
      <c r="B21" s="190">
        <v>107.41728999999999</v>
      </c>
      <c r="C21" s="190">
        <v>89.52834</v>
      </c>
      <c r="D21" s="190">
        <v>135.34</v>
      </c>
      <c r="E21" s="190">
        <v>327.20706000000001</v>
      </c>
      <c r="F21" s="190">
        <v>339.48034999999999</v>
      </c>
      <c r="G21" s="34">
        <f t="shared" ref="G21:K21" si="11">B21/B$32</f>
        <v>0.17079133699426213</v>
      </c>
      <c r="H21" s="34">
        <f t="shared" si="11"/>
        <v>7.0803480824708748E-2</v>
      </c>
      <c r="I21" s="34">
        <f t="shared" si="11"/>
        <v>8.6031758139771444E-2</v>
      </c>
      <c r="J21" s="34">
        <f t="shared" si="11"/>
        <v>0.27828026134953504</v>
      </c>
      <c r="K21" s="34">
        <f t="shared" si="11"/>
        <v>0.30065901717513305</v>
      </c>
      <c r="L21" s="41"/>
      <c r="M21" s="41">
        <f t="shared" ref="M21:Q21" si="12">SUMPRODUCT($L$17:$L$20, G$17:G$20)+SUMPRODUCT($L$22:$L$31, G$22:G$31)</f>
        <v>0.15887198412518952</v>
      </c>
      <c r="N21" s="41">
        <f t="shared" si="12"/>
        <v>4.1522369031083077E-2</v>
      </c>
      <c r="O21" s="41">
        <f t="shared" si="12"/>
        <v>3.4745972203627788E-2</v>
      </c>
      <c r="P21" s="41">
        <f t="shared" si="12"/>
        <v>4.1954407777276256E-2</v>
      </c>
      <c r="Q21" s="41">
        <f t="shared" si="12"/>
        <v>2.9415017956095198E-2</v>
      </c>
    </row>
    <row r="22" spans="1:18" ht="15.75" customHeight="1">
      <c r="A22" s="36" t="s">
        <v>1126</v>
      </c>
      <c r="B22" s="190">
        <v>134.27218999999999</v>
      </c>
      <c r="C22" s="190">
        <v>0</v>
      </c>
      <c r="D22" s="190">
        <v>0</v>
      </c>
      <c r="E22" s="190">
        <v>0</v>
      </c>
      <c r="F22" s="190">
        <v>0</v>
      </c>
      <c r="G22" s="34">
        <f t="shared" ref="G22:K22" si="13">B22/B$32</f>
        <v>0.21349008945624673</v>
      </c>
      <c r="H22" s="34">
        <f t="shared" si="13"/>
        <v>0</v>
      </c>
      <c r="I22" s="34">
        <f t="shared" si="13"/>
        <v>0</v>
      </c>
      <c r="J22" s="34">
        <f t="shared" si="13"/>
        <v>0</v>
      </c>
      <c r="K22" s="34">
        <f t="shared" si="13"/>
        <v>0</v>
      </c>
      <c r="L22" s="41">
        <f t="shared" ref="L22:L25" si="14">INDEX($G$37:$I$49, MATCH($A22, $G$37:$G$49, 0), 3)</f>
        <v>0.63805093999999996</v>
      </c>
      <c r="M22" s="41">
        <f t="shared" ref="M22:Q22" si="15">$L22*G22*1000</f>
        <v>136.21755225824231</v>
      </c>
      <c r="N22" s="41">
        <f t="shared" si="15"/>
        <v>0</v>
      </c>
      <c r="O22" s="41">
        <f t="shared" si="15"/>
        <v>0</v>
      </c>
      <c r="P22" s="41">
        <f t="shared" si="15"/>
        <v>0</v>
      </c>
      <c r="Q22" s="41">
        <f t="shared" si="15"/>
        <v>0</v>
      </c>
    </row>
    <row r="23" spans="1:18" ht="15.75" customHeight="1">
      <c r="A23" s="36" t="s">
        <v>1127</v>
      </c>
      <c r="B23" s="190">
        <v>12.08817</v>
      </c>
      <c r="C23" s="190">
        <v>0</v>
      </c>
      <c r="D23" s="190">
        <v>0</v>
      </c>
      <c r="E23" s="190">
        <v>0</v>
      </c>
      <c r="F23" s="190">
        <v>0</v>
      </c>
      <c r="G23" s="34">
        <f t="shared" ref="G23:K23" si="16">B23/B$32</f>
        <v>1.9219947888407255E-2</v>
      </c>
      <c r="H23" s="34">
        <f t="shared" si="16"/>
        <v>0</v>
      </c>
      <c r="I23" s="34">
        <f t="shared" si="16"/>
        <v>0</v>
      </c>
      <c r="J23" s="34">
        <f t="shared" si="16"/>
        <v>0</v>
      </c>
      <c r="K23" s="34">
        <f t="shared" si="16"/>
        <v>0</v>
      </c>
      <c r="L23" s="41">
        <f t="shared" si="14"/>
        <v>6.3363443000000004E-3</v>
      </c>
      <c r="M23" s="41">
        <f t="shared" ref="M23:Q23" si="17">$L23*G23*1000</f>
        <v>0.12178420724900635</v>
      </c>
      <c r="N23" s="41">
        <f t="shared" si="17"/>
        <v>0</v>
      </c>
      <c r="O23" s="41">
        <f t="shared" si="17"/>
        <v>0</v>
      </c>
      <c r="P23" s="41">
        <f t="shared" si="17"/>
        <v>0</v>
      </c>
      <c r="Q23" s="41">
        <f t="shared" si="17"/>
        <v>0</v>
      </c>
    </row>
    <row r="24" spans="1:18" ht="15.75" customHeight="1">
      <c r="A24" s="36" t="s">
        <v>1128</v>
      </c>
      <c r="B24" s="190">
        <v>19.05922</v>
      </c>
      <c r="C24" s="190">
        <v>0</v>
      </c>
      <c r="D24" s="190">
        <v>1.89</v>
      </c>
      <c r="E24" s="190">
        <v>5.7016400000000003</v>
      </c>
      <c r="F24" s="190">
        <v>6.1180300000000001</v>
      </c>
      <c r="G24" s="34">
        <f t="shared" ref="G24:K24" si="18">B24/B$32</f>
        <v>3.03037775936051E-2</v>
      </c>
      <c r="H24" s="34">
        <f t="shared" si="18"/>
        <v>0</v>
      </c>
      <c r="I24" s="34">
        <f t="shared" si="18"/>
        <v>1.2014188184141276E-3</v>
      </c>
      <c r="J24" s="34">
        <f t="shared" si="18"/>
        <v>4.8490820134533871E-3</v>
      </c>
      <c r="K24" s="34">
        <f t="shared" si="18"/>
        <v>5.4184016448904308E-3</v>
      </c>
      <c r="L24" s="41">
        <f t="shared" si="14"/>
        <v>0</v>
      </c>
      <c r="M24" s="41">
        <f t="shared" ref="M24:Q24" si="19">$L24*G24*1000</f>
        <v>0</v>
      </c>
      <c r="N24" s="41">
        <f t="shared" si="19"/>
        <v>0</v>
      </c>
      <c r="O24" s="41">
        <f t="shared" si="19"/>
        <v>0</v>
      </c>
      <c r="P24" s="41">
        <f t="shared" si="19"/>
        <v>0</v>
      </c>
      <c r="Q24" s="41">
        <f t="shared" si="19"/>
        <v>0</v>
      </c>
    </row>
    <row r="25" spans="1:18" ht="15.75" customHeight="1">
      <c r="A25" s="36" t="s">
        <v>1129</v>
      </c>
      <c r="B25" s="189">
        <v>0.86448999999999998</v>
      </c>
      <c r="C25" s="189">
        <v>0</v>
      </c>
      <c r="D25" s="189">
        <v>0</v>
      </c>
      <c r="E25" s="189">
        <v>0</v>
      </c>
      <c r="F25" s="189">
        <v>0</v>
      </c>
      <c r="G25" s="34">
        <f t="shared" ref="G25:K25" si="20">B25/B$32</f>
        <v>1.3745217638442533E-3</v>
      </c>
      <c r="H25" s="34">
        <f t="shared" si="20"/>
        <v>0</v>
      </c>
      <c r="I25" s="34">
        <f t="shared" si="20"/>
        <v>0</v>
      </c>
      <c r="J25" s="34">
        <f t="shared" si="20"/>
        <v>0</v>
      </c>
      <c r="K25" s="34">
        <f t="shared" si="20"/>
        <v>0</v>
      </c>
      <c r="L25" s="41">
        <f t="shared" si="14"/>
        <v>0.20857876</v>
      </c>
      <c r="M25" s="41">
        <f t="shared" ref="M25:Q25" si="21">$L25*G25*1000</f>
        <v>0.28669604509564717</v>
      </c>
      <c r="N25" s="41">
        <f t="shared" si="21"/>
        <v>0</v>
      </c>
      <c r="O25" s="41">
        <f t="shared" si="21"/>
        <v>0</v>
      </c>
      <c r="P25" s="41">
        <f t="shared" si="21"/>
        <v>0</v>
      </c>
      <c r="Q25" s="41">
        <f t="shared" si="21"/>
        <v>0</v>
      </c>
    </row>
    <row r="26" spans="1:18" ht="15.75" customHeight="1">
      <c r="A26" s="191" t="s">
        <v>1130</v>
      </c>
      <c r="B26" s="192">
        <v>83.956980000000001</v>
      </c>
      <c r="C26" s="192">
        <v>376.17003999999997</v>
      </c>
      <c r="D26" s="192">
        <v>320.45</v>
      </c>
      <c r="E26" s="192">
        <v>173.80350000000001</v>
      </c>
      <c r="F26" s="192">
        <v>156.15331</v>
      </c>
      <c r="G26" s="193">
        <f t="shared" ref="G26:K26" si="22">B26/B$32</f>
        <v>0.13348991455845263</v>
      </c>
      <c r="H26" s="193">
        <f t="shared" si="22"/>
        <v>0.29749404729239837</v>
      </c>
      <c r="I26" s="193">
        <f t="shared" si="22"/>
        <v>0.20370087849778157</v>
      </c>
      <c r="J26" s="193">
        <f t="shared" si="22"/>
        <v>0.14781491390639284</v>
      </c>
      <c r="K26" s="193">
        <f t="shared" si="22"/>
        <v>0.13829637183195986</v>
      </c>
      <c r="L26" s="194"/>
      <c r="M26" s="194"/>
      <c r="N26" s="194"/>
      <c r="O26" s="194"/>
      <c r="P26" s="194"/>
      <c r="Q26" s="194"/>
    </row>
    <row r="27" spans="1:18" ht="15.75" customHeight="1">
      <c r="A27" s="195" t="s">
        <v>1131</v>
      </c>
      <c r="B27" s="196">
        <f>17/SUM(8, 17)*B26</f>
        <v>57.090746400000008</v>
      </c>
      <c r="C27" s="196">
        <f>58/SUM(51, 58)*C26</f>
        <v>200.16387449541284</v>
      </c>
      <c r="D27" s="196">
        <f>50/SUM(43, 50)*D26</f>
        <v>172.28494623655914</v>
      </c>
      <c r="E27" s="196">
        <f>30/SUM(21, 30)*E26</f>
        <v>102.23735294117648</v>
      </c>
      <c r="F27" s="196">
        <f>30/SUM(15, 30)*F26</f>
        <v>104.10220666666666</v>
      </c>
      <c r="G27" s="197">
        <f t="shared" ref="G27:K27" si="23">B27/B$32</f>
        <v>9.0773141899747792E-2</v>
      </c>
      <c r="H27" s="197">
        <f t="shared" si="23"/>
        <v>0.15829958479778997</v>
      </c>
      <c r="I27" s="197">
        <f t="shared" si="23"/>
        <v>0.10951660134289332</v>
      </c>
      <c r="J27" s="197">
        <f t="shared" si="23"/>
        <v>8.6949949356701681E-2</v>
      </c>
      <c r="K27" s="197">
        <f t="shared" si="23"/>
        <v>9.2197581221306571E-2</v>
      </c>
      <c r="L27" s="198">
        <f t="shared" ref="L27:L28" si="24">INDEX($G$37:$I$49, MATCH($A27, $G$37:$G$49, 0), 3)</f>
        <v>9.3630166000000001E-2</v>
      </c>
      <c r="M27" s="198">
        <f t="shared" ref="M27:Q27" si="25">$L27*G27*1000</f>
        <v>8.4991043444149419</v>
      </c>
      <c r="N27" s="198">
        <f t="shared" si="25"/>
        <v>14.82161640234815</v>
      </c>
      <c r="O27" s="198">
        <f t="shared" si="25"/>
        <v>10.254057563490925</v>
      </c>
      <c r="P27" s="198">
        <f t="shared" si="25"/>
        <v>8.1411381919595716</v>
      </c>
      <c r="Q27" s="198">
        <f t="shared" si="25"/>
        <v>8.6324748345494164</v>
      </c>
    </row>
    <row r="28" spans="1:18" ht="15.75" customHeight="1">
      <c r="A28" s="195" t="s">
        <v>1132</v>
      </c>
      <c r="B28" s="196">
        <f t="shared" ref="B28:F28" si="26">B26-B27</f>
        <v>26.866233599999994</v>
      </c>
      <c r="C28" s="196">
        <f t="shared" si="26"/>
        <v>176.00616550458713</v>
      </c>
      <c r="D28" s="196">
        <f t="shared" si="26"/>
        <v>148.16505376344085</v>
      </c>
      <c r="E28" s="196">
        <f t="shared" si="26"/>
        <v>71.566147058823532</v>
      </c>
      <c r="F28" s="196">
        <f t="shared" si="26"/>
        <v>52.051103333333344</v>
      </c>
      <c r="G28" s="197">
        <f t="shared" ref="G28:K28" si="27">B28/B$32</f>
        <v>4.2716772658704834E-2</v>
      </c>
      <c r="H28" s="197">
        <f t="shared" si="27"/>
        <v>0.1391944624946084</v>
      </c>
      <c r="I28" s="197">
        <f t="shared" si="27"/>
        <v>9.4184277154888252E-2</v>
      </c>
      <c r="J28" s="197">
        <f t="shared" si="27"/>
        <v>6.0864964549691168E-2</v>
      </c>
      <c r="K28" s="197">
        <f t="shared" si="27"/>
        <v>4.6098790610653292E-2</v>
      </c>
      <c r="L28" s="198">
        <f t="shared" si="24"/>
        <v>0.10518518</v>
      </c>
      <c r="M28" s="198">
        <f t="shared" ref="M28:Q28" si="28">$L28*G28*1000</f>
        <v>4.4931714211249467</v>
      </c>
      <c r="N28" s="198">
        <f t="shared" si="28"/>
        <v>14.641194592498636</v>
      </c>
      <c r="O28" s="198">
        <f t="shared" si="28"/>
        <v>9.9067901457068075</v>
      </c>
      <c r="P28" s="198">
        <f t="shared" si="28"/>
        <v>6.4020922518528849</v>
      </c>
      <c r="Q28" s="198">
        <f t="shared" si="28"/>
        <v>4.8489095881638766</v>
      </c>
    </row>
    <row r="29" spans="1:18" ht="15.75" customHeight="1">
      <c r="A29" s="191" t="s">
        <v>1133</v>
      </c>
      <c r="B29" s="192">
        <v>262.19931000000003</v>
      </c>
      <c r="C29" s="192">
        <v>718.2</v>
      </c>
      <c r="D29" s="192">
        <v>1050.3</v>
      </c>
      <c r="E29" s="192">
        <v>594</v>
      </c>
      <c r="F29" s="192">
        <v>553.5</v>
      </c>
      <c r="G29" s="193">
        <f t="shared" ref="G29:K29" si="29">B29/B$32</f>
        <v>0.41689164485412927</v>
      </c>
      <c r="H29" s="193">
        <f t="shared" si="29"/>
        <v>0.56798841493437524</v>
      </c>
      <c r="I29" s="193">
        <f t="shared" si="29"/>
        <v>0.66764560051870803</v>
      </c>
      <c r="J29" s="193">
        <f t="shared" si="29"/>
        <v>0.50518003872417616</v>
      </c>
      <c r="K29" s="193">
        <f t="shared" si="29"/>
        <v>0.49020441391213404</v>
      </c>
      <c r="L29" s="194"/>
      <c r="M29" s="194"/>
      <c r="N29" s="194"/>
      <c r="O29" s="194"/>
      <c r="P29" s="194"/>
      <c r="Q29" s="194"/>
    </row>
    <row r="30" spans="1:18" ht="15.75" customHeight="1">
      <c r="A30" s="195" t="s">
        <v>1134</v>
      </c>
      <c r="B30" s="196">
        <f t="shared" ref="B30:F30" si="30">B29-B31</f>
        <v>199.27147560000003</v>
      </c>
      <c r="C30" s="196">
        <f t="shared" si="30"/>
        <v>502.74</v>
      </c>
      <c r="D30" s="196">
        <f t="shared" si="30"/>
        <v>215.81506849315076</v>
      </c>
      <c r="E30" s="196">
        <f t="shared" si="30"/>
        <v>486</v>
      </c>
      <c r="F30" s="196">
        <f t="shared" si="30"/>
        <v>445.67532467532465</v>
      </c>
      <c r="G30" s="197">
        <f t="shared" ref="G30:K30" si="31">B30/B$32</f>
        <v>0.31683765008913828</v>
      </c>
      <c r="H30" s="197">
        <f t="shared" si="31"/>
        <v>0.39759189045406268</v>
      </c>
      <c r="I30" s="197">
        <f t="shared" si="31"/>
        <v>0.13718745216137843</v>
      </c>
      <c r="J30" s="197">
        <f t="shared" si="31"/>
        <v>0.41332912259250776</v>
      </c>
      <c r="K30" s="197">
        <f t="shared" si="31"/>
        <v>0.3947100475656144</v>
      </c>
      <c r="L30" s="198">
        <f t="shared" ref="L30:L31" si="32">INDEX($G$37:$I$49, MATCH($A30, $G$37:$G$49, 0), 3)</f>
        <v>1.5565002E-2</v>
      </c>
      <c r="M30" s="198">
        <f t="shared" ref="M30:Q30" si="33">$L30*G30*1000</f>
        <v>4.9315786573127367</v>
      </c>
      <c r="N30" s="198">
        <f t="shared" si="33"/>
        <v>6.1885185701012659</v>
      </c>
      <c r="O30" s="198">
        <f t="shared" si="33"/>
        <v>2.1353229672667595</v>
      </c>
      <c r="P30" s="198">
        <f t="shared" si="33"/>
        <v>6.4334686198106281</v>
      </c>
      <c r="Q30" s="198">
        <f t="shared" si="33"/>
        <v>6.1436626797788829</v>
      </c>
      <c r="R30" s="2"/>
    </row>
    <row r="31" spans="1:18" ht="15.75" customHeight="1">
      <c r="A31" s="195" t="s">
        <v>1135</v>
      </c>
      <c r="B31" s="196">
        <f>12/SUM(38, 12)*B29</f>
        <v>62.927834400000002</v>
      </c>
      <c r="C31" s="196">
        <f>60/SUM(140, 60)*C29</f>
        <v>215.46</v>
      </c>
      <c r="D31" s="196">
        <f>232/SUM(232, 60)*D29</f>
        <v>834.48493150684919</v>
      </c>
      <c r="E31" s="196">
        <f>30/SUM(135, 30)*E29</f>
        <v>108</v>
      </c>
      <c r="F31" s="196">
        <f>30/SUM(124, 30)*F29</f>
        <v>107.82467532467533</v>
      </c>
      <c r="G31" s="197">
        <f t="shared" ref="G31:K31" si="34">B31/B$32</f>
        <v>0.10005399476499102</v>
      </c>
      <c r="H31" s="197">
        <f t="shared" si="34"/>
        <v>0.17039652448031256</v>
      </c>
      <c r="I31" s="197">
        <f t="shared" si="34"/>
        <v>0.53045814835732963</v>
      </c>
      <c r="J31" s="197">
        <f t="shared" si="34"/>
        <v>9.1850916131668389E-2</v>
      </c>
      <c r="K31" s="197">
        <f t="shared" si="34"/>
        <v>9.5494366346519616E-2</v>
      </c>
      <c r="L31" s="198">
        <f t="shared" si="32"/>
        <v>1.4397313E-2</v>
      </c>
      <c r="M31" s="198">
        <f t="shared" ref="M31:Q31" si="35">$L31*G31*1000</f>
        <v>1.4405086795319373</v>
      </c>
      <c r="N31" s="198">
        <f t="shared" si="35"/>
        <v>2.4532520970552225</v>
      </c>
      <c r="O31" s="198">
        <f t="shared" si="35"/>
        <v>7.6371719953009105</v>
      </c>
      <c r="P31" s="198">
        <f t="shared" si="35"/>
        <v>1.3224063888843791</v>
      </c>
      <c r="Q31" s="198">
        <f t="shared" si="35"/>
        <v>1.3748622820275094</v>
      </c>
      <c r="R31" s="2"/>
    </row>
    <row r="32" spans="1:18" ht="15.75" customHeight="1">
      <c r="A32" s="199" t="s">
        <v>357</v>
      </c>
      <c r="B32" s="200">
        <f t="shared" ref="B32:K32" si="36">SUM(B17:B31)-SUM(B26,B29)</f>
        <v>628.93875000000003</v>
      </c>
      <c r="C32" s="200">
        <f t="shared" si="36"/>
        <v>1264.4624099999999</v>
      </c>
      <c r="D32" s="200">
        <f t="shared" si="36"/>
        <v>1573.1399999999994</v>
      </c>
      <c r="E32" s="200">
        <f t="shared" si="36"/>
        <v>1175.81843</v>
      </c>
      <c r="F32" s="200">
        <f t="shared" si="36"/>
        <v>1129.1208000000001</v>
      </c>
      <c r="G32" s="201">
        <f t="shared" si="36"/>
        <v>1</v>
      </c>
      <c r="H32" s="201">
        <f t="shared" si="36"/>
        <v>1</v>
      </c>
      <c r="I32" s="201">
        <f t="shared" si="36"/>
        <v>1.0000000000000007</v>
      </c>
      <c r="J32" s="201">
        <f t="shared" si="36"/>
        <v>0.99999999999999978</v>
      </c>
      <c r="K32" s="201">
        <f t="shared" si="36"/>
        <v>0.99999999999999978</v>
      </c>
      <c r="L32" s="202"/>
      <c r="M32" s="202">
        <f t="shared" ref="M32:Q32" si="37">SUM(M17:M31)</f>
        <v>159.0308561093147</v>
      </c>
      <c r="N32" s="202">
        <f t="shared" si="37"/>
        <v>41.563891400114152</v>
      </c>
      <c r="O32" s="202">
        <f t="shared" si="37"/>
        <v>34.780718175831424</v>
      </c>
      <c r="P32" s="202">
        <f t="shared" si="37"/>
        <v>41.996362185053542</v>
      </c>
      <c r="Q32" s="202">
        <f t="shared" si="37"/>
        <v>29.444432974051299</v>
      </c>
      <c r="R32" s="2"/>
    </row>
    <row r="35" spans="1:18" ht="15.75" customHeight="1">
      <c r="A35" s="2" t="s">
        <v>1136</v>
      </c>
      <c r="G35" s="2" t="s">
        <v>1137</v>
      </c>
    </row>
    <row r="36" spans="1:18" ht="15.75" customHeight="1">
      <c r="A36" s="4" t="s">
        <v>1138</v>
      </c>
      <c r="B36" s="39" t="s">
        <v>1139</v>
      </c>
      <c r="G36" s="1" t="s">
        <v>1117</v>
      </c>
      <c r="H36" s="1" t="s">
        <v>1140</v>
      </c>
      <c r="I36" s="1" t="s">
        <v>274</v>
      </c>
      <c r="J36" s="1" t="s">
        <v>1141</v>
      </c>
      <c r="K36" s="2"/>
      <c r="L36" s="2"/>
      <c r="M36" s="2"/>
      <c r="Q36" s="1"/>
      <c r="R36" s="1"/>
    </row>
    <row r="37" spans="1:18" ht="15.75" customHeight="1">
      <c r="A37" s="203" t="s">
        <v>1142</v>
      </c>
      <c r="B37" s="203" t="s">
        <v>1143</v>
      </c>
      <c r="C37" s="203" t="s">
        <v>1144</v>
      </c>
      <c r="D37" s="204" t="s">
        <v>1145</v>
      </c>
      <c r="G37" s="2" t="s">
        <v>1121</v>
      </c>
      <c r="H37" s="2" t="s">
        <v>1146</v>
      </c>
      <c r="I37" s="27">
        <v>0.20857876</v>
      </c>
      <c r="J37" s="1" t="s">
        <v>1141</v>
      </c>
      <c r="M37" s="27"/>
    </row>
    <row r="38" spans="1:18" ht="15.75" customHeight="1">
      <c r="A38" s="79" t="s">
        <v>1147</v>
      </c>
      <c r="B38" s="79" t="s">
        <v>1148</v>
      </c>
      <c r="C38" s="205" t="s">
        <v>1149</v>
      </c>
      <c r="D38" s="206">
        <v>0.69668392000000001</v>
      </c>
      <c r="G38" s="2" t="s">
        <v>1122</v>
      </c>
      <c r="H38" s="2" t="s">
        <v>1150</v>
      </c>
      <c r="I38" s="27">
        <v>0.82983772</v>
      </c>
      <c r="J38" s="2"/>
      <c r="M38" s="27"/>
    </row>
    <row r="39" spans="1:18" ht="15.75" customHeight="1">
      <c r="A39" s="79" t="s">
        <v>1151</v>
      </c>
      <c r="B39" s="79" t="s">
        <v>1152</v>
      </c>
      <c r="C39" s="205" t="s">
        <v>1149</v>
      </c>
      <c r="D39" s="206">
        <v>1.3936234E-2</v>
      </c>
      <c r="G39" s="2" t="s">
        <v>1123</v>
      </c>
      <c r="H39" s="2" t="s">
        <v>1153</v>
      </c>
      <c r="I39" s="27">
        <v>4.0626537999999997E-3</v>
      </c>
      <c r="J39" s="2"/>
      <c r="M39" s="27"/>
    </row>
    <row r="40" spans="1:18" ht="15.75" customHeight="1">
      <c r="A40" s="79" t="s">
        <v>1154</v>
      </c>
      <c r="B40" s="79" t="s">
        <v>1152</v>
      </c>
      <c r="C40" s="205" t="s">
        <v>1149</v>
      </c>
      <c r="D40" s="206">
        <v>0.30449625000000002</v>
      </c>
      <c r="G40" s="2" t="s">
        <v>1124</v>
      </c>
      <c r="H40" s="2" t="s">
        <v>1155</v>
      </c>
      <c r="I40" s="27">
        <f>I69</f>
        <v>0.05</v>
      </c>
      <c r="J40" s="2" t="s">
        <v>1156</v>
      </c>
      <c r="M40" s="27"/>
    </row>
    <row r="41" spans="1:18" ht="15.75" customHeight="1">
      <c r="A41" s="79" t="s">
        <v>1157</v>
      </c>
      <c r="B41" s="79" t="s">
        <v>1152</v>
      </c>
      <c r="C41" s="205" t="s">
        <v>1149</v>
      </c>
      <c r="D41" s="206">
        <v>0.63805093999999996</v>
      </c>
      <c r="G41" s="2" t="s">
        <v>1125</v>
      </c>
      <c r="H41" s="2"/>
      <c r="I41" s="27"/>
      <c r="J41" s="2" t="s">
        <v>1158</v>
      </c>
      <c r="M41" s="27"/>
    </row>
    <row r="42" spans="1:18" ht="15.75" customHeight="1">
      <c r="A42" s="79" t="s">
        <v>1159</v>
      </c>
      <c r="B42" s="79" t="s">
        <v>1152</v>
      </c>
      <c r="C42" s="205" t="s">
        <v>1149</v>
      </c>
      <c r="D42" s="206">
        <v>1.5565002E-2</v>
      </c>
      <c r="G42" s="2" t="s">
        <v>1126</v>
      </c>
      <c r="H42" s="2" t="s">
        <v>1160</v>
      </c>
      <c r="I42" s="27">
        <v>0.63805093999999996</v>
      </c>
      <c r="J42" s="2"/>
      <c r="M42" s="27"/>
    </row>
    <row r="43" spans="1:18" ht="15.75" customHeight="1">
      <c r="A43" s="79" t="s">
        <v>1161</v>
      </c>
      <c r="B43" s="79" t="s">
        <v>1152</v>
      </c>
      <c r="C43" s="205" t="s">
        <v>1149</v>
      </c>
      <c r="D43" s="206">
        <v>0.56030404</v>
      </c>
      <c r="G43" s="2" t="s">
        <v>1127</v>
      </c>
      <c r="H43" s="2" t="s">
        <v>1162</v>
      </c>
      <c r="I43" s="27">
        <v>6.3363443000000004E-3</v>
      </c>
      <c r="J43" s="2"/>
      <c r="M43" s="27"/>
    </row>
    <row r="44" spans="1:18" ht="15.75" customHeight="1">
      <c r="A44" s="79" t="s">
        <v>1163</v>
      </c>
      <c r="B44" s="79" t="s">
        <v>1152</v>
      </c>
      <c r="C44" s="205" t="s">
        <v>1149</v>
      </c>
      <c r="D44" s="206">
        <v>0.82983772</v>
      </c>
      <c r="G44" s="2" t="s">
        <v>1128</v>
      </c>
      <c r="H44" s="2" t="s">
        <v>1164</v>
      </c>
      <c r="I44" s="27">
        <v>0</v>
      </c>
      <c r="J44" s="2"/>
      <c r="M44" s="27"/>
    </row>
    <row r="45" spans="1:18" ht="15.75" customHeight="1">
      <c r="A45" s="79" t="s">
        <v>1165</v>
      </c>
      <c r="B45" s="79" t="s">
        <v>1152</v>
      </c>
      <c r="C45" s="205" t="s">
        <v>1149</v>
      </c>
      <c r="D45" s="206">
        <v>0.25883418000000002</v>
      </c>
      <c r="G45" s="79" t="s">
        <v>1132</v>
      </c>
      <c r="H45" s="2" t="s">
        <v>1166</v>
      </c>
      <c r="I45" s="207">
        <v>0.10518518</v>
      </c>
      <c r="J45" s="2"/>
      <c r="M45" s="27"/>
    </row>
    <row r="46" spans="1:18" ht="15.75" customHeight="1">
      <c r="A46" s="79" t="s">
        <v>1167</v>
      </c>
      <c r="B46" s="79" t="s">
        <v>1152</v>
      </c>
      <c r="C46" s="205" t="s">
        <v>1149</v>
      </c>
      <c r="D46" s="206">
        <v>0.76903429999999995</v>
      </c>
      <c r="G46" s="79" t="s">
        <v>1131</v>
      </c>
      <c r="H46" s="2" t="s">
        <v>1168</v>
      </c>
      <c r="I46" s="207">
        <v>9.3630166000000001E-2</v>
      </c>
      <c r="J46" s="79" t="s">
        <v>1169</v>
      </c>
      <c r="M46" s="27"/>
    </row>
    <row r="47" spans="1:18" ht="15.75" customHeight="1">
      <c r="A47" s="79" t="s">
        <v>1170</v>
      </c>
      <c r="B47" s="79" t="s">
        <v>1152</v>
      </c>
      <c r="C47" s="205" t="s">
        <v>1149</v>
      </c>
      <c r="D47" s="206">
        <v>0.37038475999999998</v>
      </c>
      <c r="G47" s="2" t="s">
        <v>1129</v>
      </c>
      <c r="H47" s="2" t="s">
        <v>1146</v>
      </c>
      <c r="I47" s="207">
        <v>0.20857876</v>
      </c>
      <c r="J47" s="79" t="s">
        <v>1171</v>
      </c>
      <c r="K47" s="2"/>
      <c r="M47" s="27"/>
    </row>
    <row r="48" spans="1:18" ht="15.75" customHeight="1">
      <c r="A48" s="79" t="s">
        <v>1172</v>
      </c>
      <c r="B48" s="79" t="s">
        <v>1173</v>
      </c>
      <c r="C48" s="205" t="s">
        <v>1149</v>
      </c>
      <c r="D48" s="206">
        <v>0.58950749999999996</v>
      </c>
      <c r="G48" s="2" t="s">
        <v>1135</v>
      </c>
      <c r="H48" s="2" t="s">
        <v>1174</v>
      </c>
      <c r="I48" s="27">
        <v>1.4397313E-2</v>
      </c>
      <c r="J48" s="2" t="s">
        <v>1175</v>
      </c>
      <c r="K48" s="2"/>
      <c r="M48" s="27"/>
    </row>
    <row r="49" spans="1:17" ht="15.75" customHeight="1">
      <c r="A49" s="79" t="s">
        <v>1176</v>
      </c>
      <c r="B49" s="79" t="s">
        <v>1152</v>
      </c>
      <c r="C49" s="205" t="s">
        <v>1149</v>
      </c>
      <c r="D49" s="206">
        <v>5.1268131000000002E-2</v>
      </c>
      <c r="G49" s="2" t="s">
        <v>1134</v>
      </c>
      <c r="H49" s="2" t="s">
        <v>1177</v>
      </c>
      <c r="I49" s="27">
        <v>1.5565002E-2</v>
      </c>
      <c r="M49" s="27"/>
    </row>
    <row r="50" spans="1:17" ht="15.75" customHeight="1">
      <c r="A50" s="79" t="s">
        <v>1178</v>
      </c>
      <c r="B50" s="79" t="s">
        <v>1152</v>
      </c>
      <c r="C50" s="205" t="s">
        <v>1149</v>
      </c>
      <c r="D50" s="206">
        <v>4.0626537999999997E-3</v>
      </c>
    </row>
    <row r="51" spans="1:17" ht="13">
      <c r="A51" s="79" t="s">
        <v>1179</v>
      </c>
      <c r="B51" s="79" t="s">
        <v>1152</v>
      </c>
      <c r="C51" s="205" t="s">
        <v>1149</v>
      </c>
      <c r="D51" s="206">
        <v>1.4397313E-2</v>
      </c>
    </row>
    <row r="52" spans="1:17" ht="13">
      <c r="A52" s="79" t="s">
        <v>1180</v>
      </c>
      <c r="B52" s="79" t="s">
        <v>1148</v>
      </c>
      <c r="C52" s="205" t="s">
        <v>1149</v>
      </c>
      <c r="D52" s="206">
        <v>0.57484623000000001</v>
      </c>
      <c r="G52" s="2" t="s">
        <v>1181</v>
      </c>
    </row>
    <row r="53" spans="1:17" ht="13">
      <c r="A53" s="79" t="s">
        <v>1182</v>
      </c>
      <c r="B53" s="79" t="s">
        <v>1173</v>
      </c>
      <c r="C53" s="205" t="s">
        <v>1149</v>
      </c>
      <c r="D53" s="206">
        <v>9.0788485000000002E-2</v>
      </c>
      <c r="G53" s="39" t="s">
        <v>1183</v>
      </c>
      <c r="L53" s="2" t="s">
        <v>1184</v>
      </c>
    </row>
    <row r="54" spans="1:17" ht="13">
      <c r="A54" s="79" t="s">
        <v>1185</v>
      </c>
      <c r="B54" s="79" t="s">
        <v>1152</v>
      </c>
      <c r="C54" s="205" t="s">
        <v>1149</v>
      </c>
      <c r="D54" s="206">
        <v>0.57268489</v>
      </c>
      <c r="G54" s="1" t="s">
        <v>1186</v>
      </c>
      <c r="H54" s="1" t="s">
        <v>1187</v>
      </c>
      <c r="I54" s="1" t="s">
        <v>1188</v>
      </c>
      <c r="L54" s="1" t="s">
        <v>1189</v>
      </c>
      <c r="M54" s="1">
        <v>2019</v>
      </c>
      <c r="N54" s="1">
        <v>2030</v>
      </c>
      <c r="O54" s="1" t="s">
        <v>44</v>
      </c>
      <c r="P54" s="1" t="s">
        <v>45</v>
      </c>
      <c r="Q54" s="1" t="s">
        <v>46</v>
      </c>
    </row>
    <row r="55" spans="1:17" ht="13">
      <c r="A55" s="79" t="s">
        <v>1190</v>
      </c>
      <c r="B55" s="79" t="s">
        <v>1152</v>
      </c>
      <c r="C55" s="205" t="s">
        <v>1149</v>
      </c>
      <c r="D55" s="206">
        <v>0.69668392000000001</v>
      </c>
      <c r="G55" s="2" t="s">
        <v>1191</v>
      </c>
      <c r="H55" s="2" t="s">
        <v>1192</v>
      </c>
      <c r="I55" s="2">
        <v>0.09</v>
      </c>
      <c r="L55" s="2" t="s">
        <v>1193</v>
      </c>
      <c r="M55" s="6">
        <v>0.96647000000000005</v>
      </c>
      <c r="N55" s="6">
        <v>1.42879</v>
      </c>
      <c r="O55" s="6">
        <v>10.79247</v>
      </c>
      <c r="P55" s="6">
        <v>10.586639999999999</v>
      </c>
      <c r="Q55" s="6">
        <v>1.42879</v>
      </c>
    </row>
    <row r="56" spans="1:17" ht="13">
      <c r="A56" s="79" t="s">
        <v>1194</v>
      </c>
      <c r="B56" s="79" t="s">
        <v>1148</v>
      </c>
      <c r="C56" s="205" t="s">
        <v>1149</v>
      </c>
      <c r="D56" s="206">
        <v>0</v>
      </c>
      <c r="G56" s="2" t="s">
        <v>1195</v>
      </c>
      <c r="H56" s="2" t="s">
        <v>1196</v>
      </c>
      <c r="I56" s="2">
        <v>1.7999999999999999E-2</v>
      </c>
      <c r="L56" s="2" t="s">
        <v>1197</v>
      </c>
      <c r="M56" s="6">
        <v>8.8000000000000007</v>
      </c>
      <c r="N56" s="6">
        <v>2.5831300000000001</v>
      </c>
      <c r="O56" s="6">
        <v>1.8767499999999999</v>
      </c>
      <c r="P56" s="6">
        <v>1.8767499999999999</v>
      </c>
      <c r="Q56" s="6">
        <v>2.5831300000000001</v>
      </c>
    </row>
    <row r="57" spans="1:17" ht="13">
      <c r="A57" s="79" t="s">
        <v>1198</v>
      </c>
      <c r="B57" s="79" t="s">
        <v>1152</v>
      </c>
      <c r="C57" s="205" t="s">
        <v>1149</v>
      </c>
      <c r="D57" s="206">
        <v>6.3363443000000004E-3</v>
      </c>
      <c r="G57" s="2" t="s">
        <v>1199</v>
      </c>
      <c r="H57" s="2" t="s">
        <v>1200</v>
      </c>
      <c r="I57" s="2">
        <v>5.0000000000000001E-3</v>
      </c>
      <c r="L57" s="2" t="s">
        <v>1201</v>
      </c>
      <c r="M57" s="6">
        <v>8.4187499999999993</v>
      </c>
      <c r="N57" s="6">
        <v>8.2276199999999999</v>
      </c>
      <c r="O57" s="6">
        <v>11.886240000000001</v>
      </c>
      <c r="P57" s="6">
        <v>11.886240000000001</v>
      </c>
      <c r="Q57" s="6">
        <v>8.2276199999999999</v>
      </c>
    </row>
    <row r="58" spans="1:17" ht="13">
      <c r="A58" s="79" t="s">
        <v>1202</v>
      </c>
      <c r="B58" s="79" t="s">
        <v>1152</v>
      </c>
      <c r="C58" s="205" t="s">
        <v>1149</v>
      </c>
      <c r="D58" s="206">
        <v>2.3668722999999999E-2</v>
      </c>
      <c r="J58" s="27"/>
      <c r="L58" s="2" t="s">
        <v>1203</v>
      </c>
      <c r="M58" s="6">
        <v>62.546619999999997</v>
      </c>
      <c r="N58" s="6">
        <v>59.277360000000002</v>
      </c>
      <c r="O58" s="6">
        <v>66.007069999999999</v>
      </c>
      <c r="P58" s="6">
        <v>66.007069999999999</v>
      </c>
      <c r="Q58" s="6">
        <v>59.277360000000002</v>
      </c>
    </row>
    <row r="59" spans="1:17" ht="13">
      <c r="A59" s="79" t="s">
        <v>1204</v>
      </c>
      <c r="B59" s="79" t="s">
        <v>1152</v>
      </c>
      <c r="C59" s="205" t="s">
        <v>1149</v>
      </c>
      <c r="D59" s="206">
        <v>0.51430935</v>
      </c>
      <c r="G59" s="2" t="s">
        <v>1205</v>
      </c>
      <c r="L59" s="2" t="s">
        <v>1206</v>
      </c>
      <c r="M59" s="6">
        <v>46.649790000000003</v>
      </c>
      <c r="N59" s="6">
        <v>48.736469999999997</v>
      </c>
      <c r="O59" s="6">
        <v>46.614220000000003</v>
      </c>
      <c r="P59" s="6">
        <v>47.012920000000001</v>
      </c>
      <c r="Q59" s="6">
        <v>48.736469999999997</v>
      </c>
    </row>
    <row r="60" spans="1:17" ht="13">
      <c r="A60" s="79" t="s">
        <v>1207</v>
      </c>
      <c r="B60" s="79" t="s">
        <v>1152</v>
      </c>
      <c r="C60" s="205" t="s">
        <v>1149</v>
      </c>
      <c r="D60" s="206">
        <v>1.8760948999999999E-2</v>
      </c>
      <c r="G60" s="39" t="s">
        <v>1208</v>
      </c>
      <c r="L60" s="2" t="s">
        <v>1209</v>
      </c>
      <c r="M60" s="6">
        <v>256.46550000000002</v>
      </c>
      <c r="N60" s="6">
        <v>237.44558000000001</v>
      </c>
      <c r="O60" s="6">
        <v>131.76056</v>
      </c>
      <c r="P60" s="6">
        <v>147.60924</v>
      </c>
      <c r="Q60" s="6">
        <v>237.44558000000001</v>
      </c>
    </row>
    <row r="61" spans="1:17" ht="13">
      <c r="A61" s="79" t="s">
        <v>1210</v>
      </c>
      <c r="B61" s="79" t="s">
        <v>1173</v>
      </c>
      <c r="C61" s="205" t="s">
        <v>1149</v>
      </c>
      <c r="D61" s="206">
        <v>0.10518518</v>
      </c>
      <c r="G61" s="1" t="s">
        <v>1211</v>
      </c>
      <c r="H61" s="1" t="s">
        <v>1212</v>
      </c>
      <c r="I61" s="1"/>
      <c r="L61" s="2" t="s">
        <v>1213</v>
      </c>
      <c r="M61" s="6">
        <f t="shared" ref="M61:Q61" si="38">SUM(M55:M58)</f>
        <v>80.731840000000005</v>
      </c>
      <c r="N61" s="6">
        <f t="shared" si="38"/>
        <v>71.516900000000007</v>
      </c>
      <c r="O61" s="6">
        <f t="shared" si="38"/>
        <v>90.562529999999995</v>
      </c>
      <c r="P61" s="6">
        <f t="shared" si="38"/>
        <v>90.356699999999989</v>
      </c>
      <c r="Q61" s="6">
        <f t="shared" si="38"/>
        <v>71.516900000000007</v>
      </c>
    </row>
    <row r="62" spans="1:17" ht="13">
      <c r="A62" s="79" t="s">
        <v>1214</v>
      </c>
      <c r="B62" s="79" t="s">
        <v>1173</v>
      </c>
      <c r="C62" s="205" t="s">
        <v>1149</v>
      </c>
      <c r="D62" s="206">
        <v>9.3630166000000001E-2</v>
      </c>
      <c r="G62" s="2" t="s">
        <v>1215</v>
      </c>
      <c r="H62" s="2">
        <v>0.05</v>
      </c>
      <c r="I62" s="2"/>
      <c r="L62" s="2" t="s">
        <v>1216</v>
      </c>
      <c r="M62" s="6">
        <f t="shared" ref="M62:Q62" si="39">SUM(M59:M60)</f>
        <v>303.11529000000002</v>
      </c>
      <c r="N62" s="6">
        <f t="shared" si="39"/>
        <v>286.18205</v>
      </c>
      <c r="O62" s="6">
        <f t="shared" si="39"/>
        <v>178.37477999999999</v>
      </c>
      <c r="P62" s="6">
        <f t="shared" si="39"/>
        <v>194.62216000000001</v>
      </c>
      <c r="Q62" s="6">
        <f t="shared" si="39"/>
        <v>286.18205</v>
      </c>
    </row>
    <row r="63" spans="1:17" ht="13">
      <c r="A63" s="79" t="s">
        <v>1217</v>
      </c>
      <c r="B63" s="79" t="s">
        <v>1148</v>
      </c>
      <c r="C63" s="205" t="s">
        <v>1149</v>
      </c>
      <c r="D63" s="206">
        <v>0.57938244000000005</v>
      </c>
      <c r="G63" s="2" t="s">
        <v>1218</v>
      </c>
      <c r="H63" s="2">
        <v>0.64</v>
      </c>
      <c r="I63" s="2"/>
      <c r="L63" s="2" t="s">
        <v>357</v>
      </c>
      <c r="M63" s="6">
        <f t="shared" ref="M63:Q63" si="40">SUM(M61:M62)</f>
        <v>383.84712999999999</v>
      </c>
      <c r="N63" s="6">
        <f t="shared" si="40"/>
        <v>357.69895000000002</v>
      </c>
      <c r="O63" s="6">
        <f t="shared" si="40"/>
        <v>268.93730999999997</v>
      </c>
      <c r="P63" s="6">
        <f t="shared" si="40"/>
        <v>284.97886</v>
      </c>
      <c r="Q63" s="6">
        <f t="shared" si="40"/>
        <v>357.69895000000002</v>
      </c>
    </row>
    <row r="64" spans="1:17" ht="13">
      <c r="A64" s="79" t="s">
        <v>1219</v>
      </c>
      <c r="B64" s="79" t="s">
        <v>1152</v>
      </c>
      <c r="C64" s="205" t="s">
        <v>1149</v>
      </c>
      <c r="D64" s="206">
        <v>0.95743564000000003</v>
      </c>
      <c r="K64" s="5"/>
      <c r="L64" s="2" t="s">
        <v>1220</v>
      </c>
      <c r="M64" s="2" t="s">
        <v>172</v>
      </c>
      <c r="N64" s="5">
        <f t="shared" ref="N64:Q64" si="41">N61/$M61-1</f>
        <v>-0.11414257373546788</v>
      </c>
      <c r="O64" s="5">
        <f t="shared" si="41"/>
        <v>0.12176967600391597</v>
      </c>
      <c r="P64" s="5">
        <f t="shared" si="41"/>
        <v>0.11922012430287698</v>
      </c>
      <c r="Q64" s="5">
        <f t="shared" si="41"/>
        <v>-0.11414257373546788</v>
      </c>
    </row>
    <row r="65" spans="1:17" ht="13">
      <c r="A65" s="79" t="s">
        <v>1221</v>
      </c>
      <c r="B65" s="79" t="s">
        <v>1222</v>
      </c>
      <c r="C65" s="205" t="s">
        <v>1149</v>
      </c>
      <c r="D65" s="206">
        <v>0</v>
      </c>
      <c r="G65" s="2" t="s">
        <v>1223</v>
      </c>
      <c r="K65" s="5"/>
      <c r="L65" s="2" t="s">
        <v>1224</v>
      </c>
      <c r="M65" s="2" t="s">
        <v>172</v>
      </c>
      <c r="N65" s="5">
        <f t="shared" ref="N65:Q65" si="42">N62/$M62-1</f>
        <v>-5.5864024543268664E-2</v>
      </c>
      <c r="O65" s="5">
        <f t="shared" si="42"/>
        <v>-0.41152826701681733</v>
      </c>
      <c r="P65" s="5">
        <f t="shared" si="42"/>
        <v>-0.35792694588253859</v>
      </c>
      <c r="Q65" s="5">
        <f t="shared" si="42"/>
        <v>-5.5864024543268664E-2</v>
      </c>
    </row>
    <row r="66" spans="1:17" ht="13">
      <c r="A66" s="79" t="s">
        <v>1225</v>
      </c>
      <c r="B66" s="79" t="s">
        <v>1152</v>
      </c>
      <c r="C66" s="205" t="s">
        <v>1149</v>
      </c>
      <c r="D66" s="206">
        <v>0.20857876</v>
      </c>
      <c r="G66" s="1" t="s">
        <v>1226</v>
      </c>
      <c r="H66" s="1" t="s">
        <v>1227</v>
      </c>
      <c r="I66" s="1" t="s">
        <v>1212</v>
      </c>
      <c r="K66" s="5"/>
      <c r="L66" s="2" t="s">
        <v>1228</v>
      </c>
      <c r="M66" s="2" t="s">
        <v>172</v>
      </c>
      <c r="N66" s="5">
        <f t="shared" ref="N66:Q66" si="43">N63/$M63-1</f>
        <v>-6.8121337783611846E-2</v>
      </c>
      <c r="O66" s="5">
        <f t="shared" si="43"/>
        <v>-0.29936349921386685</v>
      </c>
      <c r="P66" s="5">
        <f t="shared" si="43"/>
        <v>-0.25757199226681726</v>
      </c>
      <c r="Q66" s="5">
        <f t="shared" si="43"/>
        <v>-6.8121337783611846E-2</v>
      </c>
    </row>
    <row r="67" spans="1:17" ht="13">
      <c r="A67" s="79" t="s">
        <v>1229</v>
      </c>
      <c r="B67" s="79" t="s">
        <v>1152</v>
      </c>
      <c r="C67" s="205" t="s">
        <v>1149</v>
      </c>
      <c r="D67" s="206">
        <v>0.98520127999999996</v>
      </c>
      <c r="G67" s="2">
        <v>2020</v>
      </c>
      <c r="H67" s="2" t="s">
        <v>1230</v>
      </c>
      <c r="I67" s="41">
        <f>H63</f>
        <v>0.64</v>
      </c>
      <c r="K67" s="5"/>
      <c r="L67" s="2"/>
      <c r="M67" s="2"/>
      <c r="N67" s="2"/>
    </row>
    <row r="68" spans="1:17" ht="13">
      <c r="A68" s="79" t="s">
        <v>1231</v>
      </c>
      <c r="B68" s="79" t="s">
        <v>1152</v>
      </c>
      <c r="C68" s="205" t="s">
        <v>1149</v>
      </c>
      <c r="D68" s="206">
        <v>1.7755240000000001</v>
      </c>
      <c r="G68" s="2">
        <v>2030</v>
      </c>
      <c r="H68" s="2" t="s">
        <v>1232</v>
      </c>
      <c r="I68" s="41">
        <f>AVERAGE(H62:H63)</f>
        <v>0.34500000000000003</v>
      </c>
      <c r="K68" s="5"/>
      <c r="L68" s="5"/>
    </row>
    <row r="69" spans="1:17" ht="13">
      <c r="A69" s="79" t="s">
        <v>1233</v>
      </c>
      <c r="B69" s="79" t="s">
        <v>1152</v>
      </c>
      <c r="C69" s="205" t="s">
        <v>1149</v>
      </c>
      <c r="D69" s="206">
        <v>0.3898394</v>
      </c>
      <c r="G69" s="2">
        <v>2050</v>
      </c>
      <c r="H69" s="2" t="s">
        <v>1234</v>
      </c>
      <c r="I69" s="41">
        <f>H62</f>
        <v>0.05</v>
      </c>
      <c r="K69" s="5"/>
      <c r="L69" s="5"/>
    </row>
    <row r="70" spans="1:17" ht="13">
      <c r="A70" s="79" t="s">
        <v>1235</v>
      </c>
      <c r="B70" s="79" t="s">
        <v>1173</v>
      </c>
      <c r="C70" s="205" t="s">
        <v>1149</v>
      </c>
      <c r="D70" s="206">
        <v>0.57217945000000003</v>
      </c>
      <c r="J70" s="4"/>
      <c r="K70" s="5"/>
      <c r="L70" s="5"/>
    </row>
    <row r="71" spans="1:17" ht="13">
      <c r="A71" s="79" t="s">
        <v>1236</v>
      </c>
      <c r="B71" s="79" t="s">
        <v>1152</v>
      </c>
      <c r="C71" s="205" t="s">
        <v>1149</v>
      </c>
      <c r="D71" s="206">
        <v>1.0396878000000001</v>
      </c>
      <c r="K71" s="5"/>
      <c r="L71" s="5"/>
    </row>
    <row r="72" spans="1:17" ht="13">
      <c r="A72" s="79" t="s">
        <v>1237</v>
      </c>
      <c r="B72" s="79" t="s">
        <v>1222</v>
      </c>
      <c r="C72" s="205" t="s">
        <v>1149</v>
      </c>
      <c r="D72" s="206">
        <v>0</v>
      </c>
      <c r="K72" s="5"/>
      <c r="L72" s="5"/>
    </row>
    <row r="73" spans="1:17" ht="13">
      <c r="A73" s="79" t="s">
        <v>1238</v>
      </c>
      <c r="B73" s="79" t="s">
        <v>1152</v>
      </c>
      <c r="C73" s="205" t="s">
        <v>1149</v>
      </c>
      <c r="D73" s="206">
        <v>0.59248164999999997</v>
      </c>
    </row>
    <row r="77" spans="1:17" ht="13">
      <c r="L77" s="5"/>
      <c r="M77" s="5"/>
    </row>
    <row r="78" spans="1:17" ht="13">
      <c r="L78" s="5"/>
      <c r="M78" s="5"/>
    </row>
    <row r="79" spans="1:17" ht="13">
      <c r="L79" s="5"/>
      <c r="M79" s="5"/>
    </row>
    <row r="80" spans="1:17" ht="13">
      <c r="L80" s="5"/>
      <c r="M80" s="5"/>
    </row>
    <row r="81" spans="13:13" ht="13">
      <c r="M81" s="5"/>
    </row>
    <row r="82" spans="13:13" ht="13">
      <c r="M82" s="5"/>
    </row>
  </sheetData>
  <hyperlinks>
    <hyperlink ref="D4" r:id="rId1" xr:uid="{00000000-0004-0000-0800-000000000000}"/>
    <hyperlink ref="H4" r:id="rId2" xr:uid="{00000000-0004-0000-0800-000001000000}"/>
    <hyperlink ref="D5" r:id="rId3" xr:uid="{00000000-0004-0000-0800-000002000000}"/>
    <hyperlink ref="H5" r:id="rId4" xr:uid="{00000000-0004-0000-0800-000003000000}"/>
    <hyperlink ref="D6" r:id="rId5" xr:uid="{00000000-0004-0000-0800-000004000000}"/>
    <hyperlink ref="H6" r:id="rId6" xr:uid="{00000000-0004-0000-0800-000005000000}"/>
    <hyperlink ref="D7" r:id="rId7" xr:uid="{00000000-0004-0000-0800-000006000000}"/>
    <hyperlink ref="H7" r:id="rId8" xr:uid="{00000000-0004-0000-0800-000007000000}"/>
    <hyperlink ref="D8" r:id="rId9" xr:uid="{00000000-0004-0000-0800-000008000000}"/>
    <hyperlink ref="B11" r:id="rId10" xr:uid="{00000000-0004-0000-0800-000009000000}"/>
    <hyperlink ref="B12" r:id="rId11" xr:uid="{00000000-0004-0000-0800-00000A000000}"/>
    <hyperlink ref="B13" r:id="rId12" xr:uid="{00000000-0004-0000-0800-00000B000000}"/>
    <hyperlink ref="B36" r:id="rId13" xr:uid="{00000000-0004-0000-0800-00000C000000}"/>
    <hyperlink ref="G53" r:id="rId14" xr:uid="{00000000-0004-0000-0800-00000D000000}"/>
    <hyperlink ref="G60" r:id="rId15" xr:uid="{00000000-0004-0000-0800-00000E000000}"/>
  </hyperlinks>
  <pageMargins left="0.7" right="0.7" top="0.75" bottom="0.75" header="0.3" footer="0.3"/>
  <tableParts count="7">
    <tablePart r:id="rId16"/>
    <tablePart r:id="rId17"/>
    <tablePart r:id="rId18"/>
    <tablePart r:id="rId19"/>
    <tablePart r:id="rId20"/>
    <tablePart r:id="rId21"/>
    <tablePart r:id="rId2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legend</vt:lpstr>
      <vt:lpstr>Cooling technologies</vt:lpstr>
      <vt:lpstr>LCA results of ventilation syst</vt:lpstr>
      <vt:lpstr>Material scarcity</vt:lpstr>
      <vt:lpstr>Heat plans per neighbourhood</vt:lpstr>
      <vt:lpstr>Building stock</vt:lpstr>
      <vt:lpstr>AC market</vt:lpstr>
      <vt:lpstr>Climate change</vt:lpstr>
      <vt:lpstr>Electricity mix analysis</vt:lpstr>
      <vt:lpstr>'Climate change'!autumn_start_month</vt:lpstr>
      <vt:lpstr>'Climate change'!spring_start_month</vt:lpstr>
      <vt:lpstr>'Climate change'!summer_start_month</vt:lpstr>
      <vt:lpstr>'Climate change'!winter_start_month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Lierde, S.N. van (Simon)</cp:lastModifiedBy>
  <dcterms:modified xsi:type="dcterms:W3CDTF">2023-11-14T10:50:01Z</dcterms:modified>
</cp:coreProperties>
</file>