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G:\FinalProject\"/>
    </mc:Choice>
  </mc:AlternateContent>
  <bookViews>
    <workbookView xWindow="0" yWindow="0" windowWidth="20730" windowHeight="8430" tabRatio="761" firstSheet="2" activeTab="7" xr2:uid="{00000000-000D-0000-FFFF-FFFF00000000}"/>
  </bookViews>
  <sheets>
    <sheet name="Main Page" sheetId="1" r:id="rId1"/>
    <sheet name="DeliveryDates" sheetId="18" r:id="rId2"/>
    <sheet name="TeamCapacity1" sheetId="11" r:id="rId3"/>
    <sheet name="TeamCapacity2" sheetId="2" r:id="rId4"/>
    <sheet name="Dashboard" sheetId="20" r:id="rId5"/>
    <sheet name="ReleaseList" sheetId="3" r:id="rId6"/>
    <sheet name="HolidaysCalc" sheetId="19" r:id="rId7"/>
    <sheet name="Sprints" sheetId="4" r:id="rId8"/>
    <sheet name="BurndownC" sheetId="8" r:id="rId9"/>
    <sheet name="RootForDates" sheetId="10" r:id="rId10"/>
  </sheets>
  <calcPr calcId="171027"/>
</workbook>
</file>

<file path=xl/calcChain.xml><?xml version="1.0" encoding="utf-8"?>
<calcChain xmlns="http://schemas.openxmlformats.org/spreadsheetml/2006/main">
  <c r="E87" i="8" l="1"/>
  <c r="E86" i="8"/>
  <c r="H7" i="2" l="1"/>
  <c r="H6" i="2"/>
  <c r="H5" i="2"/>
  <c r="H4" i="2"/>
  <c r="H3" i="2"/>
  <c r="H2" i="2"/>
  <c r="N60" i="8"/>
  <c r="N66" i="8"/>
  <c r="N65" i="8"/>
  <c r="N64" i="8"/>
  <c r="N63" i="8"/>
  <c r="N62" i="8"/>
  <c r="N61" i="8"/>
  <c r="N59" i="8"/>
  <c r="N58" i="8"/>
  <c r="E6" i="8"/>
  <c r="E5" i="8"/>
  <c r="E4" i="8"/>
  <c r="E3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F3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D7" i="2"/>
  <c r="D6" i="2"/>
  <c r="D5" i="2"/>
  <c r="D4" i="2"/>
  <c r="D3" i="2"/>
  <c r="D2" i="2"/>
  <c r="N37" i="8"/>
  <c r="D37" i="4"/>
  <c r="C37" i="4"/>
  <c r="B37" i="4"/>
  <c r="B36" i="4"/>
  <c r="C36" i="4"/>
  <c r="D36" i="4"/>
  <c r="D35" i="4"/>
  <c r="C35" i="4"/>
  <c r="B35" i="4"/>
  <c r="D34" i="4"/>
  <c r="C34" i="4"/>
  <c r="B34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B26" i="4"/>
  <c r="D15" i="4"/>
  <c r="D26" i="4"/>
  <c r="C26" i="4"/>
  <c r="D25" i="4"/>
  <c r="C25" i="4"/>
  <c r="B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B18" i="4"/>
  <c r="C18" i="4"/>
  <c r="D17" i="4"/>
  <c r="C17" i="4"/>
  <c r="B17" i="4"/>
  <c r="C15" i="4"/>
  <c r="B15" i="4"/>
  <c r="D14" i="4"/>
  <c r="C14" i="4"/>
  <c r="B14" i="4"/>
  <c r="D13" i="4"/>
  <c r="C13" i="4"/>
  <c r="B13" i="4"/>
  <c r="D12" i="4"/>
  <c r="C12" i="4"/>
  <c r="B12" i="4"/>
  <c r="D10" i="4"/>
  <c r="C10" i="4"/>
  <c r="B10" i="4"/>
  <c r="D9" i="4"/>
  <c r="C9" i="4"/>
  <c r="B9" i="4"/>
  <c r="D8" i="4"/>
  <c r="C8" i="4"/>
  <c r="B8" i="4"/>
  <c r="D7" i="4"/>
  <c r="C7" i="4"/>
  <c r="B7" i="4"/>
  <c r="D2" i="4"/>
  <c r="C2" i="4"/>
  <c r="B2" i="4"/>
  <c r="D5" i="4" l="1"/>
  <c r="C5" i="4"/>
  <c r="B5" i="4"/>
  <c r="D4" i="4"/>
  <c r="C4" i="4"/>
  <c r="B4" i="4"/>
  <c r="B3" i="4"/>
  <c r="C3" i="4"/>
  <c r="D3" i="4"/>
  <c r="D3" i="11"/>
  <c r="C3" i="11"/>
  <c r="B8" i="11" s="1"/>
  <c r="A4" i="20"/>
  <c r="B4" i="20"/>
  <c r="A12" i="20"/>
  <c r="B12" i="20"/>
  <c r="C12" i="20"/>
  <c r="C4" i="20"/>
  <c r="B2" i="19" l="1"/>
  <c r="N56" i="8"/>
  <c r="N50" i="8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N55" i="8"/>
  <c r="N57" i="8"/>
  <c r="N54" i="8"/>
  <c r="N53" i="8"/>
  <c r="N52" i="8"/>
  <c r="N51" i="8"/>
  <c r="N49" i="8"/>
  <c r="N48" i="8"/>
  <c r="N47" i="8"/>
  <c r="N46" i="8"/>
  <c r="N45" i="8"/>
  <c r="N44" i="8"/>
  <c r="N43" i="8"/>
  <c r="N42" i="8"/>
  <c r="N41" i="8"/>
  <c r="N40" i="8"/>
  <c r="N39" i="8"/>
  <c r="N38" i="8"/>
  <c r="N67" i="8" l="1"/>
  <c r="B4" i="19"/>
  <c r="B3" i="19" l="1"/>
  <c r="I9" i="2"/>
  <c r="F7" i="2"/>
  <c r="F6" i="2"/>
  <c r="F5" i="2"/>
  <c r="F4" i="2"/>
  <c r="F3" i="2"/>
  <c r="F2" i="2"/>
  <c r="G2" i="2" l="1"/>
  <c r="J2" i="2" s="1"/>
  <c r="K2" i="2" s="1"/>
  <c r="G7" i="2"/>
  <c r="J7" i="2" s="1"/>
  <c r="K7" i="2" s="1"/>
  <c r="G3" i="2"/>
  <c r="J3" i="2" s="1"/>
  <c r="K3" i="2" s="1"/>
  <c r="G4" i="2"/>
  <c r="J4" i="2" s="1"/>
  <c r="K4" i="2" s="1"/>
  <c r="G6" i="2"/>
  <c r="J6" i="2" s="1"/>
  <c r="K6" i="2" s="1"/>
  <c r="G5" i="2"/>
  <c r="J5" i="2"/>
  <c r="K5" i="2" s="1"/>
  <c r="K9" i="2" l="1"/>
  <c r="D3" i="3" l="1"/>
  <c r="D9" i="2" l="1"/>
  <c r="E9" i="2"/>
  <c r="F9" i="2"/>
  <c r="G9" i="2"/>
  <c r="H9" i="2"/>
  <c r="J9" i="2"/>
</calcChain>
</file>

<file path=xl/sharedStrings.xml><?xml version="1.0" encoding="utf-8"?>
<sst xmlns="http://schemas.openxmlformats.org/spreadsheetml/2006/main" count="536" uniqueCount="169">
  <si>
    <t>#</t>
  </si>
  <si>
    <t>Tasks</t>
  </si>
  <si>
    <t>Asignee</t>
  </si>
  <si>
    <t>Reporter</t>
  </si>
  <si>
    <t>Testing</t>
  </si>
  <si>
    <t>Issue</t>
  </si>
  <si>
    <t>Summary</t>
  </si>
  <si>
    <t>Component</t>
  </si>
  <si>
    <t>due date</t>
  </si>
  <si>
    <t>priority</t>
  </si>
  <si>
    <t>Fix version</t>
  </si>
  <si>
    <t>Environment</t>
  </si>
  <si>
    <t>Attachments</t>
  </si>
  <si>
    <t>normal</t>
  </si>
  <si>
    <t>epic</t>
  </si>
  <si>
    <t>UI/UX</t>
  </si>
  <si>
    <t>task</t>
  </si>
  <si>
    <t>planning</t>
  </si>
  <si>
    <t>testing</t>
  </si>
  <si>
    <t>data issue</t>
  </si>
  <si>
    <t>Bug</t>
  </si>
  <si>
    <t>reports</t>
  </si>
  <si>
    <t>involves</t>
  </si>
  <si>
    <t>Developer</t>
  </si>
  <si>
    <t>Location</t>
  </si>
  <si>
    <t>Planed time off</t>
  </si>
  <si>
    <t>Support and unexpected</t>
  </si>
  <si>
    <t>R&amp;D days</t>
  </si>
  <si>
    <t>Raw productivity days</t>
  </si>
  <si>
    <t>Kazakhstan</t>
  </si>
  <si>
    <t>Productivity factor %</t>
  </si>
  <si>
    <t>documents</t>
  </si>
  <si>
    <t>text, table</t>
  </si>
  <si>
    <t>1,1,0</t>
  </si>
  <si>
    <t>Owner</t>
  </si>
  <si>
    <t>Enviroment</t>
  </si>
  <si>
    <t>Stage</t>
  </si>
  <si>
    <t xml:space="preserve">Product
</t>
  </si>
  <si>
    <t>Identity release version</t>
  </si>
  <si>
    <t>QA</t>
  </si>
  <si>
    <t>TBD</t>
  </si>
  <si>
    <t>Location of package</t>
  </si>
  <si>
    <t>Product</t>
  </si>
  <si>
    <t>Release date</t>
  </si>
  <si>
    <t>PM</t>
  </si>
  <si>
    <t xml:space="preserve">Release status
</t>
  </si>
  <si>
    <t>OPS</t>
  </si>
  <si>
    <t>Realease dev</t>
  </si>
  <si>
    <t>DEV lead</t>
  </si>
  <si>
    <t>QA lead</t>
  </si>
  <si>
    <t>Release contact</t>
  </si>
  <si>
    <t>DEV</t>
  </si>
  <si>
    <t xml:space="preserve">Approval </t>
  </si>
  <si>
    <t>DONE</t>
  </si>
  <si>
    <t>Release maintenance</t>
  </si>
  <si>
    <t>5 hours</t>
  </si>
  <si>
    <t>8 hours</t>
  </si>
  <si>
    <t>Before release</t>
  </si>
  <si>
    <t>Changes on sever</t>
  </si>
  <si>
    <t xml:space="preserve">Properties </t>
  </si>
  <si>
    <t>Hardware</t>
  </si>
  <si>
    <t>Tech team</t>
  </si>
  <si>
    <t>Configurations</t>
  </si>
  <si>
    <t>Settngs</t>
  </si>
  <si>
    <t xml:space="preserve">During Release </t>
  </si>
  <si>
    <t>Release Package</t>
  </si>
  <si>
    <t xml:space="preserve">After Release </t>
  </si>
  <si>
    <t>Test</t>
  </si>
  <si>
    <t>Turn on</t>
  </si>
  <si>
    <t xml:space="preserve">Confirmation message </t>
  </si>
  <si>
    <t>OPS/PM</t>
  </si>
  <si>
    <t xml:space="preserve">        TBD</t>
  </si>
  <si>
    <t>In Progress</t>
  </si>
  <si>
    <t>Sprint1</t>
  </si>
  <si>
    <t>Sprint2</t>
  </si>
  <si>
    <t>Sprint3</t>
  </si>
  <si>
    <t>Sprint4</t>
  </si>
  <si>
    <t>text, table,grapichs</t>
  </si>
  <si>
    <t>text</t>
  </si>
  <si>
    <t>program</t>
  </si>
  <si>
    <t>product</t>
  </si>
  <si>
    <t>Equivalent development days</t>
  </si>
  <si>
    <t>Extra hours</t>
  </si>
  <si>
    <t>Holidays-office closed</t>
  </si>
  <si>
    <t>Low</t>
  </si>
  <si>
    <t>High</t>
  </si>
  <si>
    <t xml:space="preserve">DB       </t>
  </si>
  <si>
    <t xml:space="preserve">Configuration  </t>
  </si>
  <si>
    <t xml:space="preserve">Settings  </t>
  </si>
  <si>
    <r>
      <rPr>
        <b/>
        <sz val="11"/>
        <rFont val="Calibri"/>
        <family val="2"/>
        <charset val="204"/>
      </rPr>
      <t>Backup</t>
    </r>
    <r>
      <rPr>
        <sz val="11"/>
        <rFont val="Calibri"/>
        <family val="2"/>
        <charset val="204"/>
      </rPr>
      <t xml:space="preserve">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</si>
  <si>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Code  </t>
  </si>
  <si>
    <t xml:space="preserve">OPS     </t>
  </si>
  <si>
    <t xml:space="preserve">OPS </t>
  </si>
  <si>
    <t xml:space="preserve">                                                                                                    </t>
  </si>
  <si>
    <t>Developing</t>
  </si>
  <si>
    <t>Planning</t>
  </si>
  <si>
    <t>Improvement</t>
  </si>
  <si>
    <t>Production</t>
  </si>
  <si>
    <t>1,1,1</t>
  </si>
  <si>
    <t>Resourcing Plan</t>
  </si>
  <si>
    <t>Days</t>
  </si>
  <si>
    <t>Net Days</t>
  </si>
  <si>
    <t>Start Date for development</t>
  </si>
  <si>
    <t>End date (code complete)</t>
  </si>
  <si>
    <t>Begin Regression Date</t>
  </si>
  <si>
    <t>Gold version</t>
  </si>
  <si>
    <t>Production release date</t>
  </si>
  <si>
    <t>Dev Days in period</t>
  </si>
  <si>
    <t>Supported/unexpected</t>
  </si>
  <si>
    <t>National holidays</t>
  </si>
  <si>
    <t xml:space="preserve">R&amp;D projects </t>
  </si>
  <si>
    <t>TASK Name</t>
  </si>
  <si>
    <t>Date</t>
  </si>
  <si>
    <t>Country</t>
  </si>
  <si>
    <t>Total holidays</t>
  </si>
  <si>
    <t xml:space="preserve">Date </t>
  </si>
  <si>
    <t>Столбец1</t>
  </si>
  <si>
    <t>Actual</t>
  </si>
  <si>
    <t>Planned</t>
  </si>
  <si>
    <t>Hours</t>
  </si>
  <si>
    <t>Remaining</t>
  </si>
  <si>
    <t>Task</t>
  </si>
  <si>
    <t>Total Hours</t>
  </si>
  <si>
    <t>Aidos</t>
  </si>
  <si>
    <t>Giorgio</t>
  </si>
  <si>
    <t>Alikhan</t>
  </si>
  <si>
    <t>Martin</t>
  </si>
  <si>
    <t>Simone</t>
  </si>
  <si>
    <t>Kydyrali</t>
  </si>
  <si>
    <t>Preparing feasibility report</t>
  </si>
  <si>
    <t>Analyze the needs of your audience</t>
  </si>
  <si>
    <t>Examine the context and purpose of the study</t>
  </si>
  <si>
    <t>Organize the information into content sections</t>
  </si>
  <si>
    <t>Determine the order of the information</t>
  </si>
  <si>
    <t>Planning the division of the team</t>
  </si>
  <si>
    <t>Definition of project objectives</t>
  </si>
  <si>
    <t>Project sponsorship research</t>
  </si>
  <si>
    <t>Make a budget estimate of the project costs</t>
  </si>
  <si>
    <t>Choosing the Server</t>
  </si>
  <si>
    <t>Choosing the Database</t>
  </si>
  <si>
    <t>Creating the Database</t>
  </si>
  <si>
    <t>Global data collection about football</t>
  </si>
  <si>
    <t>Choose the development to environment</t>
  </si>
  <si>
    <t>Create the design for application</t>
  </si>
  <si>
    <t>Creting main page UI</t>
  </si>
  <si>
    <t>Creating registration UI and Log in</t>
  </si>
  <si>
    <t>Creating the All score page of UI</t>
  </si>
  <si>
    <t>Creating the All news page of UI</t>
  </si>
  <si>
    <t>Creating the Deatil news and match of UI</t>
  </si>
  <si>
    <t xml:space="preserve">Create a logo </t>
  </si>
  <si>
    <t>Code development</t>
  </si>
  <si>
    <t>Creating registration and Log in code</t>
  </si>
  <si>
    <t>Creating the All score page code</t>
  </si>
  <si>
    <t>Creating the All news page code</t>
  </si>
  <si>
    <t>Creating the Deatil news and match code</t>
  </si>
  <si>
    <t>Code testing</t>
  </si>
  <si>
    <t>Creating a documentation</t>
  </si>
  <si>
    <t>Distribution</t>
  </si>
  <si>
    <t>31.11.2017</t>
  </si>
  <si>
    <t>Italy</t>
  </si>
  <si>
    <t>Turkey</t>
  </si>
  <si>
    <t>Sprint5</t>
  </si>
  <si>
    <t>Sprint7</t>
  </si>
  <si>
    <t>Sprint6</t>
  </si>
  <si>
    <t>Creating main page code</t>
  </si>
  <si>
    <t>amantayev.alikhan055@gmail.com,</t>
  </si>
  <si>
    <t>https://www.footballapp.com</t>
  </si>
  <si>
    <t>Giogrio</t>
  </si>
  <si>
    <t>Metin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</si>
</sst>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4">
    <font>
      <sz val="11"/>
      <color rgb="FF000000"/>
      <name val="Calibri"/>
    </font>
    <font>
      <sz val="11"/>
      <color theme="1"/>
      <name val="Book Antiqua"/>
      <family val="2"/>
      <scheme val="minor"/>
    </font>
    <font>
      <sz val="12"/>
      <color rgb="FF000000"/>
      <name val="Times New Roman"/>
      <family val="1"/>
      <charset val="204"/>
    </font>
    <font>
      <sz val="11"/>
      <color rgb="FF000000"/>
      <name val="'Calibri'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theme="0"/>
      <name val="Book Antiqua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b/>
      <sz val="12"/>
      <color rgb="FFFFFFFF"/>
      <name val="Roboto Slab"/>
    </font>
    <font>
      <sz val="12"/>
      <color rgb="FFFFFFFF"/>
      <name val="Roboto Slab"/>
    </font>
    <font>
      <sz val="11"/>
      <name val="Arial"/>
      <family val="2"/>
    </font>
    <font>
      <sz val="10"/>
      <name val="Arial"/>
      <family val="2"/>
      <charset val="204"/>
    </font>
    <font>
      <sz val="11"/>
      <color rgb="FF9C0006"/>
      <name val="Book Antiqua"/>
      <family val="2"/>
      <scheme val="minor"/>
    </font>
    <font>
      <sz val="11"/>
      <color rgb="FF9C6500"/>
      <name val="Book Antiqua"/>
      <family val="2"/>
      <scheme val="minor"/>
    </font>
    <font>
      <b/>
      <sz val="11"/>
      <color theme="0"/>
      <name val="Book Antiqua"/>
      <family val="2"/>
      <scheme val="minor"/>
    </font>
    <font>
      <sz val="24"/>
      <color rgb="FF000000"/>
      <name val="Calibri"/>
      <family val="2"/>
    </font>
    <font>
      <sz val="11"/>
      <color rgb="FF000000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  <font>
      <b/>
      <sz val="20"/>
      <name val="Arial"/>
      <family val="2"/>
    </font>
    <font>
      <sz val="16"/>
      <color rgb="FF000000"/>
      <name val="Calibri"/>
      <family val="2"/>
    </font>
    <font>
      <sz val="11"/>
      <color rgb="FF006100"/>
      <name val="Book Antiqua"/>
      <family val="2"/>
      <scheme val="minor"/>
    </font>
    <font>
      <b/>
      <sz val="36"/>
      <color theme="0"/>
      <name val="Book Antiqua"/>
      <family val="2"/>
      <scheme val="minor"/>
    </font>
    <font>
      <sz val="36"/>
      <color rgb="FF000000"/>
      <name val="Times New Roman"/>
      <family val="1"/>
      <charset val="204"/>
    </font>
    <font>
      <sz val="36"/>
      <color rgb="FF000000"/>
      <name val="Calibri"/>
      <family val="2"/>
    </font>
    <font>
      <b/>
      <sz val="36"/>
      <name val="Arial"/>
      <family val="2"/>
    </font>
    <font>
      <b/>
      <sz val="24"/>
      <color theme="0"/>
      <name val="Arial"/>
      <family val="2"/>
    </font>
    <font>
      <sz val="24"/>
      <color rgb="FF000000"/>
      <name val="Arial"/>
      <family val="2"/>
    </font>
    <font>
      <sz val="20"/>
      <name val="Arial"/>
      <family val="2"/>
      <charset val="204"/>
    </font>
    <font>
      <sz val="24"/>
      <color theme="1"/>
      <name val="Calibri"/>
      <family val="2"/>
    </font>
    <font>
      <sz val="20"/>
      <color rgb="FF000000"/>
      <name val="Calibri"/>
      <family val="2"/>
      <charset val="204"/>
    </font>
    <font>
      <sz val="20"/>
      <color rgb="FF000000"/>
      <name val="Arial"/>
      <family val="2"/>
      <charset val="204"/>
    </font>
    <font>
      <sz val="11"/>
      <color theme="0"/>
      <name val="Calibri"/>
      <family val="2"/>
      <charset val="204"/>
    </font>
    <font>
      <sz val="11"/>
      <color theme="1"/>
      <name val="Book Antiqua"/>
      <family val="2"/>
      <scheme val="minor"/>
    </font>
    <font>
      <sz val="11"/>
      <color theme="1"/>
      <name val="Book Antiqua"/>
      <family val="1"/>
      <charset val="204"/>
      <scheme val="minor"/>
    </font>
    <font>
      <b/>
      <sz val="28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rgb="FF3C78D8"/>
      </patternFill>
    </fill>
    <fill>
      <patternFill patternType="solid">
        <fgColor theme="7" tint="0.39997558519241921"/>
        <bgColor rgb="FFD9D9D9"/>
      </patternFill>
    </fill>
    <fill>
      <patternFill patternType="solid">
        <fgColor theme="7" tint="0.39997558519241921"/>
        <bgColor rgb="FFF3F3F3"/>
      </patternFill>
    </fill>
    <fill>
      <patternFill patternType="solid">
        <fgColor theme="7" tint="0.59999389629810485"/>
        <bgColor rgb="FFF3F3F3"/>
      </patternFill>
    </fill>
    <fill>
      <patternFill patternType="solid">
        <fgColor theme="6"/>
        <bgColor rgb="FF1155CC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rgb="FFFCE5CD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3F3F3F"/>
      </left>
      <right/>
      <top style="thick">
        <color rgb="FF3F3F3F"/>
      </top>
      <bottom style="thick">
        <color rgb="FF3F3F3F"/>
      </bottom>
      <diagonal/>
    </border>
    <border>
      <left/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3" applyNumberFormat="0" applyAlignment="0" applyProtection="0"/>
    <xf numFmtId="0" fontId="29" fillId="12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58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4" fillId="0" borderId="0" xfId="0" applyFont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4" borderId="0" xfId="0" applyFont="1" applyFill="1" applyAlignment="1"/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/>
    <xf numFmtId="0" fontId="0" fillId="0" borderId="0" xfId="0"/>
    <xf numFmtId="0" fontId="11" fillId="0" borderId="0" xfId="0" applyFont="1"/>
    <xf numFmtId="0" fontId="11" fillId="0" borderId="0" xfId="0" applyFont="1" applyBorder="1"/>
    <xf numFmtId="0" fontId="0" fillId="0" borderId="0" xfId="0" applyFont="1" applyAlignment="1"/>
    <xf numFmtId="14" fontId="4" fillId="0" borderId="0" xfId="0" applyNumberFormat="1" applyFont="1" applyAlignment="1">
      <alignment horizontal="left"/>
    </xf>
    <xf numFmtId="0" fontId="12" fillId="7" borderId="0" xfId="0" applyFont="1" applyFill="1" applyAlignment="1">
      <alignment horizontal="center"/>
    </xf>
    <xf numFmtId="0" fontId="12" fillId="4" borderId="0" xfId="0" applyFont="1" applyFill="1" applyAlignment="1"/>
    <xf numFmtId="14" fontId="4" fillId="0" borderId="0" xfId="0" applyNumberFormat="1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0" fillId="0" borderId="0" xfId="0" applyFont="1" applyAlignment="1"/>
    <xf numFmtId="0" fontId="13" fillId="0" borderId="0" xfId="0" applyFont="1" applyAlignment="1"/>
    <xf numFmtId="0" fontId="16" fillId="0" borderId="0" xfId="0" applyFont="1"/>
    <xf numFmtId="0" fontId="17" fillId="0" borderId="0" xfId="0" applyFont="1"/>
    <xf numFmtId="0" fontId="7" fillId="8" borderId="0" xfId="0" applyFont="1" applyFill="1" applyAlignment="1"/>
    <xf numFmtId="0" fontId="18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/>
    <xf numFmtId="0" fontId="22" fillId="0" borderId="0" xfId="0" applyFont="1" applyAlignment="1"/>
    <xf numFmtId="0" fontId="23" fillId="0" borderId="0" xfId="0" applyFont="1" applyAlignment="1"/>
    <xf numFmtId="0" fontId="25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1" fillId="11" borderId="3" xfId="5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Border="1"/>
    <xf numFmtId="0" fontId="0" fillId="0" borderId="6" xfId="0" applyFont="1" applyBorder="1" applyAlignment="1"/>
    <xf numFmtId="0" fontId="30" fillId="2" borderId="0" xfId="2" applyFont="1" applyFill="1" applyBorder="1" applyAlignment="1">
      <alignment horizontal="center"/>
    </xf>
    <xf numFmtId="0" fontId="31" fillId="0" borderId="0" xfId="0" applyFont="1" applyAlignment="1"/>
    <xf numFmtId="0" fontId="32" fillId="2" borderId="0" xfId="0" applyFont="1" applyFill="1" applyBorder="1" applyAlignment="1">
      <alignment horizontal="center"/>
    </xf>
    <xf numFmtId="0" fontId="32" fillId="0" borderId="0" xfId="0" applyFont="1"/>
    <xf numFmtId="0" fontId="31" fillId="0" borderId="0" xfId="0" applyFont="1" applyAlignment="1">
      <alignment horizontal="center"/>
    </xf>
    <xf numFmtId="0" fontId="32" fillId="0" borderId="0" xfId="0" applyFont="1" applyAlignment="1"/>
    <xf numFmtId="0" fontId="33" fillId="0" borderId="0" xfId="0" applyFont="1" applyAlignment="1"/>
    <xf numFmtId="0" fontId="35" fillId="0" borderId="1" xfId="0" applyFont="1" applyBorder="1"/>
    <xf numFmtId="0" fontId="35" fillId="0" borderId="1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0" fillId="0" borderId="1" xfId="0" applyFont="1" applyBorder="1" applyAlignment="1"/>
    <xf numFmtId="0" fontId="15" fillId="20" borderId="0" xfId="0" applyFont="1" applyFill="1" applyAlignment="1">
      <alignment horizontal="center"/>
    </xf>
    <xf numFmtId="0" fontId="14" fillId="21" borderId="0" xfId="0" applyFont="1" applyFill="1" applyAlignment="1"/>
    <xf numFmtId="14" fontId="13" fillId="22" borderId="0" xfId="0" applyNumberFormat="1" applyFont="1" applyFill="1" applyAlignment="1"/>
    <xf numFmtId="14" fontId="13" fillId="23" borderId="0" xfId="0" applyNumberFormat="1" applyFont="1" applyFill="1" applyAlignment="1"/>
    <xf numFmtId="0" fontId="15" fillId="24" borderId="0" xfId="0" applyFont="1" applyFill="1" applyAlignment="1">
      <alignment horizontal="center"/>
    </xf>
    <xf numFmtId="0" fontId="0" fillId="19" borderId="0" xfId="0" applyFont="1" applyFill="1" applyAlignment="1"/>
    <xf numFmtId="164" fontId="34" fillId="15" borderId="0" xfId="2" applyNumberFormat="1" applyFont="1" applyFill="1"/>
    <xf numFmtId="164" fontId="34" fillId="15" borderId="0" xfId="2" applyNumberFormat="1" applyFont="1" applyFill="1" applyAlignment="1">
      <alignment horizontal="center" wrapText="1"/>
    </xf>
    <xf numFmtId="164" fontId="34" fillId="15" borderId="1" xfId="2" applyNumberFormat="1" applyFont="1" applyFill="1" applyBorder="1" applyAlignment="1">
      <alignment horizontal="center" wrapText="1"/>
    </xf>
    <xf numFmtId="0" fontId="40" fillId="0" borderId="0" xfId="0" applyFont="1" applyAlignment="1"/>
    <xf numFmtId="0" fontId="0" fillId="0" borderId="0" xfId="0" applyFont="1" applyBorder="1" applyAlignment="1"/>
    <xf numFmtId="14" fontId="10" fillId="2" borderId="0" xfId="4" applyNumberFormat="1" applyFont="1" applyFill="1" applyBorder="1" applyAlignment="1"/>
    <xf numFmtId="14" fontId="41" fillId="26" borderId="0" xfId="4" applyNumberFormat="1" applyFont="1" applyFill="1" applyAlignment="1"/>
    <xf numFmtId="0" fontId="41" fillId="5" borderId="0" xfId="3" applyFont="1" applyFill="1" applyAlignment="1"/>
    <xf numFmtId="0" fontId="41" fillId="5" borderId="0" xfId="3" applyFont="1" applyFill="1" applyAlignment="1">
      <alignment horizontal="center"/>
    </xf>
    <xf numFmtId="0" fontId="4" fillId="29" borderId="0" xfId="0" applyFont="1" applyFill="1" applyAlignment="1">
      <alignment horizontal="center"/>
    </xf>
    <xf numFmtId="0" fontId="4" fillId="27" borderId="0" xfId="0" applyFont="1" applyFill="1" applyAlignment="1"/>
    <xf numFmtId="0" fontId="0" fillId="27" borderId="0" xfId="0" applyFont="1" applyFill="1" applyAlignment="1"/>
    <xf numFmtId="0" fontId="4" fillId="27" borderId="0" xfId="0" applyFont="1" applyFill="1" applyAlignment="1">
      <alignment horizontal="left"/>
    </xf>
    <xf numFmtId="0" fontId="4" fillId="27" borderId="0" xfId="0" applyFont="1" applyFill="1" applyAlignment="1">
      <alignment wrapText="1"/>
    </xf>
    <xf numFmtId="0" fontId="7" fillId="27" borderId="0" xfId="0" applyFont="1" applyFill="1" applyAlignment="1"/>
    <xf numFmtId="0" fontId="5" fillId="27" borderId="0" xfId="0" applyFont="1" applyFill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1" fillId="0" borderId="12" xfId="0" applyFont="1" applyBorder="1" applyAlignment="1"/>
    <xf numFmtId="0" fontId="0" fillId="0" borderId="20" xfId="0" applyFont="1" applyBorder="1" applyAlignment="1"/>
    <xf numFmtId="0" fontId="11" fillId="2" borderId="5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43" fillId="15" borderId="1" xfId="0" applyFont="1" applyFill="1" applyBorder="1" applyAlignment="1">
      <alignment horizontal="center" vertical="center"/>
    </xf>
    <xf numFmtId="0" fontId="43" fillId="15" borderId="1" xfId="0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5" fillId="2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4" fontId="25" fillId="2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25" fillId="17" borderId="1" xfId="0" applyFont="1" applyFill="1" applyBorder="1" applyAlignment="1">
      <alignment horizontal="center" vertical="center" wrapText="1"/>
    </xf>
    <xf numFmtId="0" fontId="36" fillId="17" borderId="1" xfId="0" applyFont="1" applyFill="1" applyBorder="1" applyAlignment="1">
      <alignment horizontal="center" vertical="center" wrapText="1"/>
    </xf>
    <xf numFmtId="0" fontId="37" fillId="1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/>
    </xf>
    <xf numFmtId="0" fontId="37" fillId="16" borderId="1" xfId="0" applyFont="1" applyFill="1" applyBorder="1" applyAlignment="1">
      <alignment horizontal="center" vertical="center" wrapText="1"/>
    </xf>
    <xf numFmtId="0" fontId="22" fillId="18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/>
    </xf>
    <xf numFmtId="0" fontId="24" fillId="13" borderId="1" xfId="0" applyFont="1" applyFill="1" applyBorder="1" applyAlignment="1">
      <alignment horizontal="center" vertical="center" wrapText="1"/>
    </xf>
    <xf numFmtId="0" fontId="25" fillId="19" borderId="1" xfId="0" applyFont="1" applyFill="1" applyBorder="1" applyAlignment="1">
      <alignment horizontal="center" vertical="center" wrapText="1"/>
    </xf>
    <xf numFmtId="0" fontId="15" fillId="24" borderId="0" xfId="0" applyFont="1" applyFill="1" applyAlignment="1">
      <alignment horizontal="center"/>
    </xf>
    <xf numFmtId="0" fontId="0" fillId="15" borderId="0" xfId="0" applyFont="1" applyFill="1" applyAlignment="1"/>
    <xf numFmtId="0" fontId="20" fillId="10" borderId="4" xfId="4" applyBorder="1" applyAlignment="1">
      <alignment horizontal="center" wrapText="1"/>
    </xf>
    <xf numFmtId="0" fontId="20" fillId="10" borderId="5" xfId="4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8" fillId="0" borderId="0" xfId="1" applyAlignment="1">
      <alignment horizontal="center"/>
    </xf>
    <xf numFmtId="0" fontId="5" fillId="0" borderId="0" xfId="0" applyFont="1" applyAlignment="1">
      <alignment horizontal="center"/>
    </xf>
    <xf numFmtId="0" fontId="7" fillId="25" borderId="0" xfId="0" applyFont="1" applyFill="1" applyAlignment="1">
      <alignment horizontal="center"/>
    </xf>
    <xf numFmtId="0" fontId="0" fillId="25" borderId="0" xfId="0" applyFont="1" applyFill="1" applyAlignment="1">
      <alignment horizontal="center"/>
    </xf>
    <xf numFmtId="0" fontId="3" fillId="29" borderId="0" xfId="0" applyFont="1" applyFill="1" applyAlignment="1">
      <alignment horizontal="center"/>
    </xf>
    <xf numFmtId="0" fontId="0" fillId="25" borderId="0" xfId="0" applyFont="1" applyFill="1" applyAlignment="1"/>
    <xf numFmtId="0" fontId="4" fillId="29" borderId="0" xfId="0" applyFont="1" applyFill="1" applyAlignment="1">
      <alignment horizontal="center"/>
    </xf>
    <xf numFmtId="0" fontId="8" fillId="0" borderId="0" xfId="1" applyAlignment="1"/>
    <xf numFmtId="0" fontId="0" fillId="0" borderId="0" xfId="0" applyFont="1" applyAlignment="1"/>
    <xf numFmtId="0" fontId="4" fillId="25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28" borderId="24" xfId="0" applyFont="1" applyFill="1" applyBorder="1" applyAlignment="1">
      <alignment horizontal="right"/>
    </xf>
    <xf numFmtId="0" fontId="12" fillId="28" borderId="25" xfId="0" applyFont="1" applyFill="1" applyBorder="1" applyAlignment="1">
      <alignment horizontal="right"/>
    </xf>
    <xf numFmtId="0" fontId="0" fillId="0" borderId="16" xfId="0" applyFont="1" applyBorder="1" applyAlignment="1"/>
    <xf numFmtId="0" fontId="0" fillId="0" borderId="10" xfId="0" applyFont="1" applyBorder="1" applyAlignment="1"/>
    <xf numFmtId="0" fontId="42" fillId="2" borderId="17" xfId="5" applyFont="1" applyFill="1" applyBorder="1" applyAlignment="1"/>
    <xf numFmtId="0" fontId="42" fillId="2" borderId="10" xfId="5" applyFont="1" applyFill="1" applyBorder="1" applyAlignment="1"/>
    <xf numFmtId="0" fontId="0" fillId="0" borderId="6" xfId="0" applyFont="1" applyBorder="1" applyAlignment="1"/>
    <xf numFmtId="0" fontId="0" fillId="0" borderId="4" xfId="0" applyFont="1" applyBorder="1" applyAlignment="1"/>
    <xf numFmtId="0" fontId="42" fillId="2" borderId="16" xfId="5" applyFont="1" applyFill="1" applyBorder="1" applyAlignment="1"/>
    <xf numFmtId="0" fontId="42" fillId="2" borderId="18" xfId="5" applyFont="1" applyFill="1" applyBorder="1" applyAlignment="1"/>
    <xf numFmtId="0" fontId="42" fillId="2" borderId="14" xfId="5" applyFont="1" applyFill="1" applyBorder="1" applyAlignment="1"/>
    <xf numFmtId="0" fontId="42" fillId="2" borderId="19" xfId="5" applyFont="1" applyFill="1" applyBorder="1" applyAlignment="1"/>
    <xf numFmtId="0" fontId="42" fillId="2" borderId="13" xfId="5" applyFont="1" applyFill="1" applyBorder="1" applyAlignment="1"/>
    <xf numFmtId="0" fontId="29" fillId="12" borderId="6" xfId="6" applyBorder="1" applyAlignment="1"/>
    <xf numFmtId="0" fontId="11" fillId="0" borderId="6" xfId="0" applyFont="1" applyBorder="1" applyAlignment="1"/>
    <xf numFmtId="0" fontId="21" fillId="5" borderId="7" xfId="5" applyFill="1" applyBorder="1" applyAlignment="1">
      <alignment horizontal="center"/>
    </xf>
    <xf numFmtId="0" fontId="21" fillId="5" borderId="8" xfId="5" applyFill="1" applyBorder="1" applyAlignment="1">
      <alignment horizontal="center"/>
    </xf>
    <xf numFmtId="0" fontId="11" fillId="0" borderId="4" xfId="0" applyFont="1" applyBorder="1" applyAlignment="1"/>
    <xf numFmtId="0" fontId="0" fillId="0" borderId="15" xfId="0" applyFont="1" applyBorder="1" applyAlignment="1"/>
    <xf numFmtId="0" fontId="0" fillId="0" borderId="9" xfId="0" applyFont="1" applyBorder="1" applyAlignment="1"/>
    <xf numFmtId="0" fontId="0" fillId="34" borderId="0" xfId="0" applyFont="1" applyFill="1" applyAlignment="1">
      <alignment horizontal="center" vertical="center"/>
    </xf>
    <xf numFmtId="0" fontId="1" fillId="31" borderId="0" xfId="8" applyAlignment="1">
      <alignment horizontal="center" vertical="center"/>
    </xf>
    <xf numFmtId="0" fontId="1" fillId="32" borderId="0" xfId="9" applyAlignment="1">
      <alignment horizontal="center" vertical="center"/>
    </xf>
    <xf numFmtId="0" fontId="1" fillId="33" borderId="0" xfId="10" applyAlignment="1">
      <alignment horizontal="center" vertical="center"/>
    </xf>
    <xf numFmtId="0" fontId="1" fillId="31" borderId="0" xfId="8" applyAlignment="1">
      <alignment vertical="center"/>
    </xf>
    <xf numFmtId="0" fontId="1" fillId="32" borderId="0" xfId="9" applyAlignment="1">
      <alignment vertical="center"/>
    </xf>
    <xf numFmtId="0" fontId="1" fillId="33" borderId="0" xfId="10" applyAlignment="1">
      <alignment vertical="center"/>
    </xf>
    <xf numFmtId="0" fontId="0" fillId="2" borderId="0" xfId="0" applyFont="1" applyFill="1" applyAlignment="1">
      <alignment vertical="center"/>
    </xf>
    <xf numFmtId="0" fontId="1" fillId="30" borderId="0" xfId="7" applyAlignment="1">
      <alignment vertical="center"/>
    </xf>
  </cellXfs>
  <cellStyles count="11">
    <cellStyle name="40% - Colore 2" xfId="7" builtinId="35"/>
    <cellStyle name="40% - Colore 4" xfId="8" builtinId="43"/>
    <cellStyle name="40% - Colore 5" xfId="9" builtinId="47"/>
    <cellStyle name="40% - Colore 6" xfId="10" builtinId="51"/>
    <cellStyle name="Cella da controllare" xfId="5" builtinId="23"/>
    <cellStyle name="Collegamento ipertestuale" xfId="1" builtinId="8"/>
    <cellStyle name="Colore 5" xfId="2" builtinId="45"/>
    <cellStyle name="Neutrale" xfId="4" builtinId="28"/>
    <cellStyle name="Normale" xfId="0" builtinId="0"/>
    <cellStyle name="Valore non valido" xfId="3" builtinId="27"/>
    <cellStyle name="Valore valido" xfId="6" builtinId="26"/>
  </cellStyles>
  <dxfs count="30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DA30D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36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24"/>
        <color rgb="FF00000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36"/>
        <color rgb="FF00000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36"/>
        <color theme="0"/>
        <name val="Times New Roman"/>
        <scheme val="minor"/>
      </font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DA30D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55621172353457"/>
          <c:y val="0.17824074074074084"/>
          <c:w val="0.46388888888888946"/>
          <c:h val="0.77314814814814881"/>
        </c:manualLayout>
      </c:layout>
      <c:doughnutChart>
        <c:varyColors val="1"/>
        <c:ser>
          <c:idx val="0"/>
          <c:order val="0"/>
          <c:cat>
            <c:strRef>
              <c:f>Dashboard!$A$2:$C$2</c:f>
              <c:strCache>
                <c:ptCount val="3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</c:strCache>
            </c:strRef>
          </c:cat>
          <c:val>
            <c:numRef>
              <c:f>Dashboard!$A$3:$C$3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33D7-4ED1-8523-68C306F37B24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Dashboard!$A$2:$C$2</c:f>
              <c:strCache>
                <c:ptCount val="3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</c:strCache>
            </c:strRef>
          </c:cat>
          <c:val>
            <c:numRef>
              <c:f>Dashboard!$A$4:$C$4</c:f>
              <c:numCache>
                <c:formatCode>General</c:formatCode>
                <c:ptCount val="3"/>
                <c:pt idx="0">
                  <c:v>40</c:v>
                </c:pt>
                <c:pt idx="1">
                  <c:v>80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7-4ED1-8523-68C306F37B24}"/>
            </c:ext>
          </c:extLst>
        </c:ser>
        <c:ser>
          <c:idx val="2"/>
          <c:order val="2"/>
          <c:cat>
            <c:strRef>
              <c:f>Dashboard!$A$2:$C$2</c:f>
              <c:strCache>
                <c:ptCount val="3"/>
                <c:pt idx="0">
                  <c:v>Planning</c:v>
                </c:pt>
                <c:pt idx="1">
                  <c:v>Developing</c:v>
                </c:pt>
                <c:pt idx="2">
                  <c:v>Testing</c:v>
                </c:pt>
              </c:strCache>
            </c:strRef>
          </c:cat>
          <c:val>
            <c:numRef>
              <c:f>Dashboard!$A$5:$C$5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33D7-4ED1-8523-68C306F3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79E-2"/>
          <c:y val="0.14103282247083471"/>
          <c:w val="0.8379738548974327"/>
          <c:h val="0.7712927753381321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Dashboard!$A$10:$C$10</c:f>
              <c:strCache>
                <c:ptCount val="3"/>
                <c:pt idx="0">
                  <c:v>TBD</c:v>
                </c:pt>
                <c:pt idx="1">
                  <c:v>DONE</c:v>
                </c:pt>
                <c:pt idx="2">
                  <c:v>In Progress</c:v>
                </c:pt>
              </c:strCache>
            </c:strRef>
          </c:cat>
          <c:val>
            <c:numRef>
              <c:f>Dashboard!$A$11:$C$11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F88-47F0-9951-929B46CE2A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Dashboard!$A$10:$C$10</c:f>
              <c:strCache>
                <c:ptCount val="3"/>
                <c:pt idx="0">
                  <c:v>TBD</c:v>
                </c:pt>
                <c:pt idx="1">
                  <c:v>DONE</c:v>
                </c:pt>
                <c:pt idx="2">
                  <c:v>In Progress</c:v>
                </c:pt>
              </c:strCache>
            </c:strRef>
          </c:cat>
          <c:val>
            <c:numRef>
              <c:f>Dashboard!$A$12:$C$12</c:f>
              <c:numCache>
                <c:formatCode>General</c:formatCode>
                <c:ptCount val="3"/>
                <c:pt idx="0">
                  <c:v>20</c:v>
                </c:pt>
                <c:pt idx="1">
                  <c:v>85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8-47F0-9951-929B46CE2A54}"/>
            </c:ext>
          </c:extLst>
        </c:ser>
        <c:ser>
          <c:idx val="2"/>
          <c:order val="2"/>
          <c:invertIfNegative val="0"/>
          <c:cat>
            <c:strRef>
              <c:f>Dashboard!$A$10:$C$10</c:f>
              <c:strCache>
                <c:ptCount val="3"/>
                <c:pt idx="0">
                  <c:v>TBD</c:v>
                </c:pt>
                <c:pt idx="1">
                  <c:v>DONE</c:v>
                </c:pt>
                <c:pt idx="2">
                  <c:v>In Progress</c:v>
                </c:pt>
              </c:strCache>
            </c:strRef>
          </c:cat>
          <c:val>
            <c:numRef>
              <c:f>Dashboard!$A$13:$C$13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6F88-47F0-9951-929B46CE2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28704"/>
        <c:axId val="28734592"/>
      </c:barChart>
      <c:catAx>
        <c:axId val="28728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734592"/>
        <c:crosses val="autoZero"/>
        <c:auto val="1"/>
        <c:lblAlgn val="ctr"/>
        <c:lblOffset val="100"/>
        <c:noMultiLvlLbl val="0"/>
      </c:catAx>
      <c:valAx>
        <c:axId val="287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2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BurndownC!$E$2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BurndownC!$E$3:$E$60</c:f>
              <c:numCache>
                <c:formatCode>General</c:formatCode>
                <c:ptCount val="58"/>
                <c:pt idx="0">
                  <c:v>672</c:v>
                </c:pt>
                <c:pt idx="1">
                  <c:v>664</c:v>
                </c:pt>
                <c:pt idx="2">
                  <c:v>656</c:v>
                </c:pt>
                <c:pt idx="3">
                  <c:v>648</c:v>
                </c:pt>
                <c:pt idx="4">
                  <c:v>640</c:v>
                </c:pt>
                <c:pt idx="5">
                  <c:v>632</c:v>
                </c:pt>
                <c:pt idx="6">
                  <c:v>624</c:v>
                </c:pt>
                <c:pt idx="7">
                  <c:v>616</c:v>
                </c:pt>
                <c:pt idx="8">
                  <c:v>608</c:v>
                </c:pt>
                <c:pt idx="9">
                  <c:v>600</c:v>
                </c:pt>
                <c:pt idx="10">
                  <c:v>592</c:v>
                </c:pt>
                <c:pt idx="11">
                  <c:v>584</c:v>
                </c:pt>
                <c:pt idx="12">
                  <c:v>576</c:v>
                </c:pt>
                <c:pt idx="13">
                  <c:v>568</c:v>
                </c:pt>
                <c:pt idx="14">
                  <c:v>560</c:v>
                </c:pt>
                <c:pt idx="15">
                  <c:v>552</c:v>
                </c:pt>
                <c:pt idx="16">
                  <c:v>544</c:v>
                </c:pt>
                <c:pt idx="17">
                  <c:v>536</c:v>
                </c:pt>
                <c:pt idx="18">
                  <c:v>528</c:v>
                </c:pt>
                <c:pt idx="19">
                  <c:v>520</c:v>
                </c:pt>
                <c:pt idx="20">
                  <c:v>512</c:v>
                </c:pt>
                <c:pt idx="21">
                  <c:v>504</c:v>
                </c:pt>
                <c:pt idx="22">
                  <c:v>496</c:v>
                </c:pt>
                <c:pt idx="23">
                  <c:v>488</c:v>
                </c:pt>
                <c:pt idx="24">
                  <c:v>480</c:v>
                </c:pt>
                <c:pt idx="25">
                  <c:v>472</c:v>
                </c:pt>
                <c:pt idx="26">
                  <c:v>464</c:v>
                </c:pt>
                <c:pt idx="27">
                  <c:v>456</c:v>
                </c:pt>
                <c:pt idx="28">
                  <c:v>448</c:v>
                </c:pt>
                <c:pt idx="29">
                  <c:v>440</c:v>
                </c:pt>
                <c:pt idx="30">
                  <c:v>432</c:v>
                </c:pt>
                <c:pt idx="31">
                  <c:v>424</c:v>
                </c:pt>
                <c:pt idx="32">
                  <c:v>416</c:v>
                </c:pt>
                <c:pt idx="33">
                  <c:v>408</c:v>
                </c:pt>
                <c:pt idx="34">
                  <c:v>400</c:v>
                </c:pt>
                <c:pt idx="35">
                  <c:v>392</c:v>
                </c:pt>
                <c:pt idx="36">
                  <c:v>384</c:v>
                </c:pt>
                <c:pt idx="37">
                  <c:v>376</c:v>
                </c:pt>
                <c:pt idx="38">
                  <c:v>368</c:v>
                </c:pt>
                <c:pt idx="39">
                  <c:v>360</c:v>
                </c:pt>
                <c:pt idx="40">
                  <c:v>352</c:v>
                </c:pt>
                <c:pt idx="41">
                  <c:v>344</c:v>
                </c:pt>
                <c:pt idx="42">
                  <c:v>336</c:v>
                </c:pt>
                <c:pt idx="43">
                  <c:v>328</c:v>
                </c:pt>
                <c:pt idx="44">
                  <c:v>320</c:v>
                </c:pt>
                <c:pt idx="45">
                  <c:v>312</c:v>
                </c:pt>
                <c:pt idx="46">
                  <c:v>304</c:v>
                </c:pt>
                <c:pt idx="47">
                  <c:v>296</c:v>
                </c:pt>
                <c:pt idx="48">
                  <c:v>288</c:v>
                </c:pt>
                <c:pt idx="49">
                  <c:v>280</c:v>
                </c:pt>
                <c:pt idx="50">
                  <c:v>272</c:v>
                </c:pt>
                <c:pt idx="51">
                  <c:v>264</c:v>
                </c:pt>
                <c:pt idx="52">
                  <c:v>256</c:v>
                </c:pt>
                <c:pt idx="53">
                  <c:v>248</c:v>
                </c:pt>
                <c:pt idx="54">
                  <c:v>240</c:v>
                </c:pt>
                <c:pt idx="55">
                  <c:v>232</c:v>
                </c:pt>
                <c:pt idx="56">
                  <c:v>224</c:v>
                </c:pt>
                <c:pt idx="57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9-4C4A-B96B-8C6269BB1015}"/>
            </c:ext>
          </c:extLst>
        </c:ser>
        <c:ser>
          <c:idx val="2"/>
          <c:order val="1"/>
          <c:tx>
            <c:strRef>
              <c:f>BurndownC!$F$2</c:f>
              <c:strCache>
                <c:ptCount val="1"/>
                <c:pt idx="0">
                  <c:v>Planned</c:v>
                </c:pt>
              </c:strCache>
            </c:strRef>
          </c:tx>
          <c:marker>
            <c:symbol val="none"/>
          </c:marker>
          <c:val>
            <c:numRef>
              <c:f>BurndownC!$F$3:$F$60</c:f>
              <c:numCache>
                <c:formatCode>General</c:formatCode>
                <c:ptCount val="58"/>
                <c:pt idx="0">
                  <c:v>672</c:v>
                </c:pt>
                <c:pt idx="1">
                  <c:v>663</c:v>
                </c:pt>
                <c:pt idx="2">
                  <c:v>652</c:v>
                </c:pt>
                <c:pt idx="3">
                  <c:v>645</c:v>
                </c:pt>
                <c:pt idx="4">
                  <c:v>645</c:v>
                </c:pt>
                <c:pt idx="5">
                  <c:v>634</c:v>
                </c:pt>
                <c:pt idx="6">
                  <c:v>625</c:v>
                </c:pt>
                <c:pt idx="7">
                  <c:v>617</c:v>
                </c:pt>
                <c:pt idx="8">
                  <c:v>609</c:v>
                </c:pt>
                <c:pt idx="9">
                  <c:v>598</c:v>
                </c:pt>
                <c:pt idx="10">
                  <c:v>598</c:v>
                </c:pt>
                <c:pt idx="11">
                  <c:v>587</c:v>
                </c:pt>
                <c:pt idx="12">
                  <c:v>579</c:v>
                </c:pt>
                <c:pt idx="13">
                  <c:v>579</c:v>
                </c:pt>
                <c:pt idx="14">
                  <c:v>569</c:v>
                </c:pt>
                <c:pt idx="15">
                  <c:v>561</c:v>
                </c:pt>
                <c:pt idx="16">
                  <c:v>553</c:v>
                </c:pt>
                <c:pt idx="17">
                  <c:v>543</c:v>
                </c:pt>
                <c:pt idx="18">
                  <c:v>533</c:v>
                </c:pt>
                <c:pt idx="19">
                  <c:v>525</c:v>
                </c:pt>
                <c:pt idx="20">
                  <c:v>516</c:v>
                </c:pt>
                <c:pt idx="21">
                  <c:v>516</c:v>
                </c:pt>
                <c:pt idx="22">
                  <c:v>508</c:v>
                </c:pt>
                <c:pt idx="23">
                  <c:v>500</c:v>
                </c:pt>
                <c:pt idx="24">
                  <c:v>491</c:v>
                </c:pt>
                <c:pt idx="25">
                  <c:v>481</c:v>
                </c:pt>
                <c:pt idx="26">
                  <c:v>471</c:v>
                </c:pt>
                <c:pt idx="27">
                  <c:v>463</c:v>
                </c:pt>
                <c:pt idx="28">
                  <c:v>454</c:v>
                </c:pt>
                <c:pt idx="29">
                  <c:v>445</c:v>
                </c:pt>
                <c:pt idx="30">
                  <c:v>435</c:v>
                </c:pt>
                <c:pt idx="31">
                  <c:v>426</c:v>
                </c:pt>
                <c:pt idx="32">
                  <c:v>417</c:v>
                </c:pt>
                <c:pt idx="33">
                  <c:v>409</c:v>
                </c:pt>
                <c:pt idx="34">
                  <c:v>400</c:v>
                </c:pt>
                <c:pt idx="35">
                  <c:v>388</c:v>
                </c:pt>
                <c:pt idx="36">
                  <c:v>388</c:v>
                </c:pt>
                <c:pt idx="37">
                  <c:v>381</c:v>
                </c:pt>
                <c:pt idx="38">
                  <c:v>372</c:v>
                </c:pt>
                <c:pt idx="39">
                  <c:v>361</c:v>
                </c:pt>
                <c:pt idx="40">
                  <c:v>351</c:v>
                </c:pt>
                <c:pt idx="41">
                  <c:v>343</c:v>
                </c:pt>
                <c:pt idx="42">
                  <c:v>343</c:v>
                </c:pt>
                <c:pt idx="43">
                  <c:v>332</c:v>
                </c:pt>
                <c:pt idx="44">
                  <c:v>323</c:v>
                </c:pt>
                <c:pt idx="45">
                  <c:v>315</c:v>
                </c:pt>
                <c:pt idx="46">
                  <c:v>302</c:v>
                </c:pt>
                <c:pt idx="47">
                  <c:v>302</c:v>
                </c:pt>
                <c:pt idx="48">
                  <c:v>290</c:v>
                </c:pt>
                <c:pt idx="49">
                  <c:v>282</c:v>
                </c:pt>
                <c:pt idx="50">
                  <c:v>274</c:v>
                </c:pt>
                <c:pt idx="51">
                  <c:v>261</c:v>
                </c:pt>
                <c:pt idx="52">
                  <c:v>250</c:v>
                </c:pt>
                <c:pt idx="53">
                  <c:v>242</c:v>
                </c:pt>
                <c:pt idx="54">
                  <c:v>232</c:v>
                </c:pt>
                <c:pt idx="55">
                  <c:v>232</c:v>
                </c:pt>
                <c:pt idx="56">
                  <c:v>219</c:v>
                </c:pt>
                <c:pt idx="57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9-4C4A-B96B-8C6269BB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9632"/>
        <c:axId val="75755520"/>
      </c:lineChart>
      <c:catAx>
        <c:axId val="7574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75755520"/>
        <c:crosses val="autoZero"/>
        <c:auto val="1"/>
        <c:lblAlgn val="ctr"/>
        <c:lblOffset val="100"/>
        <c:noMultiLvlLbl val="0"/>
      </c:catAx>
      <c:valAx>
        <c:axId val="7575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49632"/>
        <c:crosses val="autoZero"/>
        <c:crossBetween val="between"/>
      </c:valAx>
      <c:spPr>
        <a:solidFill>
          <a:schemeClr val="bg2"/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  <a:ln>
      <a:solidFill>
        <a:sysClr val="windowText" lastClr="00000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607038</xdr:colOff>
      <xdr:row>1</xdr:row>
      <xdr:rowOff>84524</xdr:rowOff>
    </xdr:from>
    <xdr:to>
      <xdr:col>12</xdr:col>
      <xdr:colOff>414938</xdr:colOff>
      <xdr:row>13</xdr:row>
      <xdr:rowOff>23051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10583</xdr:colOff>
      <xdr:row>1</xdr:row>
      <xdr:rowOff>63500</xdr:rowOff>
    </xdr:from>
    <xdr:to>
      <xdr:col>19</xdr:col>
      <xdr:colOff>560917</xdr:colOff>
      <xdr:row>15</xdr:row>
      <xdr:rowOff>10583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0.28908</cdr:x>
      <cdr:y>0.03922</cdr:y>
    </cdr:from>
    <cdr:to>
      <cdr:x>0.80168</cdr:x>
      <cdr:y>0.16247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1656" y="107578"/>
          <a:ext cx="2343630" cy="338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itchFamily="34" charset="0"/>
              <a:cs typeface="Arial" pitchFamily="34" charset="0"/>
            </a:rPr>
            <a:t>ENVIRONMENT 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0.33389</cdr:x>
      <cdr:y>0.00261</cdr:y>
    </cdr:from>
    <cdr:to>
      <cdr:x>0.82674</cdr:x>
      <cdr:y>0.13488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93062" y="5673"/>
          <a:ext cx="1908687" cy="287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itchFamily="34" charset="0"/>
              <a:cs typeface="Arial" pitchFamily="34" charset="0"/>
            </a:rPr>
            <a:t>TASK</a:t>
          </a:r>
          <a:r>
            <a:rPr lang="en-US" sz="1100" b="1" baseline="0">
              <a:latin typeface="Arial" pitchFamily="34" charset="0"/>
              <a:cs typeface="Arial" pitchFamily="34" charset="0"/>
            </a:rPr>
            <a:t> SUMMARY %</a:t>
          </a:r>
          <a:endParaRPr lang="en-US" sz="11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76838</xdr:colOff>
      <xdr:row>0</xdr:row>
      <xdr:rowOff>122944</xdr:rowOff>
    </xdr:from>
    <xdr:to>
      <xdr:col>19</xdr:col>
      <xdr:colOff>453357</xdr:colOff>
      <xdr:row>28</xdr:row>
      <xdr:rowOff>99894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L9" totalsRowShown="0" headerRowDxfId="27" dataDxfId="26">
  <tableColumns count="11">
    <tableColumn id="1" xr3:uid="{00000000-0010-0000-0000-000001000000}" name="Developer" dataDxfId="25"/>
    <tableColumn id="2" xr3:uid="{00000000-0010-0000-0000-000002000000}" name="Location" dataDxfId="24"/>
    <tableColumn id="3" xr3:uid="{00000000-0010-0000-0000-000003000000}" name="Holidays-office closed" dataDxfId="23"/>
    <tableColumn id="4" xr3:uid="{00000000-0010-0000-0000-000004000000}" name="Planed time off" dataDxfId="22"/>
    <tableColumn id="5" xr3:uid="{00000000-0010-0000-0000-000005000000}" name="Support and unexpected" dataDxfId="21"/>
    <tableColumn id="6" xr3:uid="{00000000-0010-0000-0000-000006000000}" name="R&amp;D days" dataDxfId="20"/>
    <tableColumn id="7" xr3:uid="{00000000-0010-0000-0000-000007000000}" name="Productivity factor %" dataDxfId="19"/>
    <tableColumn id="8" xr3:uid="{00000000-0010-0000-0000-000008000000}" name="Extra hours" dataDxfId="18"/>
    <tableColumn id="9" xr3:uid="{00000000-0010-0000-0000-000009000000}" name="Raw productivity days" dataDxfId="17"/>
    <tableColumn id="10" xr3:uid="{00000000-0010-0000-0000-00000A000000}" name="Equivalent development days" dataDxfId="16"/>
    <tableColumn id="11" xr3:uid="{00000000-0010-0000-0000-00000B000000}" name="Столбец1" dataDxfId="15"/>
  </tableColumns>
  <tableStyleInfo name="TableStyleMedium2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Апекс">
  <a:themeElements>
    <a:clrScheme name="Воздушный поток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Апекс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Апекс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mantayev.alikhan055@gmail.com," TargetMode="External"/><Relationship Id="rId1" Type="http://schemas.openxmlformats.org/officeDocument/2006/relationships/hyperlink" Target="https://www.footballapp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zoomScale="40" zoomScaleNormal="40" workbookViewId="0">
      <pane ySplit="1" topLeftCell="A2" activePane="bottomLeft" state="frozen"/>
      <selection activeCell="E1" sqref="E1"/>
      <selection pane="bottomLeft" activeCell="J1" sqref="J1"/>
    </sheetView>
  </sheetViews>
  <sheetFormatPr defaultColWidth="12.5703125" defaultRowHeight="15" customHeight="1"/>
  <cols>
    <col min="1" max="1" width="6.85546875" customWidth="1"/>
    <col min="2" max="2" width="65.28515625" style="33" bestFit="1" customWidth="1"/>
    <col min="3" max="3" width="29.28515625" style="29" hidden="1" customWidth="1"/>
    <col min="4" max="4" width="26.85546875" style="29" hidden="1" customWidth="1"/>
    <col min="5" max="5" width="23.42578125" style="29" bestFit="1" customWidth="1"/>
    <col min="6" max="6" width="26.28515625" style="29" bestFit="1" customWidth="1"/>
    <col min="7" max="7" width="26.5703125" style="29" customWidth="1"/>
    <col min="8" max="8" width="26.85546875" style="29" bestFit="1" customWidth="1"/>
    <col min="9" max="9" width="33" style="30" bestFit="1" customWidth="1"/>
    <col min="10" max="10" width="23.140625" customWidth="1"/>
    <col min="11" max="11" width="30.85546875" customWidth="1"/>
    <col min="12" max="12" width="32" bestFit="1" customWidth="1"/>
    <col min="13" max="13" width="36.5703125" bestFit="1" customWidth="1"/>
    <col min="14" max="14" width="56.28515625" style="34" customWidth="1"/>
    <col min="15" max="15" width="33.85546875" customWidth="1"/>
    <col min="16" max="26" width="7.5703125" customWidth="1"/>
  </cols>
  <sheetData>
    <row r="1" spans="1:14" ht="99.2" customHeight="1">
      <c r="A1" s="1" t="s">
        <v>0</v>
      </c>
      <c r="B1" s="85" t="s">
        <v>1</v>
      </c>
      <c r="C1" s="85"/>
      <c r="D1" s="85"/>
      <c r="E1" s="85" t="s">
        <v>2</v>
      </c>
      <c r="F1" s="85" t="s">
        <v>3</v>
      </c>
      <c r="G1" s="85" t="s">
        <v>5</v>
      </c>
      <c r="H1" s="85" t="s">
        <v>6</v>
      </c>
      <c r="I1" s="85" t="s">
        <v>7</v>
      </c>
      <c r="J1" s="85" t="s">
        <v>9</v>
      </c>
      <c r="K1" s="85" t="s">
        <v>8</v>
      </c>
      <c r="L1" s="86" t="s">
        <v>10</v>
      </c>
      <c r="M1" s="85" t="s">
        <v>11</v>
      </c>
      <c r="N1" s="85" t="s">
        <v>12</v>
      </c>
    </row>
    <row r="2" spans="1:14" ht="59.25" customHeight="1">
      <c r="A2" s="1">
        <v>1</v>
      </c>
      <c r="B2" s="107" t="s">
        <v>129</v>
      </c>
      <c r="C2" s="31"/>
      <c r="D2" s="31"/>
      <c r="E2" s="87" t="s">
        <v>123</v>
      </c>
      <c r="F2" s="87" t="s">
        <v>124</v>
      </c>
      <c r="G2" s="88" t="s">
        <v>16</v>
      </c>
      <c r="H2" s="88" t="s">
        <v>53</v>
      </c>
      <c r="I2" s="88" t="s">
        <v>21</v>
      </c>
      <c r="J2" s="88" t="s">
        <v>84</v>
      </c>
      <c r="K2" s="89">
        <v>43010</v>
      </c>
      <c r="L2" s="90" t="s">
        <v>33</v>
      </c>
      <c r="M2" s="91" t="s">
        <v>17</v>
      </c>
      <c r="N2" s="88" t="s">
        <v>32</v>
      </c>
    </row>
    <row r="3" spans="1:14" ht="66.75" customHeight="1">
      <c r="A3" s="1">
        <v>2</v>
      </c>
      <c r="B3" s="108" t="s">
        <v>130</v>
      </c>
      <c r="C3" s="31"/>
      <c r="D3" s="31"/>
      <c r="E3" s="87" t="s">
        <v>168</v>
      </c>
      <c r="F3" s="87" t="s">
        <v>168</v>
      </c>
      <c r="G3" s="88" t="s">
        <v>16</v>
      </c>
      <c r="H3" s="88" t="s">
        <v>53</v>
      </c>
      <c r="I3" s="88" t="s">
        <v>21</v>
      </c>
      <c r="J3" s="88" t="s">
        <v>84</v>
      </c>
      <c r="K3" s="89">
        <v>43011</v>
      </c>
      <c r="L3" s="90" t="s">
        <v>33</v>
      </c>
      <c r="M3" s="91" t="s">
        <v>17</v>
      </c>
      <c r="N3" s="88" t="s">
        <v>32</v>
      </c>
    </row>
    <row r="4" spans="1:14" ht="70.150000000000006" customHeight="1">
      <c r="A4" s="1">
        <v>3</v>
      </c>
      <c r="B4" s="109" t="s">
        <v>131</v>
      </c>
      <c r="C4" s="31"/>
      <c r="D4" s="31"/>
      <c r="E4" s="87" t="s">
        <v>123</v>
      </c>
      <c r="F4" s="87" t="s">
        <v>127</v>
      </c>
      <c r="G4" s="88" t="s">
        <v>16</v>
      </c>
      <c r="H4" s="88" t="s">
        <v>53</v>
      </c>
      <c r="I4" s="88" t="s">
        <v>22</v>
      </c>
      <c r="J4" s="88" t="s">
        <v>84</v>
      </c>
      <c r="K4" s="89">
        <v>43013</v>
      </c>
      <c r="L4" s="90" t="s">
        <v>33</v>
      </c>
      <c r="M4" s="91" t="s">
        <v>17</v>
      </c>
      <c r="N4" s="88" t="s">
        <v>32</v>
      </c>
    </row>
    <row r="5" spans="1:14" ht="69" customHeight="1">
      <c r="A5" s="1">
        <v>4</v>
      </c>
      <c r="B5" s="109" t="s">
        <v>132</v>
      </c>
      <c r="C5" s="31"/>
      <c r="D5" s="31"/>
      <c r="E5" s="87" t="s">
        <v>128</v>
      </c>
      <c r="F5" s="87" t="s">
        <v>123</v>
      </c>
      <c r="G5" s="88" t="s">
        <v>16</v>
      </c>
      <c r="H5" s="88" t="s">
        <v>53</v>
      </c>
      <c r="I5" s="88" t="s">
        <v>21</v>
      </c>
      <c r="J5" s="88" t="s">
        <v>84</v>
      </c>
      <c r="K5" s="89">
        <v>43016</v>
      </c>
      <c r="L5" s="90" t="s">
        <v>33</v>
      </c>
      <c r="M5" s="91" t="s">
        <v>95</v>
      </c>
      <c r="N5" s="88" t="s">
        <v>77</v>
      </c>
    </row>
    <row r="6" spans="1:14" ht="58.7" customHeight="1">
      <c r="A6" s="1">
        <v>5</v>
      </c>
      <c r="B6" s="109" t="s">
        <v>133</v>
      </c>
      <c r="C6" s="31"/>
      <c r="D6" s="31"/>
      <c r="E6" s="87" t="s">
        <v>124</v>
      </c>
      <c r="F6" s="87" t="s">
        <v>168</v>
      </c>
      <c r="G6" s="88" t="s">
        <v>16</v>
      </c>
      <c r="H6" s="88" t="s">
        <v>53</v>
      </c>
      <c r="I6" s="88" t="s">
        <v>21</v>
      </c>
      <c r="J6" s="88" t="s">
        <v>13</v>
      </c>
      <c r="K6" s="89">
        <v>43018</v>
      </c>
      <c r="L6" s="90" t="s">
        <v>33</v>
      </c>
      <c r="M6" s="91" t="s">
        <v>17</v>
      </c>
      <c r="N6" s="88" t="s">
        <v>32</v>
      </c>
    </row>
    <row r="7" spans="1:14" ht="49.15" customHeight="1">
      <c r="A7" s="1">
        <v>6</v>
      </c>
      <c r="B7" s="95" t="s">
        <v>134</v>
      </c>
      <c r="C7" s="31"/>
      <c r="D7" s="31"/>
      <c r="E7" s="87" t="s">
        <v>123</v>
      </c>
      <c r="F7" s="87" t="s">
        <v>124</v>
      </c>
      <c r="G7" s="88" t="s">
        <v>16</v>
      </c>
      <c r="H7" s="88" t="s">
        <v>40</v>
      </c>
      <c r="I7" s="88" t="s">
        <v>21</v>
      </c>
      <c r="J7" s="88" t="s">
        <v>13</v>
      </c>
      <c r="K7" s="89">
        <v>43020</v>
      </c>
      <c r="L7" s="90" t="s">
        <v>33</v>
      </c>
      <c r="M7" s="91" t="s">
        <v>17</v>
      </c>
      <c r="N7" s="88" t="s">
        <v>32</v>
      </c>
    </row>
    <row r="8" spans="1:14" ht="67.150000000000006" customHeight="1">
      <c r="A8" s="1">
        <v>7</v>
      </c>
      <c r="B8" s="95" t="s">
        <v>135</v>
      </c>
      <c r="C8" s="31"/>
      <c r="D8" s="31"/>
      <c r="E8" s="87" t="s">
        <v>125</v>
      </c>
      <c r="F8" s="87" t="s">
        <v>168</v>
      </c>
      <c r="G8" s="88" t="s">
        <v>16</v>
      </c>
      <c r="H8" s="88" t="s">
        <v>53</v>
      </c>
      <c r="I8" s="88" t="s">
        <v>22</v>
      </c>
      <c r="J8" s="88" t="s">
        <v>13</v>
      </c>
      <c r="K8" s="89">
        <v>43025</v>
      </c>
      <c r="L8" s="90" t="s">
        <v>33</v>
      </c>
      <c r="M8" s="91" t="s">
        <v>95</v>
      </c>
      <c r="N8" s="88" t="s">
        <v>32</v>
      </c>
    </row>
    <row r="9" spans="1:14" ht="61.15" customHeight="1">
      <c r="A9" s="1">
        <v>8</v>
      </c>
      <c r="B9" s="95" t="s">
        <v>136</v>
      </c>
      <c r="C9" s="31"/>
      <c r="D9" s="31"/>
      <c r="E9" s="87" t="s">
        <v>127</v>
      </c>
      <c r="F9" s="87" t="s">
        <v>128</v>
      </c>
      <c r="G9" s="88" t="s">
        <v>16</v>
      </c>
      <c r="H9" s="88" t="s">
        <v>40</v>
      </c>
      <c r="I9" s="88" t="s">
        <v>21</v>
      </c>
      <c r="J9" s="88" t="s">
        <v>13</v>
      </c>
      <c r="K9" s="89">
        <v>43028</v>
      </c>
      <c r="L9" s="93" t="s">
        <v>33</v>
      </c>
      <c r="M9" s="91" t="s">
        <v>95</v>
      </c>
      <c r="N9" s="88" t="s">
        <v>32</v>
      </c>
    </row>
    <row r="10" spans="1:14" ht="57.6" customHeight="1">
      <c r="A10" s="1">
        <v>9</v>
      </c>
      <c r="B10" s="95" t="s">
        <v>137</v>
      </c>
      <c r="C10" s="31"/>
      <c r="D10" s="31"/>
      <c r="E10" s="87" t="s">
        <v>128</v>
      </c>
      <c r="F10" s="87" t="s">
        <v>124</v>
      </c>
      <c r="G10" s="88" t="s">
        <v>16</v>
      </c>
      <c r="H10" s="88" t="s">
        <v>40</v>
      </c>
      <c r="I10" s="88" t="s">
        <v>21</v>
      </c>
      <c r="J10" s="88" t="s">
        <v>13</v>
      </c>
      <c r="K10" s="89">
        <v>43034</v>
      </c>
      <c r="L10" s="93" t="s">
        <v>33</v>
      </c>
      <c r="M10" s="91" t="s">
        <v>94</v>
      </c>
      <c r="N10" s="88" t="s">
        <v>78</v>
      </c>
    </row>
    <row r="11" spans="1:14" ht="61.7" customHeight="1">
      <c r="A11" s="1">
        <v>10</v>
      </c>
      <c r="B11" s="110" t="s">
        <v>138</v>
      </c>
      <c r="C11" s="31"/>
      <c r="D11" s="31"/>
      <c r="E11" s="87" t="s">
        <v>125</v>
      </c>
      <c r="F11" s="87" t="s">
        <v>168</v>
      </c>
      <c r="G11" s="88" t="s">
        <v>16</v>
      </c>
      <c r="H11" s="88" t="s">
        <v>40</v>
      </c>
      <c r="I11" s="88" t="s">
        <v>21</v>
      </c>
      <c r="J11" s="88" t="s">
        <v>13</v>
      </c>
      <c r="K11" s="89">
        <v>43040</v>
      </c>
      <c r="L11" s="90" t="s">
        <v>33</v>
      </c>
      <c r="M11" s="91" t="s">
        <v>94</v>
      </c>
      <c r="N11" s="88" t="s">
        <v>78</v>
      </c>
    </row>
    <row r="12" spans="1:14" ht="54" customHeight="1">
      <c r="A12" s="1">
        <v>11</v>
      </c>
      <c r="B12" s="95" t="s">
        <v>139</v>
      </c>
      <c r="C12" s="31"/>
      <c r="D12" s="31"/>
      <c r="E12" s="87" t="s">
        <v>127</v>
      </c>
      <c r="F12" s="87" t="s">
        <v>128</v>
      </c>
      <c r="G12" s="88" t="s">
        <v>16</v>
      </c>
      <c r="H12" s="88" t="s">
        <v>53</v>
      </c>
      <c r="I12" s="88" t="s">
        <v>21</v>
      </c>
      <c r="J12" s="88" t="s">
        <v>13</v>
      </c>
      <c r="K12" s="89">
        <v>43044</v>
      </c>
      <c r="L12" s="90" t="s">
        <v>33</v>
      </c>
      <c r="M12" s="91" t="s">
        <v>94</v>
      </c>
      <c r="N12" s="88" t="s">
        <v>32</v>
      </c>
    </row>
    <row r="13" spans="1:14" ht="54.75" customHeight="1">
      <c r="A13" s="1">
        <v>12</v>
      </c>
      <c r="B13" s="95" t="s">
        <v>140</v>
      </c>
      <c r="C13" s="31"/>
      <c r="D13" s="31"/>
      <c r="E13" s="87" t="s">
        <v>168</v>
      </c>
      <c r="F13" s="87" t="s">
        <v>124</v>
      </c>
      <c r="G13" s="88" t="s">
        <v>16</v>
      </c>
      <c r="H13" s="88" t="s">
        <v>53</v>
      </c>
      <c r="I13" s="88" t="s">
        <v>21</v>
      </c>
      <c r="J13" s="88" t="s">
        <v>85</v>
      </c>
      <c r="K13" s="89">
        <v>43048</v>
      </c>
      <c r="L13" s="90" t="s">
        <v>33</v>
      </c>
      <c r="M13" s="91" t="s">
        <v>94</v>
      </c>
      <c r="N13" s="88" t="s">
        <v>78</v>
      </c>
    </row>
    <row r="14" spans="1:14" ht="51">
      <c r="A14" s="1">
        <v>13</v>
      </c>
      <c r="B14" s="95" t="s">
        <v>141</v>
      </c>
      <c r="C14" s="31"/>
      <c r="D14" s="31"/>
      <c r="E14" s="87" t="s">
        <v>125</v>
      </c>
      <c r="F14" s="87" t="s">
        <v>168</v>
      </c>
      <c r="G14" s="88" t="s">
        <v>16</v>
      </c>
      <c r="H14" s="88" t="s">
        <v>53</v>
      </c>
      <c r="I14" s="88" t="s">
        <v>21</v>
      </c>
      <c r="J14" s="88" t="s">
        <v>13</v>
      </c>
      <c r="K14" s="89">
        <v>43051</v>
      </c>
      <c r="L14" s="90" t="s">
        <v>33</v>
      </c>
      <c r="M14" s="91" t="s">
        <v>94</v>
      </c>
      <c r="N14" s="88" t="s">
        <v>32</v>
      </c>
    </row>
    <row r="15" spans="1:14" ht="68.45" customHeight="1">
      <c r="A15" s="1">
        <v>14</v>
      </c>
      <c r="B15" s="95" t="s">
        <v>142</v>
      </c>
      <c r="C15" s="31"/>
      <c r="D15" s="31"/>
      <c r="E15" s="87" t="s">
        <v>127</v>
      </c>
      <c r="F15" s="87" t="s">
        <v>128</v>
      </c>
      <c r="G15" s="88" t="s">
        <v>16</v>
      </c>
      <c r="H15" s="88" t="s">
        <v>53</v>
      </c>
      <c r="I15" s="88" t="s">
        <v>22</v>
      </c>
      <c r="J15" s="88" t="s">
        <v>13</v>
      </c>
      <c r="K15" s="89">
        <v>43054</v>
      </c>
      <c r="L15" s="90" t="s">
        <v>33</v>
      </c>
      <c r="M15" s="91" t="s">
        <v>94</v>
      </c>
      <c r="N15" s="88" t="s">
        <v>78</v>
      </c>
    </row>
    <row r="16" spans="1:14" ht="61.35" customHeight="1">
      <c r="A16" s="1">
        <v>15</v>
      </c>
      <c r="B16" s="96" t="s">
        <v>143</v>
      </c>
      <c r="C16" s="31"/>
      <c r="D16" s="31"/>
      <c r="E16" s="87" t="s">
        <v>123</v>
      </c>
      <c r="F16" s="87" t="s">
        <v>124</v>
      </c>
      <c r="G16" s="88" t="s">
        <v>16</v>
      </c>
      <c r="H16" s="88" t="s">
        <v>72</v>
      </c>
      <c r="I16" s="88" t="s">
        <v>21</v>
      </c>
      <c r="J16" s="88" t="s">
        <v>13</v>
      </c>
      <c r="K16" s="89">
        <v>43056</v>
      </c>
      <c r="L16" s="90" t="s">
        <v>33</v>
      </c>
      <c r="M16" s="91" t="s">
        <v>94</v>
      </c>
      <c r="N16" s="88" t="s">
        <v>79</v>
      </c>
    </row>
    <row r="17" spans="1:14" ht="67.150000000000006" customHeight="1">
      <c r="A17" s="1">
        <v>16</v>
      </c>
      <c r="B17" s="97" t="s">
        <v>144</v>
      </c>
      <c r="C17" s="31"/>
      <c r="D17" s="31"/>
      <c r="E17" s="87" t="s">
        <v>125</v>
      </c>
      <c r="F17" s="87" t="s">
        <v>168</v>
      </c>
      <c r="G17" s="88" t="s">
        <v>16</v>
      </c>
      <c r="H17" s="88" t="s">
        <v>72</v>
      </c>
      <c r="I17" s="88" t="s">
        <v>21</v>
      </c>
      <c r="J17" s="88" t="s">
        <v>13</v>
      </c>
      <c r="K17" s="89">
        <v>43059</v>
      </c>
      <c r="L17" s="90" t="s">
        <v>33</v>
      </c>
      <c r="M17" s="91" t="s">
        <v>94</v>
      </c>
      <c r="N17" s="88" t="s">
        <v>31</v>
      </c>
    </row>
    <row r="18" spans="1:14" ht="58.7" customHeight="1">
      <c r="A18" s="1">
        <v>17</v>
      </c>
      <c r="B18" s="98" t="s">
        <v>145</v>
      </c>
      <c r="C18" s="31"/>
      <c r="D18" s="31"/>
      <c r="E18" s="87" t="s">
        <v>127</v>
      </c>
      <c r="F18" s="87" t="s">
        <v>128</v>
      </c>
      <c r="G18" s="88" t="s">
        <v>16</v>
      </c>
      <c r="H18" s="88" t="s">
        <v>72</v>
      </c>
      <c r="I18" s="88" t="s">
        <v>21</v>
      </c>
      <c r="J18" s="88" t="s">
        <v>13</v>
      </c>
      <c r="K18" s="89">
        <v>43061</v>
      </c>
      <c r="L18" s="90" t="s">
        <v>33</v>
      </c>
      <c r="M18" s="91" t="s">
        <v>94</v>
      </c>
      <c r="N18" s="88" t="s">
        <v>31</v>
      </c>
    </row>
    <row r="19" spans="1:14" ht="41.1" customHeight="1">
      <c r="A19" s="1">
        <v>18</v>
      </c>
      <c r="B19" s="98" t="s">
        <v>146</v>
      </c>
      <c r="C19" s="31"/>
      <c r="D19" s="31"/>
      <c r="E19" s="87" t="s">
        <v>123</v>
      </c>
      <c r="F19" s="87" t="s">
        <v>124</v>
      </c>
      <c r="G19" s="88" t="s">
        <v>16</v>
      </c>
      <c r="H19" s="88" t="s">
        <v>72</v>
      </c>
      <c r="I19" s="88" t="s">
        <v>21</v>
      </c>
      <c r="J19" s="88" t="s">
        <v>13</v>
      </c>
      <c r="K19" s="89">
        <v>43063</v>
      </c>
      <c r="L19" s="90" t="s">
        <v>33</v>
      </c>
      <c r="M19" s="91" t="s">
        <v>94</v>
      </c>
      <c r="N19" s="88" t="s">
        <v>31</v>
      </c>
    </row>
    <row r="20" spans="1:14" ht="50.25" customHeight="1">
      <c r="A20" s="1">
        <v>19</v>
      </c>
      <c r="B20" s="98" t="s">
        <v>147</v>
      </c>
      <c r="C20" s="31"/>
      <c r="D20" s="31"/>
      <c r="E20" s="87" t="s">
        <v>125</v>
      </c>
      <c r="F20" s="87" t="s">
        <v>168</v>
      </c>
      <c r="G20" s="88" t="s">
        <v>16</v>
      </c>
      <c r="H20" s="88" t="s">
        <v>72</v>
      </c>
      <c r="I20" s="88" t="s">
        <v>21</v>
      </c>
      <c r="J20" s="88" t="s">
        <v>13</v>
      </c>
      <c r="K20" s="89">
        <v>43065</v>
      </c>
      <c r="L20" s="90" t="s">
        <v>33</v>
      </c>
      <c r="M20" s="91" t="s">
        <v>94</v>
      </c>
      <c r="N20" s="88" t="s">
        <v>31</v>
      </c>
    </row>
    <row r="21" spans="1:14" ht="51">
      <c r="A21" s="1">
        <v>20</v>
      </c>
      <c r="B21" s="99" t="s">
        <v>148</v>
      </c>
      <c r="C21" s="31"/>
      <c r="D21" s="31"/>
      <c r="E21" s="87" t="s">
        <v>127</v>
      </c>
      <c r="F21" s="87" t="s">
        <v>128</v>
      </c>
      <c r="G21" s="88" t="s">
        <v>16</v>
      </c>
      <c r="H21" s="88" t="s">
        <v>72</v>
      </c>
      <c r="I21" s="88" t="s">
        <v>21</v>
      </c>
      <c r="J21" s="88" t="s">
        <v>13</v>
      </c>
      <c r="K21" s="89">
        <v>43069</v>
      </c>
      <c r="L21" s="90" t="s">
        <v>33</v>
      </c>
      <c r="M21" s="91" t="s">
        <v>94</v>
      </c>
      <c r="N21" s="88" t="s">
        <v>80</v>
      </c>
    </row>
    <row r="22" spans="1:14" ht="47.85" customHeight="1">
      <c r="A22" s="1">
        <v>21</v>
      </c>
      <c r="B22" s="98" t="s">
        <v>149</v>
      </c>
      <c r="C22" s="32"/>
      <c r="D22" s="32"/>
      <c r="E22" s="87" t="s">
        <v>125</v>
      </c>
      <c r="F22" s="87" t="s">
        <v>124</v>
      </c>
      <c r="G22" s="88" t="s">
        <v>16</v>
      </c>
      <c r="H22" s="88" t="s">
        <v>53</v>
      </c>
      <c r="I22" s="88" t="s">
        <v>21</v>
      </c>
      <c r="J22" s="88" t="s">
        <v>84</v>
      </c>
      <c r="K22" s="89" t="s">
        <v>158</v>
      </c>
      <c r="L22" s="90" t="s">
        <v>33</v>
      </c>
      <c r="M22" s="91" t="s">
        <v>94</v>
      </c>
      <c r="N22" s="88" t="s">
        <v>77</v>
      </c>
    </row>
    <row r="23" spans="1:14" ht="60" customHeight="1">
      <c r="A23" s="51">
        <v>22</v>
      </c>
      <c r="B23" s="100" t="s">
        <v>150</v>
      </c>
      <c r="C23" s="101"/>
      <c r="D23" s="101"/>
      <c r="E23" s="87" t="s">
        <v>125</v>
      </c>
      <c r="F23" s="87" t="s">
        <v>168</v>
      </c>
      <c r="G23" s="88" t="s">
        <v>16</v>
      </c>
      <c r="H23" s="88" t="s">
        <v>53</v>
      </c>
      <c r="I23" s="88" t="s">
        <v>21</v>
      </c>
      <c r="J23" s="88" t="s">
        <v>84</v>
      </c>
      <c r="K23" s="89">
        <v>43073</v>
      </c>
      <c r="L23" s="90" t="s">
        <v>33</v>
      </c>
      <c r="M23" s="91" t="s">
        <v>94</v>
      </c>
      <c r="N23" s="92" t="s">
        <v>79</v>
      </c>
    </row>
    <row r="24" spans="1:14" ht="62.25" customHeight="1">
      <c r="A24" s="51">
        <v>23</v>
      </c>
      <c r="B24" s="102" t="s">
        <v>164</v>
      </c>
      <c r="C24" s="101"/>
      <c r="D24" s="101"/>
      <c r="E24" s="87" t="s">
        <v>127</v>
      </c>
      <c r="F24" s="87" t="s">
        <v>128</v>
      </c>
      <c r="G24" s="88" t="s">
        <v>16</v>
      </c>
      <c r="H24" s="88" t="s">
        <v>53</v>
      </c>
      <c r="I24" s="88" t="s">
        <v>22</v>
      </c>
      <c r="J24" s="88" t="s">
        <v>84</v>
      </c>
      <c r="K24" s="89">
        <v>43076</v>
      </c>
      <c r="L24" s="90" t="s">
        <v>33</v>
      </c>
      <c r="M24" s="91" t="s">
        <v>4</v>
      </c>
      <c r="N24" s="92" t="s">
        <v>79</v>
      </c>
    </row>
    <row r="25" spans="1:14" ht="69" customHeight="1">
      <c r="A25" s="51">
        <v>24</v>
      </c>
      <c r="B25" s="103" t="s">
        <v>151</v>
      </c>
      <c r="C25" s="101"/>
      <c r="D25" s="101"/>
      <c r="E25" s="87" t="s">
        <v>124</v>
      </c>
      <c r="F25" s="87" t="s">
        <v>124</v>
      </c>
      <c r="G25" s="88" t="s">
        <v>16</v>
      </c>
      <c r="H25" s="88" t="s">
        <v>53</v>
      </c>
      <c r="I25" s="88" t="s">
        <v>21</v>
      </c>
      <c r="J25" s="88" t="s">
        <v>84</v>
      </c>
      <c r="K25" s="89">
        <v>43079</v>
      </c>
      <c r="L25" s="90" t="s">
        <v>33</v>
      </c>
      <c r="M25" s="91" t="s">
        <v>4</v>
      </c>
      <c r="N25" s="92" t="s">
        <v>79</v>
      </c>
    </row>
    <row r="26" spans="1:14" ht="53.25" customHeight="1">
      <c r="A26" s="51">
        <v>25</v>
      </c>
      <c r="B26" s="102" t="s">
        <v>152</v>
      </c>
      <c r="C26" s="101"/>
      <c r="D26" s="101"/>
      <c r="E26" s="87" t="s">
        <v>125</v>
      </c>
      <c r="F26" s="87" t="s">
        <v>168</v>
      </c>
      <c r="G26" s="88" t="s">
        <v>16</v>
      </c>
      <c r="H26" s="88" t="s">
        <v>72</v>
      </c>
      <c r="I26" s="88" t="s">
        <v>21</v>
      </c>
      <c r="J26" s="88" t="s">
        <v>13</v>
      </c>
      <c r="K26" s="89">
        <v>43083</v>
      </c>
      <c r="L26" s="90" t="s">
        <v>33</v>
      </c>
      <c r="M26" s="91" t="s">
        <v>4</v>
      </c>
      <c r="N26" s="92" t="s">
        <v>79</v>
      </c>
    </row>
    <row r="27" spans="1:14" ht="56.25" customHeight="1">
      <c r="A27" s="51">
        <v>26</v>
      </c>
      <c r="B27" s="102" t="s">
        <v>153</v>
      </c>
      <c r="C27" s="101"/>
      <c r="D27" s="101"/>
      <c r="E27" s="87" t="s">
        <v>127</v>
      </c>
      <c r="F27" s="87" t="s">
        <v>128</v>
      </c>
      <c r="G27" s="88" t="s">
        <v>16</v>
      </c>
      <c r="H27" s="88" t="s">
        <v>72</v>
      </c>
      <c r="I27" s="88" t="s">
        <v>21</v>
      </c>
      <c r="J27" s="88" t="s">
        <v>13</v>
      </c>
      <c r="K27" s="89">
        <v>43086</v>
      </c>
      <c r="L27" s="90" t="s">
        <v>33</v>
      </c>
      <c r="M27" s="91" t="s">
        <v>4</v>
      </c>
      <c r="N27" s="92" t="s">
        <v>79</v>
      </c>
    </row>
    <row r="28" spans="1:14" ht="63">
      <c r="A28" s="51">
        <v>27</v>
      </c>
      <c r="B28" s="103" t="s">
        <v>154</v>
      </c>
      <c r="C28" s="101"/>
      <c r="D28" s="101"/>
      <c r="E28" s="87" t="s">
        <v>123</v>
      </c>
      <c r="F28" s="87" t="s">
        <v>124</v>
      </c>
      <c r="G28" s="88" t="s">
        <v>16</v>
      </c>
      <c r="H28" s="88" t="s">
        <v>72</v>
      </c>
      <c r="I28" s="88" t="s">
        <v>22</v>
      </c>
      <c r="J28" s="88" t="s">
        <v>13</v>
      </c>
      <c r="K28" s="89">
        <v>43089</v>
      </c>
      <c r="L28" s="90" t="s">
        <v>33</v>
      </c>
      <c r="M28" s="91" t="s">
        <v>4</v>
      </c>
      <c r="N28" s="92" t="s">
        <v>79</v>
      </c>
    </row>
    <row r="29" spans="1:14" ht="57.75" customHeight="1">
      <c r="A29" s="51">
        <v>28</v>
      </c>
      <c r="B29" s="102" t="s">
        <v>155</v>
      </c>
      <c r="C29" s="101"/>
      <c r="D29" s="101"/>
      <c r="E29" s="87" t="s">
        <v>125</v>
      </c>
      <c r="F29" s="87" t="s">
        <v>168</v>
      </c>
      <c r="G29" s="88" t="s">
        <v>16</v>
      </c>
      <c r="H29" s="88" t="s">
        <v>53</v>
      </c>
      <c r="I29" s="88" t="s">
        <v>21</v>
      </c>
      <c r="J29" s="88" t="s">
        <v>13</v>
      </c>
      <c r="K29" s="89">
        <v>43091</v>
      </c>
      <c r="L29" s="93" t="s">
        <v>33</v>
      </c>
      <c r="M29" s="91" t="s">
        <v>4</v>
      </c>
      <c r="N29" s="92" t="s">
        <v>79</v>
      </c>
    </row>
    <row r="30" spans="1:14" ht="51" customHeight="1">
      <c r="A30" s="51">
        <v>29</v>
      </c>
      <c r="B30" s="104" t="s">
        <v>156</v>
      </c>
      <c r="C30" s="101"/>
      <c r="D30" s="101"/>
      <c r="E30" s="87" t="s">
        <v>127</v>
      </c>
      <c r="F30" s="87" t="s">
        <v>128</v>
      </c>
      <c r="G30" s="88" t="s">
        <v>16</v>
      </c>
      <c r="H30" s="88" t="s">
        <v>53</v>
      </c>
      <c r="I30" s="88" t="s">
        <v>21</v>
      </c>
      <c r="J30" s="88" t="s">
        <v>13</v>
      </c>
      <c r="K30" s="89">
        <v>43103</v>
      </c>
      <c r="L30" s="93" t="s">
        <v>33</v>
      </c>
      <c r="M30" s="91" t="s">
        <v>94</v>
      </c>
      <c r="N30" s="92" t="s">
        <v>31</v>
      </c>
    </row>
    <row r="31" spans="1:14" ht="57.75" customHeight="1">
      <c r="A31" s="51">
        <v>30</v>
      </c>
      <c r="B31" s="104" t="s">
        <v>157</v>
      </c>
      <c r="C31" s="101"/>
      <c r="D31" s="101"/>
      <c r="E31" s="87" t="s">
        <v>123</v>
      </c>
      <c r="F31" s="87" t="s">
        <v>124</v>
      </c>
      <c r="G31" s="88" t="s">
        <v>16</v>
      </c>
      <c r="H31" s="88" t="s">
        <v>53</v>
      </c>
      <c r="I31" s="88" t="s">
        <v>21</v>
      </c>
      <c r="J31" s="88" t="s">
        <v>13</v>
      </c>
      <c r="K31" s="89">
        <v>43108</v>
      </c>
      <c r="L31" s="90" t="s">
        <v>33</v>
      </c>
      <c r="M31" s="91" t="s">
        <v>94</v>
      </c>
      <c r="N31" s="92" t="s">
        <v>31</v>
      </c>
    </row>
    <row r="32" spans="1:14" ht="57" customHeight="1">
      <c r="A32" s="51"/>
      <c r="B32" s="101"/>
      <c r="C32" s="101"/>
      <c r="D32" s="101"/>
      <c r="E32" s="101"/>
      <c r="F32" s="101"/>
      <c r="G32" s="101"/>
      <c r="H32" s="101"/>
      <c r="I32" s="105"/>
      <c r="J32" s="106"/>
      <c r="K32" s="89">
        <v>43109</v>
      </c>
      <c r="L32" s="94" t="s">
        <v>97</v>
      </c>
      <c r="M32" s="106"/>
      <c r="N32" s="106"/>
    </row>
  </sheetData>
  <dataValidations count="3">
    <dataValidation type="list" allowBlank="1" showInputMessage="1" showErrorMessage="1" sqref="J2:J31" xr:uid="{00000000-0002-0000-0000-000000000000}">
      <formula1>"Low, Normal , High"</formula1>
    </dataValidation>
    <dataValidation type="list" allowBlank="1" showInputMessage="1" showErrorMessage="1" sqref="M3:M31" xr:uid="{00000000-0002-0000-0000-000001000000}">
      <formula1>"Planning, Testing, Developing"</formula1>
    </dataValidation>
    <dataValidation type="list" allowBlank="1" showInputMessage="1" showErrorMessage="1" sqref="H2:H31" xr:uid="{00000000-0002-0000-0000-000002000000}">
      <formula1>"TBD, In Progress,  DONE"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3000000}">
          <x14:formula1>
            <xm:f>RootForDates!$A$1:$A$10</xm:f>
          </x14:formula1>
          <xm:sqref>E2:F31</xm:sqref>
        </x14:dataValidation>
        <x14:dataValidation type="list" allowBlank="1" showInputMessage="1" showErrorMessage="1" xr:uid="{00000000-0002-0000-0000-000004000000}">
          <x14:formula1>
            <xm:f>RootForDates!$B$1:$B$15</xm:f>
          </x14:formula1>
          <xm:sqref>G2:G31</xm:sqref>
        </x14:dataValidation>
        <x14:dataValidation type="list" allowBlank="1" showInputMessage="1" showErrorMessage="1" xr:uid="{00000000-0002-0000-0000-000005000000}">
          <x14:formula1>
            <xm:f>RootForDates!$C$1:$C$7</xm:f>
          </x14:formula1>
          <xm:sqref>I2:I31</xm:sqref>
        </x14:dataValidation>
        <x14:dataValidation type="list" allowBlank="1" showInputMessage="1" showErrorMessage="1" xr:uid="{00000000-0002-0000-0000-000006000000}">
          <x14:formula1>
            <xm:f>RootForDates!$D$1:$D$7</xm:f>
          </x14:formula1>
          <xm:sqref>M2</xm:sqref>
        </x14:dataValidation>
        <x14:dataValidation type="list" allowBlank="1" showInputMessage="1" showErrorMessage="1" xr:uid="{00000000-0002-0000-0000-000007000000}">
          <x14:formula1>
            <xm:f>RootForDates!$A$1:$A$6</xm:f>
          </x14:formula1>
          <xm:sqref>E2:F31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/>
  </sheetPr>
  <dimension ref="A1:H14"/>
  <sheetViews>
    <sheetView zoomScaleNormal="100" workbookViewId="0">
      <selection activeCell="C6" sqref="C6"/>
    </sheetView>
  </sheetViews>
  <sheetFormatPr defaultRowHeight="15"/>
  <cols>
    <col min="1" max="1" width="18.7109375" customWidth="1"/>
    <col min="2" max="2" width="16.85546875" customWidth="1"/>
    <col min="3" max="3" width="12.5703125" customWidth="1"/>
    <col min="4" max="4" width="13.28515625" customWidth="1"/>
  </cols>
  <sheetData>
    <row r="1" spans="1:8" ht="16.5" thickTop="1" thickBot="1">
      <c r="A1" s="40" t="s">
        <v>123</v>
      </c>
      <c r="B1" s="40" t="s">
        <v>20</v>
      </c>
      <c r="C1" s="40" t="s">
        <v>21</v>
      </c>
      <c r="D1" s="40" t="s">
        <v>95</v>
      </c>
    </row>
    <row r="2" spans="1:8" ht="16.5" thickTop="1" thickBot="1">
      <c r="A2" s="40" t="s">
        <v>124</v>
      </c>
      <c r="B2" s="40" t="s">
        <v>96</v>
      </c>
      <c r="C2" s="40" t="s">
        <v>22</v>
      </c>
      <c r="D2" s="40" t="s">
        <v>94</v>
      </c>
    </row>
    <row r="3" spans="1:8" ht="16.5" thickTop="1" thickBot="1">
      <c r="A3" s="40" t="s">
        <v>125</v>
      </c>
      <c r="B3" s="40" t="s">
        <v>4</v>
      </c>
      <c r="C3" s="40"/>
      <c r="D3" s="40" t="s">
        <v>18</v>
      </c>
    </row>
    <row r="4" spans="1:8" ht="16.5" thickTop="1" thickBot="1">
      <c r="A4" s="40" t="s">
        <v>168</v>
      </c>
      <c r="B4" s="40" t="s">
        <v>15</v>
      </c>
      <c r="C4" s="40"/>
      <c r="D4" s="40" t="s">
        <v>97</v>
      </c>
    </row>
    <row r="5" spans="1:8" ht="16.5" thickTop="1" thickBot="1">
      <c r="A5" s="40" t="s">
        <v>127</v>
      </c>
      <c r="B5" s="40" t="s">
        <v>16</v>
      </c>
      <c r="C5" s="40"/>
      <c r="D5" s="40"/>
    </row>
    <row r="6" spans="1:8" ht="16.5" thickTop="1" thickBot="1">
      <c r="A6" s="40" t="s">
        <v>128</v>
      </c>
      <c r="B6" s="40" t="s">
        <v>14</v>
      </c>
      <c r="C6" s="40"/>
      <c r="D6" s="40"/>
    </row>
    <row r="7" spans="1:8" ht="16.5" thickTop="1" thickBot="1">
      <c r="A7" s="40"/>
      <c r="B7" s="40" t="s">
        <v>19</v>
      </c>
      <c r="C7" s="40"/>
      <c r="D7" s="40"/>
      <c r="H7" s="18"/>
    </row>
    <row r="8" spans="1:8" ht="15.75" thickTop="1"/>
    <row r="14" spans="1:8">
      <c r="C14" s="6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5" sqref="B5"/>
    </sheetView>
  </sheetViews>
  <sheetFormatPr defaultRowHeight="15"/>
  <cols>
    <col min="1" max="1" width="28.5703125" customWidth="1"/>
    <col min="2" max="2" width="24.140625" customWidth="1"/>
  </cols>
  <sheetData>
    <row r="1" spans="1:2" ht="15.75">
      <c r="A1" s="52" t="s">
        <v>111</v>
      </c>
      <c r="B1" s="52" t="s">
        <v>112</v>
      </c>
    </row>
    <row r="2" spans="1:2">
      <c r="A2" s="53" t="s">
        <v>102</v>
      </c>
      <c r="B2" s="55">
        <v>43010</v>
      </c>
    </row>
    <row r="3" spans="1:2">
      <c r="A3" s="53" t="s">
        <v>103</v>
      </c>
      <c r="B3" s="55">
        <v>43108</v>
      </c>
    </row>
    <row r="4" spans="1:2">
      <c r="A4" s="53" t="s">
        <v>104</v>
      </c>
      <c r="B4" s="55">
        <v>43059</v>
      </c>
    </row>
    <row r="5" spans="1:2">
      <c r="A5" s="53" t="s">
        <v>105</v>
      </c>
      <c r="B5" s="55">
        <v>43092</v>
      </c>
    </row>
    <row r="6" spans="1:2">
      <c r="A6" s="53" t="s">
        <v>106</v>
      </c>
      <c r="B6" s="55">
        <v>43109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B9" sqref="B9"/>
    </sheetView>
  </sheetViews>
  <sheetFormatPr defaultRowHeight="15"/>
  <cols>
    <col min="1" max="1" width="27.5703125" customWidth="1"/>
    <col min="3" max="3" width="14.7109375" customWidth="1"/>
    <col min="4" max="4" width="13.7109375" customWidth="1"/>
    <col min="6" max="6" width="16.140625" customWidth="1"/>
    <col min="7" max="7" width="18" customWidth="1"/>
    <col min="8" max="8" width="19.42578125" customWidth="1"/>
  </cols>
  <sheetData>
    <row r="1" spans="1:13" ht="15.75">
      <c r="A1" s="111" t="s">
        <v>99</v>
      </c>
      <c r="B1" s="112"/>
      <c r="C1" s="56" t="s">
        <v>100</v>
      </c>
      <c r="D1" s="56" t="s">
        <v>101</v>
      </c>
      <c r="E1" s="21"/>
      <c r="F1" s="9"/>
      <c r="G1" s="9"/>
      <c r="H1" s="9"/>
      <c r="I1" s="9"/>
      <c r="J1" s="9"/>
      <c r="K1" s="9"/>
      <c r="L1" s="9"/>
      <c r="M1" s="9"/>
    </row>
    <row r="2" spans="1:13">
      <c r="A2" s="53" t="s">
        <v>102</v>
      </c>
      <c r="B2" s="57"/>
      <c r="C2" s="19"/>
      <c r="D2" s="19"/>
      <c r="E2" s="19"/>
      <c r="F2" s="9"/>
      <c r="G2" s="9"/>
      <c r="H2" s="9"/>
      <c r="I2" s="9"/>
      <c r="J2" s="9"/>
      <c r="K2" s="9"/>
      <c r="L2" s="9"/>
      <c r="M2" s="9"/>
    </row>
    <row r="3" spans="1:13">
      <c r="A3" s="53" t="s">
        <v>103</v>
      </c>
      <c r="B3" s="54"/>
      <c r="C3" s="19">
        <f>DeliveryDates!B3-DeliveryDates!B2</f>
        <v>98</v>
      </c>
      <c r="D3" s="19">
        <f>NETWORKDAYS(DeliveryDates!B2,DeliveryDates!B4)</f>
        <v>36</v>
      </c>
      <c r="E3" s="19"/>
      <c r="F3" s="9"/>
      <c r="G3" s="9"/>
      <c r="H3" s="9"/>
      <c r="I3" s="19"/>
    </row>
    <row r="4" spans="1:13">
      <c r="A4" s="53" t="s">
        <v>104</v>
      </c>
      <c r="B4" s="54"/>
      <c r="C4" s="19"/>
      <c r="D4" s="19"/>
      <c r="E4" s="19"/>
      <c r="F4" s="9"/>
      <c r="G4" s="9"/>
      <c r="H4" s="9"/>
      <c r="I4" s="19"/>
    </row>
    <row r="5" spans="1:13">
      <c r="A5" s="53" t="s">
        <v>105</v>
      </c>
      <c r="B5" s="54"/>
      <c r="C5" s="19"/>
      <c r="D5" s="19"/>
      <c r="E5" s="19"/>
      <c r="F5" s="19"/>
      <c r="G5" s="19"/>
      <c r="H5" s="19"/>
      <c r="I5" s="19"/>
    </row>
    <row r="6" spans="1:13">
      <c r="A6" s="53" t="s">
        <v>106</v>
      </c>
      <c r="B6" s="54"/>
      <c r="C6" s="19"/>
      <c r="D6" s="19"/>
      <c r="E6" s="19"/>
      <c r="F6" s="19"/>
      <c r="G6" s="19"/>
      <c r="H6" s="19"/>
      <c r="I6" s="19"/>
    </row>
    <row r="7" spans="1:13">
      <c r="A7" s="19"/>
      <c r="B7" s="19"/>
      <c r="C7" s="19"/>
      <c r="D7" s="19"/>
      <c r="E7" s="19"/>
      <c r="F7" s="19"/>
      <c r="G7" s="19"/>
      <c r="H7" s="19"/>
      <c r="I7" s="19"/>
    </row>
    <row r="8" spans="1:13">
      <c r="A8" s="20" t="s">
        <v>107</v>
      </c>
      <c r="B8" s="22">
        <f>C3</f>
        <v>98</v>
      </c>
      <c r="C8" s="19"/>
      <c r="D8" s="19"/>
      <c r="E8" s="19"/>
      <c r="F8" s="19"/>
      <c r="G8" s="19"/>
      <c r="H8" s="19"/>
      <c r="I8" s="19"/>
    </row>
    <row r="9" spans="1:13">
      <c r="A9" s="20" t="s">
        <v>108</v>
      </c>
      <c r="B9" s="24">
        <v>0</v>
      </c>
      <c r="C9" s="19"/>
      <c r="D9" s="19"/>
      <c r="E9" s="19"/>
      <c r="F9" s="19"/>
      <c r="G9" s="19"/>
      <c r="H9" s="19"/>
      <c r="I9" s="19"/>
    </row>
    <row r="10" spans="1:13">
      <c r="A10" s="20" t="s">
        <v>109</v>
      </c>
      <c r="B10" s="20">
        <v>3</v>
      </c>
      <c r="C10" s="19"/>
      <c r="D10" s="19"/>
      <c r="E10" s="19"/>
      <c r="F10" s="19"/>
      <c r="G10" s="19"/>
      <c r="H10" s="19"/>
      <c r="I10" s="19"/>
    </row>
    <row r="11" spans="1:13">
      <c r="A11" s="20" t="s">
        <v>110</v>
      </c>
      <c r="B11" s="20">
        <v>0.05</v>
      </c>
      <c r="C11" s="19"/>
      <c r="D11" s="19"/>
      <c r="E11" s="19"/>
      <c r="F11" s="19"/>
      <c r="G11" s="19"/>
      <c r="H11" s="19"/>
      <c r="I11" s="19"/>
    </row>
  </sheetData>
  <mergeCells count="1">
    <mergeCell ref="A1:B1"/>
  </mergeCells>
  <conditionalFormatting sqref="I2">
    <cfRule type="cellIs" dxfId="29" priority="1" operator="lessThan">
      <formula>0</formula>
    </cfRule>
  </conditionalFormatting>
  <conditionalFormatting sqref="I3">
    <cfRule type="cellIs" dxfId="28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topLeftCell="B1" zoomScale="30" zoomScaleNormal="30" workbookViewId="0">
      <pane ySplit="1" topLeftCell="A2" activePane="bottomLeft" state="frozen"/>
      <selection pane="bottomLeft" activeCell="C7" sqref="C7"/>
    </sheetView>
  </sheetViews>
  <sheetFormatPr defaultColWidth="32.85546875" defaultRowHeight="54" customHeight="1"/>
  <cols>
    <col min="1" max="1" width="42.140625" style="42" customWidth="1"/>
    <col min="2" max="2" width="44.85546875" style="42" customWidth="1"/>
    <col min="3" max="3" width="52.140625" style="42" customWidth="1"/>
    <col min="4" max="4" width="48.5703125" style="42" customWidth="1"/>
    <col min="5" max="5" width="55.42578125" style="42" customWidth="1"/>
    <col min="6" max="6" width="47.140625" style="42" customWidth="1"/>
    <col min="7" max="7" width="49.5703125" style="42" customWidth="1"/>
    <col min="8" max="8" width="46.28515625" style="42" customWidth="1"/>
    <col min="9" max="9" width="44.7109375" style="42" customWidth="1"/>
    <col min="10" max="10" width="60.7109375" style="45" customWidth="1"/>
    <col min="11" max="11" width="64.28515625" style="45" customWidth="1"/>
    <col min="12" max="16384" width="32.85546875" style="42"/>
  </cols>
  <sheetData>
    <row r="1" spans="1:13" ht="89.25" customHeight="1">
      <c r="A1" s="9"/>
      <c r="B1" s="58" t="s">
        <v>23</v>
      </c>
      <c r="C1" s="59" t="s">
        <v>24</v>
      </c>
      <c r="D1" s="59" t="s">
        <v>83</v>
      </c>
      <c r="E1" s="59" t="s">
        <v>25</v>
      </c>
      <c r="F1" s="59" t="s">
        <v>26</v>
      </c>
      <c r="G1" s="59" t="s">
        <v>27</v>
      </c>
      <c r="H1" s="59" t="s">
        <v>30</v>
      </c>
      <c r="I1" s="59" t="s">
        <v>82</v>
      </c>
      <c r="J1" s="59" t="s">
        <v>28</v>
      </c>
      <c r="K1" s="60" t="s">
        <v>81</v>
      </c>
      <c r="L1" s="41" t="s">
        <v>116</v>
      </c>
      <c r="M1" s="9"/>
    </row>
    <row r="2" spans="1:13" ht="54" customHeight="1">
      <c r="B2" s="48" t="s">
        <v>124</v>
      </c>
      <c r="C2" s="49" t="s">
        <v>159</v>
      </c>
      <c r="D2" s="49">
        <f>COUNTIF(HolidaysCalc!G6:G106, "1")</f>
        <v>4</v>
      </c>
      <c r="E2" s="49">
        <v>2</v>
      </c>
      <c r="F2" s="49">
        <f>TeamCapacity1!B9</f>
        <v>0</v>
      </c>
      <c r="G2" s="49">
        <f>TeamCapacity1!B11*TeamCapacity1!D3</f>
        <v>1.8</v>
      </c>
      <c r="H2" s="49">
        <f>COUNTIF('Main Page'!E2:E31, "Giorgio")/20 * 100</f>
        <v>10</v>
      </c>
      <c r="I2" s="49">
        <v>0</v>
      </c>
      <c r="J2" s="50">
        <f>TeamCapacity1!$D$3-Table2[[#This Row],[Holidays-office closed]]-Table2[[#This Row],[Planed time off]]-Table2[[#This Row],[Support and unexpected]]-Table2[[#This Row],[R&amp;D days]]-Table2[[#This Row],[Extra hours]]</f>
        <v>28.2</v>
      </c>
      <c r="K2" s="49">
        <f>Table2[[#This Row],[Raw productivity days]]/100*Table2[[#This Row],[Productivity factor %]]</f>
        <v>2.82</v>
      </c>
      <c r="L2" s="43"/>
    </row>
    <row r="3" spans="1:13" ht="54" customHeight="1">
      <c r="B3" s="48" t="s">
        <v>127</v>
      </c>
      <c r="C3" s="49" t="s">
        <v>159</v>
      </c>
      <c r="D3" s="49">
        <f>COUNTIF(HolidaysCalc!B6:B106, "1")</f>
        <v>8</v>
      </c>
      <c r="E3" s="49">
        <v>2</v>
      </c>
      <c r="F3" s="49">
        <f>TeamCapacity1!B9</f>
        <v>0</v>
      </c>
      <c r="G3" s="49">
        <f>TeamCapacity1!B11*TeamCapacity1!D3</f>
        <v>1.8</v>
      </c>
      <c r="H3" s="49">
        <f>COUNTIF('Main Page'!E2:E31, "Simone")/20 * 100</f>
        <v>40</v>
      </c>
      <c r="I3" s="49">
        <v>3</v>
      </c>
      <c r="J3" s="50">
        <f>TeamCapacity1!$D$3-Table2[[#This Row],[Holidays-office closed]]-Table2[[#This Row],[Planed time off]]-Table2[[#This Row],[Support and unexpected]]-Table2[[#This Row],[R&amp;D days]]-Table2[[#This Row],[Extra hours]]</f>
        <v>21.2</v>
      </c>
      <c r="K3" s="49">
        <f>Table2[[#This Row],[Raw productivity days]]/100*Table2[[#This Row],[Productivity factor %]]</f>
        <v>8.48</v>
      </c>
      <c r="L3" s="43"/>
    </row>
    <row r="4" spans="1:13" ht="54" customHeight="1">
      <c r="B4" s="48" t="s">
        <v>168</v>
      </c>
      <c r="C4" s="49" t="s">
        <v>160</v>
      </c>
      <c r="D4" s="49">
        <f>COUNTIF(HolidaysCalc!D6:D106, "1")</f>
        <v>4</v>
      </c>
      <c r="E4" s="49">
        <v>2</v>
      </c>
      <c r="F4" s="49">
        <f>TeamCapacity1!B9</f>
        <v>0</v>
      </c>
      <c r="G4" s="49">
        <f>TeamCapacity1!B11*TeamCapacity1!D3</f>
        <v>1.8</v>
      </c>
      <c r="H4" s="49">
        <f>COUNTIF('Main Page'!E2:E31, "Martin")/20 * 100</f>
        <v>0</v>
      </c>
      <c r="I4" s="49">
        <v>1</v>
      </c>
      <c r="J4" s="50">
        <f>TeamCapacity1!$D$3-Table2[[#This Row],[Holidays-office closed]]-Table2[[#This Row],[Planed time off]]-Table2[[#This Row],[Support and unexpected]]-Table2[[#This Row],[R&amp;D days]]-Table2[[#This Row],[Extra hours]]</f>
        <v>27.2</v>
      </c>
      <c r="K4" s="49">
        <f>Table2[[#This Row],[Raw productivity days]]/100*Table2[[#This Row],[Productivity factor %]]</f>
        <v>0</v>
      </c>
      <c r="L4" s="43"/>
    </row>
    <row r="5" spans="1:13" ht="54" customHeight="1">
      <c r="B5" s="48" t="s">
        <v>123</v>
      </c>
      <c r="C5" s="49" t="s">
        <v>29</v>
      </c>
      <c r="D5" s="49">
        <f>COUNTIF(HolidaysCalc!C6:C106, "1")</f>
        <v>4</v>
      </c>
      <c r="E5" s="49">
        <v>2</v>
      </c>
      <c r="F5" s="49">
        <f>TeamCapacity1!B9</f>
        <v>0</v>
      </c>
      <c r="G5" s="49">
        <f>TeamCapacity1!B11*TeamCapacity1!D3</f>
        <v>1.8</v>
      </c>
      <c r="H5" s="49">
        <f>COUNTIF('Main Page'!E2:E31, "Aidos")/20 * 100</f>
        <v>35</v>
      </c>
      <c r="I5" s="49">
        <v>3</v>
      </c>
      <c r="J5" s="50">
        <f>TeamCapacity1!$D$3-Table2[[#This Row],[Holidays-office closed]]-Table2[[#This Row],[Planed time off]]-Table2[[#This Row],[Support and unexpected]]-Table2[[#This Row],[R&amp;D days]]-Table2[[#This Row],[Extra hours]]</f>
        <v>25.2</v>
      </c>
      <c r="K5" s="49">
        <f>Table2[[#This Row],[Raw productivity days]]/100*Table2[[#This Row],[Productivity factor %]]</f>
        <v>8.82</v>
      </c>
      <c r="L5" s="43"/>
    </row>
    <row r="6" spans="1:13" ht="54" customHeight="1">
      <c r="B6" s="48" t="s">
        <v>128</v>
      </c>
      <c r="C6" s="49" t="s">
        <v>29</v>
      </c>
      <c r="D6" s="49">
        <f>COUNTIF(HolidaysCalc!E6:E106, "1")</f>
        <v>2</v>
      </c>
      <c r="E6" s="49">
        <v>2</v>
      </c>
      <c r="F6" s="49">
        <f>TeamCapacity1!B9</f>
        <v>0</v>
      </c>
      <c r="G6" s="49">
        <f>TeamCapacity1!B11*TeamCapacity1!D3</f>
        <v>1.8</v>
      </c>
      <c r="H6" s="49">
        <f>COUNTIF('Main Page'!E2:E31, "Kydyrali")/20 * 100</f>
        <v>10</v>
      </c>
      <c r="I6" s="49">
        <v>0</v>
      </c>
      <c r="J6" s="50">
        <f>TeamCapacity1!$D$3-Table2[[#This Row],[Holidays-office closed]]-Table2[[#This Row],[Planed time off]]-Table2[[#This Row],[Support and unexpected]]-Table2[[#This Row],[R&amp;D days]]-Table2[[#This Row],[Extra hours]]</f>
        <v>30.2</v>
      </c>
      <c r="K6" s="49">
        <f>Table2[[#This Row],[Raw productivity days]]/100*Table2[[#This Row],[Productivity factor %]]</f>
        <v>3.02</v>
      </c>
      <c r="L6" s="43"/>
    </row>
    <row r="7" spans="1:13" ht="54" customHeight="1">
      <c r="B7" s="48" t="s">
        <v>125</v>
      </c>
      <c r="C7" s="49" t="s">
        <v>29</v>
      </c>
      <c r="D7" s="49">
        <f>COUNTIF(HolidaysCalc!F6:F106, "1")</f>
        <v>4</v>
      </c>
      <c r="E7" s="49">
        <v>2</v>
      </c>
      <c r="F7" s="49">
        <f>TeamCapacity1!B9</f>
        <v>0</v>
      </c>
      <c r="G7" s="49">
        <f>TeamCapacity1!B11*TeamCapacity1!D3</f>
        <v>1.8</v>
      </c>
      <c r="H7" s="49">
        <f>COUNTIF('Main Page'!E2:E31, "Alikhan")/20 * 100</f>
        <v>45</v>
      </c>
      <c r="I7" s="49">
        <v>2</v>
      </c>
      <c r="J7" s="50">
        <f>TeamCapacity1!$D$3-Table2[[#This Row],[Holidays-office closed]]-Table2[[#This Row],[Planed time off]]-Table2[[#This Row],[Support and unexpected]]-Table2[[#This Row],[R&amp;D days]]-Table2[[#This Row],[Extra hours]]</f>
        <v>26.2</v>
      </c>
      <c r="K7" s="49">
        <f>Table2[[#This Row],[Raw productivity days]]/100*Table2[[#This Row],[Productivity factor %]]</f>
        <v>11.790000000000001</v>
      </c>
      <c r="L7" s="43"/>
    </row>
    <row r="8" spans="1:13" ht="54" customHeight="1">
      <c r="B8" s="48"/>
      <c r="C8" s="49"/>
      <c r="D8" s="49"/>
      <c r="E8" s="49"/>
      <c r="F8" s="49"/>
      <c r="G8" s="49"/>
      <c r="H8" s="49"/>
      <c r="I8" s="49"/>
      <c r="J8" s="50"/>
      <c r="K8" s="49"/>
      <c r="L8" s="43"/>
    </row>
    <row r="9" spans="1:13" ht="54" customHeight="1">
      <c r="B9" s="48"/>
      <c r="C9" s="49"/>
      <c r="D9" s="49">
        <f>SUM(D2:D7)</f>
        <v>26</v>
      </c>
      <c r="E9" s="49">
        <f>SUM(E2:E7)</f>
        <v>12</v>
      </c>
      <c r="F9" s="49">
        <f>SUM(F2:F7)</f>
        <v>0</v>
      </c>
      <c r="G9" s="49">
        <f>SUM(G2:G7)</f>
        <v>10.8</v>
      </c>
      <c r="H9" s="49">
        <f>AVERAGE(H2:H7)</f>
        <v>23.333333333333332</v>
      </c>
      <c r="I9" s="49">
        <f>SUM(I2:I7)</f>
        <v>9</v>
      </c>
      <c r="J9" s="50">
        <f>SUM(J2:J7)</f>
        <v>158.19999999999999</v>
      </c>
      <c r="K9" s="49">
        <f>SUM(K2:K7)</f>
        <v>34.93</v>
      </c>
      <c r="L9" s="43"/>
    </row>
    <row r="10" spans="1:13" ht="54" customHeight="1">
      <c r="A10" s="44"/>
      <c r="J10" s="42"/>
      <c r="K10" s="42"/>
    </row>
    <row r="11" spans="1:13" ht="54" customHeight="1">
      <c r="A11" s="44"/>
      <c r="J11" s="42"/>
      <c r="K11" s="42"/>
    </row>
    <row r="12" spans="1:13" ht="54" customHeight="1">
      <c r="A12" s="44"/>
      <c r="J12" s="42"/>
      <c r="K12" s="42"/>
    </row>
    <row r="13" spans="1:13" ht="54" customHeight="1">
      <c r="A13" s="44"/>
      <c r="J13" s="42"/>
      <c r="K13" s="42"/>
    </row>
    <row r="14" spans="1:13" ht="54" customHeight="1">
      <c r="A14" s="44"/>
      <c r="J14" s="42"/>
      <c r="K14" s="42"/>
    </row>
    <row r="15" spans="1:13" ht="54" customHeight="1">
      <c r="A15" s="44"/>
      <c r="J15" s="42"/>
      <c r="K15" s="42"/>
    </row>
    <row r="16" spans="1:13" ht="54" customHeight="1">
      <c r="A16" s="44"/>
      <c r="J16" s="42"/>
      <c r="K16" s="42"/>
    </row>
    <row r="17" spans="1:11" ht="54" customHeight="1">
      <c r="A17" s="46"/>
      <c r="J17" s="42"/>
      <c r="K17" s="42"/>
    </row>
    <row r="18" spans="1:11" ht="54" customHeight="1">
      <c r="A18" s="47"/>
      <c r="B18" s="46"/>
      <c r="C18" s="46"/>
      <c r="D18" s="46"/>
      <c r="E18" s="46"/>
      <c r="F18" s="46"/>
      <c r="G18" s="46"/>
      <c r="H18" s="46"/>
      <c r="I18" s="46"/>
      <c r="J18" s="46"/>
    </row>
  </sheetData>
  <dataConsolidate>
    <dataRefs count="1">
      <dataRef ref="A1:A6" sheet="RootForDates"/>
    </dataRefs>
  </dataConsolid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"/>
  <sheetViews>
    <sheetView zoomScale="90" zoomScaleNormal="90" workbookViewId="0">
      <selection activeCell="J28" sqref="J28"/>
    </sheetView>
  </sheetViews>
  <sheetFormatPr defaultRowHeight="15"/>
  <cols>
    <col min="3" max="3" width="10" customWidth="1"/>
    <col min="4" max="4" width="10.140625" customWidth="1"/>
  </cols>
  <sheetData>
    <row r="1" spans="1:5" ht="15.75" thickBot="1"/>
    <row r="2" spans="1:5" ht="15.75" thickTop="1">
      <c r="A2" s="113" t="s">
        <v>95</v>
      </c>
      <c r="B2" s="113" t="s">
        <v>94</v>
      </c>
      <c r="C2" s="113" t="s">
        <v>4</v>
      </c>
      <c r="E2" s="28"/>
    </row>
    <row r="3" spans="1:5" ht="15.75" thickBot="1">
      <c r="A3" s="114"/>
      <c r="B3" s="114"/>
      <c r="C3" s="114"/>
      <c r="E3" s="28"/>
    </row>
    <row r="4" spans="1:5" ht="15.75" thickTop="1">
      <c r="A4" s="115">
        <f>COUNTIF('Main Page'!M2:M31, "Planning")/20*100</f>
        <v>40</v>
      </c>
      <c r="B4" s="115">
        <f>COUNTIF('Main Page'!M2:M31, "Developing")/20*100</f>
        <v>80</v>
      </c>
      <c r="C4" s="115">
        <f>COUNTIF('Main Page'!M2:M31, "Testing")/20*100</f>
        <v>30</v>
      </c>
      <c r="E4" s="28"/>
    </row>
    <row r="5" spans="1:5" ht="15.75" thickBot="1">
      <c r="A5" s="116"/>
      <c r="B5" s="116"/>
      <c r="C5" s="116"/>
      <c r="E5" s="28"/>
    </row>
    <row r="6" spans="1:5" ht="15.75" thickTop="1"/>
    <row r="9" spans="1:5" ht="15.75" thickBot="1"/>
    <row r="10" spans="1:5" ht="15.75" thickTop="1">
      <c r="A10" s="113" t="s">
        <v>40</v>
      </c>
      <c r="B10" s="113" t="s">
        <v>53</v>
      </c>
      <c r="C10" s="113" t="s">
        <v>72</v>
      </c>
    </row>
    <row r="11" spans="1:5" ht="15.75" thickBot="1">
      <c r="A11" s="114"/>
      <c r="B11" s="114"/>
      <c r="C11" s="114"/>
    </row>
    <row r="12" spans="1:5" ht="15.75" thickTop="1">
      <c r="A12" s="115">
        <f>COUNTIF('Main Page'!H2:H31, "TBD")/20*100</f>
        <v>20</v>
      </c>
      <c r="B12" s="115">
        <f>COUNTIF('Main Page'!H2:H31, "DONE")/20*100</f>
        <v>85</v>
      </c>
      <c r="C12" s="115">
        <f>COUNTIF('Main Page'!H2:H31, "In Progress")/20*100</f>
        <v>45</v>
      </c>
    </row>
    <row r="13" spans="1:5" ht="15.75" thickBot="1">
      <c r="A13" s="116"/>
      <c r="B13" s="116"/>
      <c r="C13" s="116"/>
    </row>
    <row r="14" spans="1:5" ht="15.75" thickTop="1"/>
  </sheetData>
  <mergeCells count="12">
    <mergeCell ref="A2:A3"/>
    <mergeCell ref="A4:A5"/>
    <mergeCell ref="A10:A11"/>
    <mergeCell ref="A12:A13"/>
    <mergeCell ref="B10:B11"/>
    <mergeCell ref="B2:B3"/>
    <mergeCell ref="C2:C3"/>
    <mergeCell ref="C10:C11"/>
    <mergeCell ref="B12:B13"/>
    <mergeCell ref="C12:C13"/>
    <mergeCell ref="B4:B5"/>
    <mergeCell ref="C4:C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1"/>
  <sheetViews>
    <sheetView workbookViewId="0">
      <pane ySplit="2" topLeftCell="A3" activePane="bottomLeft" state="frozen"/>
      <selection pane="bottomLeft" activeCell="D9" sqref="D9"/>
    </sheetView>
  </sheetViews>
  <sheetFormatPr defaultColWidth="12.5703125" defaultRowHeight="15" customHeight="1"/>
  <cols>
    <col min="1" max="1" width="34.28515625" customWidth="1"/>
    <col min="2" max="2" width="29.7109375" customWidth="1"/>
    <col min="3" max="3" width="37.7109375" customWidth="1"/>
    <col min="4" max="4" width="51.28515625" customWidth="1"/>
    <col min="5" max="26" width="7.5703125" customWidth="1"/>
  </cols>
  <sheetData>
    <row r="1" spans="1:4" ht="15" customHeight="1">
      <c r="A1" s="121"/>
      <c r="B1" s="123" t="s">
        <v>34</v>
      </c>
      <c r="C1" s="123" t="s">
        <v>35</v>
      </c>
      <c r="D1" s="122"/>
    </row>
    <row r="2" spans="1:4" ht="15" customHeight="1">
      <c r="A2" s="122"/>
      <c r="B2" s="122"/>
      <c r="C2" s="67" t="s">
        <v>36</v>
      </c>
      <c r="D2" s="67" t="s">
        <v>37</v>
      </c>
    </row>
    <row r="3" spans="1:4" ht="15" customHeight="1">
      <c r="A3" s="68" t="s">
        <v>38</v>
      </c>
      <c r="B3" s="68" t="s">
        <v>39</v>
      </c>
      <c r="C3" s="16" t="s">
        <v>98</v>
      </c>
      <c r="D3" s="14" t="str">
        <f>IF(1,C3)</f>
        <v>1,1,1</v>
      </c>
    </row>
    <row r="4" spans="1:4" ht="15" customHeight="1">
      <c r="A4" s="68" t="s">
        <v>41</v>
      </c>
      <c r="B4" s="68" t="s">
        <v>39</v>
      </c>
      <c r="C4" s="2" t="s">
        <v>42</v>
      </c>
      <c r="D4" s="3" t="s">
        <v>40</v>
      </c>
    </row>
    <row r="5" spans="1:4" ht="15" customHeight="1">
      <c r="A5" s="68" t="s">
        <v>43</v>
      </c>
      <c r="B5" s="68" t="s">
        <v>44</v>
      </c>
      <c r="C5" s="13">
        <v>43110</v>
      </c>
      <c r="D5" s="13">
        <v>43125</v>
      </c>
    </row>
    <row r="6" spans="1:4" ht="15" customHeight="1">
      <c r="A6" s="68" t="s">
        <v>45</v>
      </c>
      <c r="B6" s="68" t="s">
        <v>46</v>
      </c>
      <c r="C6" s="15" t="s">
        <v>53</v>
      </c>
      <c r="D6" s="4" t="s">
        <v>40</v>
      </c>
    </row>
    <row r="7" spans="1:4" ht="15" customHeight="1">
      <c r="A7" s="68" t="s">
        <v>47</v>
      </c>
      <c r="B7" s="68" t="s">
        <v>48</v>
      </c>
      <c r="C7" s="2" t="s">
        <v>125</v>
      </c>
      <c r="D7" s="2" t="s">
        <v>128</v>
      </c>
    </row>
    <row r="8" spans="1:4" ht="15" customHeight="1">
      <c r="A8" s="69"/>
      <c r="B8" s="68" t="s">
        <v>49</v>
      </c>
      <c r="C8" s="2" t="s">
        <v>123</v>
      </c>
      <c r="D8" s="2" t="s">
        <v>124</v>
      </c>
    </row>
    <row r="9" spans="1:4" ht="15" customHeight="1">
      <c r="A9" s="69"/>
      <c r="B9" s="68" t="s">
        <v>46</v>
      </c>
      <c r="C9" s="2" t="s">
        <v>168</v>
      </c>
      <c r="D9" s="2" t="s">
        <v>127</v>
      </c>
    </row>
    <row r="10" spans="1:4" ht="15" customHeight="1">
      <c r="A10" s="68" t="s">
        <v>50</v>
      </c>
      <c r="B10" s="68" t="s">
        <v>51</v>
      </c>
      <c r="C10" s="124" t="s">
        <v>165</v>
      </c>
      <c r="D10" s="125"/>
    </row>
    <row r="11" spans="1:4" ht="15" customHeight="1">
      <c r="A11" s="68" t="s">
        <v>52</v>
      </c>
      <c r="B11" s="68" t="s">
        <v>39</v>
      </c>
      <c r="C11" s="15" t="s">
        <v>53</v>
      </c>
      <c r="D11" s="5" t="s">
        <v>40</v>
      </c>
    </row>
    <row r="12" spans="1:4" ht="15" customHeight="1">
      <c r="A12" s="69"/>
      <c r="B12" s="68" t="s">
        <v>51</v>
      </c>
      <c r="C12" s="15" t="s">
        <v>53</v>
      </c>
      <c r="D12" s="5" t="s">
        <v>40</v>
      </c>
    </row>
    <row r="13" spans="1:4" ht="15" customHeight="1">
      <c r="A13" s="69"/>
      <c r="B13" s="68" t="s">
        <v>46</v>
      </c>
      <c r="C13" s="15" t="s">
        <v>53</v>
      </c>
      <c r="D13" s="5" t="s">
        <v>40</v>
      </c>
    </row>
    <row r="14" spans="1:4" ht="15" customHeight="1">
      <c r="A14" s="68" t="s">
        <v>54</v>
      </c>
      <c r="B14" s="68" t="s">
        <v>46</v>
      </c>
      <c r="C14" s="2" t="s">
        <v>55</v>
      </c>
      <c r="D14" s="2" t="s">
        <v>56</v>
      </c>
    </row>
    <row r="15" spans="1:4" ht="15" customHeight="1">
      <c r="A15" s="126" t="s">
        <v>57</v>
      </c>
      <c r="B15" s="126"/>
      <c r="C15" s="126"/>
      <c r="D15" s="126"/>
    </row>
    <row r="16" spans="1:4" ht="15" customHeight="1">
      <c r="A16" s="70" t="s">
        <v>89</v>
      </c>
      <c r="B16" s="71" t="s">
        <v>93</v>
      </c>
      <c r="C16" s="6"/>
      <c r="D16" s="6"/>
    </row>
    <row r="17" spans="1:4" s="12" customFormat="1" ht="15" customHeight="1">
      <c r="A17" s="70" t="s">
        <v>86</v>
      </c>
      <c r="B17" s="71" t="s">
        <v>91</v>
      </c>
      <c r="C17" s="7" t="s">
        <v>53</v>
      </c>
      <c r="D17" s="7" t="s">
        <v>40</v>
      </c>
    </row>
    <row r="18" spans="1:4" s="12" customFormat="1" ht="15" customHeight="1">
      <c r="A18" s="70" t="s">
        <v>87</v>
      </c>
      <c r="B18" s="71" t="s">
        <v>91</v>
      </c>
      <c r="C18" s="7" t="s">
        <v>53</v>
      </c>
      <c r="D18" s="7" t="s">
        <v>40</v>
      </c>
    </row>
    <row r="19" spans="1:4" s="12" customFormat="1" ht="15" customHeight="1">
      <c r="A19" s="70" t="s">
        <v>88</v>
      </c>
      <c r="B19" s="71" t="s">
        <v>92</v>
      </c>
      <c r="C19" s="7" t="s">
        <v>53</v>
      </c>
      <c r="D19" s="7" t="s">
        <v>40</v>
      </c>
    </row>
    <row r="20" spans="1:4" s="12" customFormat="1" ht="15" customHeight="1">
      <c r="A20" s="70" t="s">
        <v>90</v>
      </c>
      <c r="B20" s="71" t="s">
        <v>51</v>
      </c>
      <c r="C20" s="7" t="s">
        <v>53</v>
      </c>
      <c r="D20" s="7" t="s">
        <v>40</v>
      </c>
    </row>
    <row r="21" spans="1:4" ht="15" customHeight="1">
      <c r="A21" s="72" t="s">
        <v>58</v>
      </c>
      <c r="B21" s="69"/>
      <c r="C21" s="12"/>
      <c r="D21" s="12"/>
    </row>
    <row r="22" spans="1:4" ht="15" customHeight="1">
      <c r="A22" s="73" t="s">
        <v>59</v>
      </c>
      <c r="B22" s="73" t="s">
        <v>46</v>
      </c>
      <c r="C22" s="7" t="s">
        <v>53</v>
      </c>
      <c r="D22" s="7" t="s">
        <v>40</v>
      </c>
    </row>
    <row r="23" spans="1:4" ht="15" customHeight="1">
      <c r="A23" s="73" t="s">
        <v>60</v>
      </c>
      <c r="B23" s="73" t="s">
        <v>61</v>
      </c>
      <c r="C23" s="7" t="s">
        <v>53</v>
      </c>
      <c r="D23" s="7" t="s">
        <v>40</v>
      </c>
    </row>
    <row r="24" spans="1:4" ht="15" customHeight="1">
      <c r="A24" s="73" t="s">
        <v>62</v>
      </c>
      <c r="B24" s="73" t="s">
        <v>46</v>
      </c>
      <c r="C24" s="7" t="s">
        <v>53</v>
      </c>
      <c r="D24" s="7" t="s">
        <v>40</v>
      </c>
    </row>
    <row r="25" spans="1:4" ht="15" customHeight="1">
      <c r="A25" s="73" t="s">
        <v>63</v>
      </c>
      <c r="B25" s="73" t="s">
        <v>46</v>
      </c>
      <c r="C25" s="7" t="s">
        <v>53</v>
      </c>
      <c r="D25" s="7" t="s">
        <v>40</v>
      </c>
    </row>
    <row r="26" spans="1:4" ht="15" customHeight="1">
      <c r="A26" s="119" t="s">
        <v>64</v>
      </c>
      <c r="B26" s="119"/>
      <c r="C26" s="119"/>
      <c r="D26" s="119"/>
    </row>
    <row r="27" spans="1:4" ht="15" customHeight="1">
      <c r="A27" s="73" t="s">
        <v>65</v>
      </c>
      <c r="B27" s="117" t="s">
        <v>166</v>
      </c>
      <c r="C27" s="118"/>
    </row>
    <row r="28" spans="1:4" ht="15" customHeight="1">
      <c r="A28" s="119" t="s">
        <v>66</v>
      </c>
      <c r="B28" s="120"/>
      <c r="C28" s="120"/>
      <c r="D28" s="120"/>
    </row>
    <row r="29" spans="1:4" ht="15" customHeight="1">
      <c r="A29" s="73" t="s">
        <v>67</v>
      </c>
      <c r="B29" s="73" t="s">
        <v>39</v>
      </c>
      <c r="C29" s="8" t="s">
        <v>53</v>
      </c>
      <c r="D29" s="8" t="s">
        <v>40</v>
      </c>
    </row>
    <row r="30" spans="1:4" ht="15" customHeight="1">
      <c r="A30" s="73" t="s">
        <v>68</v>
      </c>
      <c r="B30" s="73" t="s">
        <v>46</v>
      </c>
      <c r="C30" s="8" t="s">
        <v>40</v>
      </c>
      <c r="D30" s="8" t="s">
        <v>40</v>
      </c>
    </row>
    <row r="31" spans="1:4" ht="15" customHeight="1">
      <c r="A31" s="72" t="s">
        <v>69</v>
      </c>
      <c r="B31" s="118" t="s">
        <v>70</v>
      </c>
      <c r="C31" s="118"/>
      <c r="D31" s="118"/>
    </row>
  </sheetData>
  <mergeCells count="9">
    <mergeCell ref="B27:C27"/>
    <mergeCell ref="A28:D28"/>
    <mergeCell ref="B31:D31"/>
    <mergeCell ref="A1:A2"/>
    <mergeCell ref="B1:B2"/>
    <mergeCell ref="C1:D1"/>
    <mergeCell ref="C10:D10"/>
    <mergeCell ref="A15:D15"/>
    <mergeCell ref="A26:D26"/>
  </mergeCells>
  <conditionalFormatting sqref="C11:D13">
    <cfRule type="containsText" dxfId="14" priority="15" operator="containsText" text="DONE">
      <formula>NOT(ISERROR(SEARCH("DONE",C11)))</formula>
    </cfRule>
  </conditionalFormatting>
  <conditionalFormatting sqref="C11:D13">
    <cfRule type="containsText" dxfId="13" priority="14" operator="containsText" text="TBD">
      <formula>NOT(ISERROR(SEARCH("TBD",C11)))</formula>
    </cfRule>
  </conditionalFormatting>
  <conditionalFormatting sqref="C11:D13">
    <cfRule type="containsText" dxfId="12" priority="12" operator="containsText" text="DONE">
      <formula>NOT(ISERROR(SEARCH("DONE",C11)))</formula>
    </cfRule>
    <cfRule type="containsText" dxfId="11" priority="13" operator="containsText" text="DONE">
      <formula>NOT(ISERROR(SEARCH("DONE",C11)))</formula>
    </cfRule>
  </conditionalFormatting>
  <conditionalFormatting sqref="C6">
    <cfRule type="containsText" dxfId="10" priority="9" operator="containsText" text="TBD">
      <formula>NOT(ISERROR(SEARCH("TBD",C6)))</formula>
    </cfRule>
    <cfRule type="containsText" dxfId="9" priority="10" operator="containsText" text="DONE">
      <formula>NOT(ISERROR(SEARCH("DONE",C6)))</formula>
    </cfRule>
    <cfRule type="expression" dxfId="8" priority="11">
      <formula>C11="DONE"</formula>
    </cfRule>
  </conditionalFormatting>
  <conditionalFormatting sqref="D6">
    <cfRule type="containsText" dxfId="7" priority="8" operator="containsText" text="DONE">
      <formula>NOT(ISERROR(SEARCH("DONE",D6)))</formula>
    </cfRule>
  </conditionalFormatting>
  <conditionalFormatting sqref="C17:D20">
    <cfRule type="containsText" dxfId="6" priority="6" operator="containsText" text="TBD">
      <formula>NOT(ISERROR(SEARCH("TBD",C17)))</formula>
    </cfRule>
    <cfRule type="containsText" dxfId="5" priority="7" operator="containsText" text="DONE                                              ">
      <formula>NOT(ISERROR(SEARCH("DONE                                              ",C17)))</formula>
    </cfRule>
  </conditionalFormatting>
  <conditionalFormatting sqref="C22:D25">
    <cfRule type="containsText" dxfId="4" priority="4" operator="containsText" text="TBD">
      <formula>NOT(ISERROR(SEARCH("TBD",C22)))</formula>
    </cfRule>
    <cfRule type="containsText" dxfId="3" priority="5" operator="containsText" text="DONE                                              ">
      <formula>NOT(ISERROR(SEARCH("DONE                                              ",C22)))</formula>
    </cfRule>
  </conditionalFormatting>
  <conditionalFormatting sqref="C29:D30">
    <cfRule type="containsText" dxfId="2" priority="2" operator="containsText" text="TBD">
      <formula>NOT(ISERROR(SEARCH("TBD",C29)))</formula>
    </cfRule>
    <cfRule type="containsText" dxfId="1" priority="3" operator="containsText" text="DONE">
      <formula>NOT(ISERROR(SEARCH("DONE",C29)))</formula>
    </cfRule>
  </conditionalFormatting>
  <conditionalFormatting sqref="D4">
    <cfRule type="containsText" dxfId="0" priority="1" operator="containsText" text="DONE">
      <formula>NOT(ISERROR(SEARCH("DONE",D4)))</formula>
    </cfRule>
  </conditionalFormatting>
  <dataValidations count="1">
    <dataValidation type="list" allowBlank="1" showInputMessage="1" showErrorMessage="1" sqref="D4 C6:D6 C11:D13 C17:D20 C22:D25 C29:D30" xr:uid="{00000000-0002-0000-0500-000000000000}">
      <formula1>"TBD,DONE"</formula1>
    </dataValidation>
  </dataValidations>
  <hyperlinks>
    <hyperlink ref="B27" r:id="rId1" xr:uid="{00000000-0004-0000-0500-000000000000}"/>
    <hyperlink ref="C10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9"/>
  <sheetViews>
    <sheetView workbookViewId="0">
      <selection activeCell="B4" sqref="B4"/>
    </sheetView>
  </sheetViews>
  <sheetFormatPr defaultRowHeight="15"/>
  <cols>
    <col min="1" max="1" width="12.7109375" customWidth="1"/>
    <col min="2" max="2" width="17.7109375" style="25" customWidth="1"/>
    <col min="3" max="3" width="13.7109375" style="25" customWidth="1"/>
    <col min="4" max="5" width="8.85546875" style="25"/>
    <col min="6" max="6" width="9.85546875" style="25" customWidth="1"/>
    <col min="7" max="7" width="8.85546875" style="25"/>
  </cols>
  <sheetData>
    <row r="1" spans="1:7">
      <c r="A1" s="23" t="s">
        <v>113</v>
      </c>
      <c r="B1" s="27" t="s">
        <v>114</v>
      </c>
    </row>
    <row r="2" spans="1:7">
      <c r="A2" s="8" t="s">
        <v>159</v>
      </c>
      <c r="B2" s="25">
        <f>SUM(TeamCapacity2!D2:D3)</f>
        <v>12</v>
      </c>
    </row>
    <row r="3" spans="1:7">
      <c r="A3" s="8" t="s">
        <v>29</v>
      </c>
      <c r="B3" s="25">
        <f>SUM(TeamCapacity2!D5:D7)</f>
        <v>10</v>
      </c>
    </row>
    <row r="4" spans="1:7">
      <c r="A4" s="8" t="s">
        <v>160</v>
      </c>
      <c r="B4" s="25">
        <f>SUM(TeamCapacity2!D4)</f>
        <v>4</v>
      </c>
    </row>
    <row r="5" spans="1:7" ht="16.5">
      <c r="A5" s="65" t="s">
        <v>115</v>
      </c>
      <c r="B5" s="66" t="s">
        <v>125</v>
      </c>
      <c r="C5" s="66" t="s">
        <v>128</v>
      </c>
      <c r="D5" s="66" t="s">
        <v>126</v>
      </c>
      <c r="E5" s="66" t="s">
        <v>123</v>
      </c>
      <c r="F5" s="66" t="s">
        <v>167</v>
      </c>
      <c r="G5" s="66" t="s">
        <v>127</v>
      </c>
    </row>
    <row r="6" spans="1:7" ht="16.5">
      <c r="A6" s="64">
        <v>43009</v>
      </c>
    </row>
    <row r="7" spans="1:7" ht="16.5">
      <c r="A7" s="64">
        <v>43010</v>
      </c>
      <c r="B7" s="25">
        <v>1</v>
      </c>
      <c r="E7" s="25">
        <v>1</v>
      </c>
    </row>
    <row r="8" spans="1:7" ht="16.5">
      <c r="A8" s="64">
        <v>43011</v>
      </c>
      <c r="C8" s="25">
        <v>1</v>
      </c>
    </row>
    <row r="9" spans="1:7" ht="16.5">
      <c r="A9" s="64">
        <v>43012</v>
      </c>
      <c r="F9" s="25">
        <v>1</v>
      </c>
    </row>
    <row r="10" spans="1:7" ht="17.25" thickBot="1">
      <c r="A10" s="64">
        <v>43013</v>
      </c>
    </row>
    <row r="11" spans="1:7" ht="18" thickTop="1" thickBot="1">
      <c r="A11" s="64">
        <v>43014</v>
      </c>
      <c r="B11" s="35"/>
      <c r="C11" s="35"/>
      <c r="D11" s="35"/>
      <c r="E11" s="35"/>
      <c r="F11" s="35"/>
      <c r="G11" s="35"/>
    </row>
    <row r="12" spans="1:7" ht="18" thickTop="1" thickBot="1">
      <c r="A12" s="64">
        <v>43015</v>
      </c>
      <c r="B12" s="35"/>
      <c r="C12" s="35"/>
      <c r="D12" s="35"/>
      <c r="E12" s="35"/>
      <c r="F12" s="35"/>
      <c r="G12" s="35"/>
    </row>
    <row r="13" spans="1:7" ht="17.25" thickTop="1">
      <c r="A13" s="64">
        <v>43016</v>
      </c>
      <c r="D13" s="25">
        <v>1</v>
      </c>
      <c r="F13" s="25">
        <v>1</v>
      </c>
    </row>
    <row r="14" spans="1:7" ht="16.5">
      <c r="A14" s="64">
        <v>43017</v>
      </c>
    </row>
    <row r="15" spans="1:7" ht="16.5">
      <c r="A15" s="64">
        <v>43018</v>
      </c>
    </row>
    <row r="16" spans="1:7" ht="16.5">
      <c r="A16" s="64">
        <v>43019</v>
      </c>
    </row>
    <row r="17" spans="1:7" ht="17.25" thickBot="1">
      <c r="A17" s="64">
        <v>43020</v>
      </c>
      <c r="B17" s="25">
        <v>1</v>
      </c>
    </row>
    <row r="18" spans="1:7" ht="18" thickTop="1" thickBot="1">
      <c r="A18" s="64">
        <v>43021</v>
      </c>
      <c r="B18" s="35"/>
      <c r="C18" s="35"/>
      <c r="D18" s="35"/>
      <c r="E18" s="35"/>
      <c r="F18" s="35"/>
      <c r="G18" s="35"/>
    </row>
    <row r="19" spans="1:7" ht="18" thickTop="1" thickBot="1">
      <c r="A19" s="64">
        <v>43022</v>
      </c>
      <c r="B19" s="35"/>
      <c r="C19" s="35"/>
      <c r="D19" s="35"/>
      <c r="E19" s="35"/>
      <c r="F19" s="35"/>
      <c r="G19" s="35"/>
    </row>
    <row r="20" spans="1:7" ht="17.25" thickTop="1">
      <c r="A20" s="64">
        <v>43023</v>
      </c>
      <c r="B20" s="25">
        <v>1</v>
      </c>
    </row>
    <row r="21" spans="1:7" ht="16.5">
      <c r="A21" s="64">
        <v>43024</v>
      </c>
    </row>
    <row r="22" spans="1:7" ht="16.5">
      <c r="A22" s="64">
        <v>43025</v>
      </c>
    </row>
    <row r="23" spans="1:7" ht="16.5">
      <c r="A23" s="64">
        <v>43026</v>
      </c>
    </row>
    <row r="24" spans="1:7" ht="17.25" thickBot="1">
      <c r="A24" s="64">
        <v>43027</v>
      </c>
    </row>
    <row r="25" spans="1:7" ht="18" thickTop="1" thickBot="1">
      <c r="A25" s="64">
        <v>43028</v>
      </c>
      <c r="B25" s="35"/>
      <c r="C25" s="35"/>
      <c r="D25" s="35"/>
      <c r="E25" s="35"/>
      <c r="F25" s="35"/>
      <c r="G25" s="35"/>
    </row>
    <row r="26" spans="1:7" ht="18" thickTop="1" thickBot="1">
      <c r="A26" s="64">
        <v>43029</v>
      </c>
      <c r="B26" s="35"/>
      <c r="C26" s="35"/>
      <c r="D26" s="35"/>
      <c r="E26" s="35"/>
      <c r="F26" s="35"/>
      <c r="G26" s="35"/>
    </row>
    <row r="27" spans="1:7" ht="17.25" thickTop="1">
      <c r="A27" s="64">
        <v>43030</v>
      </c>
    </row>
    <row r="28" spans="1:7" ht="16.5">
      <c r="A28" s="64">
        <v>43031</v>
      </c>
    </row>
    <row r="29" spans="1:7" ht="16.5">
      <c r="A29" s="64">
        <v>43032</v>
      </c>
    </row>
    <row r="30" spans="1:7" ht="16.5">
      <c r="A30" s="64">
        <v>43033</v>
      </c>
      <c r="C30" s="25">
        <v>1</v>
      </c>
      <c r="F30" s="25">
        <v>1</v>
      </c>
    </row>
    <row r="31" spans="1:7" ht="17.25" thickBot="1">
      <c r="A31" s="64">
        <v>43034</v>
      </c>
    </row>
    <row r="32" spans="1:7" ht="18" thickTop="1" thickBot="1">
      <c r="A32" s="64">
        <v>43035</v>
      </c>
      <c r="B32" s="35"/>
      <c r="C32" s="35"/>
      <c r="D32" s="35"/>
      <c r="E32" s="35"/>
      <c r="F32" s="35"/>
      <c r="G32" s="35"/>
    </row>
    <row r="33" spans="1:7" ht="18" thickTop="1" thickBot="1">
      <c r="A33" s="64">
        <v>43036</v>
      </c>
      <c r="B33" s="35"/>
      <c r="C33" s="35"/>
      <c r="D33" s="35"/>
      <c r="E33" s="35"/>
      <c r="F33" s="35"/>
      <c r="G33" s="35"/>
    </row>
    <row r="34" spans="1:7" ht="17.25" thickTop="1">
      <c r="A34" s="64">
        <v>43037</v>
      </c>
    </row>
    <row r="35" spans="1:7" ht="16.5">
      <c r="A35" s="64">
        <v>43038</v>
      </c>
      <c r="G35" s="25">
        <v>1</v>
      </c>
    </row>
    <row r="36" spans="1:7" ht="16.5">
      <c r="A36" s="64">
        <v>43039</v>
      </c>
    </row>
    <row r="37" spans="1:7" ht="16.5">
      <c r="A37" s="64">
        <v>43040</v>
      </c>
      <c r="B37" s="25">
        <v>1</v>
      </c>
    </row>
    <row r="38" spans="1:7" ht="17.25" thickBot="1">
      <c r="A38" s="64">
        <v>43041</v>
      </c>
    </row>
    <row r="39" spans="1:7" ht="18" thickTop="1" thickBot="1">
      <c r="A39" s="64">
        <v>43042</v>
      </c>
      <c r="B39" s="35"/>
      <c r="C39" s="35"/>
      <c r="D39" s="35"/>
      <c r="E39" s="35"/>
      <c r="F39" s="35"/>
      <c r="G39" s="35"/>
    </row>
    <row r="40" spans="1:7" ht="18" thickTop="1" thickBot="1">
      <c r="A40" s="64">
        <v>43043</v>
      </c>
      <c r="B40" s="35"/>
      <c r="C40" s="35"/>
      <c r="D40" s="35"/>
      <c r="E40" s="35"/>
      <c r="F40" s="35"/>
      <c r="G40" s="35"/>
    </row>
    <row r="41" spans="1:7" ht="17.25" thickTop="1">
      <c r="A41" s="64">
        <v>43044</v>
      </c>
    </row>
    <row r="42" spans="1:7" ht="16.5">
      <c r="A42" s="64">
        <v>43045</v>
      </c>
    </row>
    <row r="43" spans="1:7" ht="16.5">
      <c r="A43" s="64">
        <v>43046</v>
      </c>
      <c r="D43" s="25">
        <v>1</v>
      </c>
    </row>
    <row r="44" spans="1:7" ht="16.5">
      <c r="A44" s="64">
        <v>43047</v>
      </c>
    </row>
    <row r="45" spans="1:7" ht="17.25" thickBot="1">
      <c r="A45" s="64">
        <v>43048</v>
      </c>
    </row>
    <row r="46" spans="1:7" ht="18" thickTop="1" thickBot="1">
      <c r="A46" s="64">
        <v>43049</v>
      </c>
      <c r="B46" s="35"/>
      <c r="C46" s="35"/>
      <c r="D46" s="35"/>
      <c r="E46" s="35"/>
      <c r="F46" s="35"/>
      <c r="G46" s="35"/>
    </row>
    <row r="47" spans="1:7" ht="18" thickTop="1" thickBot="1">
      <c r="A47" s="64">
        <v>43050</v>
      </c>
      <c r="B47" s="35"/>
      <c r="C47" s="35"/>
      <c r="D47" s="35"/>
      <c r="E47" s="35"/>
      <c r="F47" s="35"/>
      <c r="G47" s="35"/>
    </row>
    <row r="48" spans="1:7" ht="17.25" thickTop="1">
      <c r="A48" s="64">
        <v>43051</v>
      </c>
    </row>
    <row r="49" spans="1:7" ht="16.5">
      <c r="A49" s="64">
        <v>43052</v>
      </c>
    </row>
    <row r="50" spans="1:7" ht="16.5">
      <c r="A50" s="64">
        <v>43053</v>
      </c>
      <c r="G50" s="25">
        <v>1</v>
      </c>
    </row>
    <row r="51" spans="1:7" ht="16.5">
      <c r="A51" s="64">
        <v>43054</v>
      </c>
    </row>
    <row r="52" spans="1:7" ht="17.25" thickBot="1">
      <c r="A52" s="64">
        <v>43055</v>
      </c>
    </row>
    <row r="53" spans="1:7" ht="18" thickTop="1" thickBot="1">
      <c r="A53" s="64">
        <v>43056</v>
      </c>
      <c r="B53" s="35"/>
      <c r="C53" s="35"/>
      <c r="D53" s="35"/>
      <c r="E53" s="35"/>
      <c r="F53" s="35"/>
      <c r="G53" s="35"/>
    </row>
    <row r="54" spans="1:7" ht="18" thickTop="1" thickBot="1">
      <c r="A54" s="64">
        <v>43057</v>
      </c>
      <c r="B54" s="35"/>
      <c r="C54" s="35"/>
      <c r="D54" s="35"/>
      <c r="E54" s="35"/>
      <c r="F54" s="35"/>
      <c r="G54" s="35"/>
    </row>
    <row r="55" spans="1:7" ht="17.25" thickTop="1">
      <c r="A55" s="64">
        <v>43058</v>
      </c>
    </row>
    <row r="56" spans="1:7" ht="16.5">
      <c r="A56" s="64">
        <v>43059</v>
      </c>
    </row>
    <row r="57" spans="1:7" ht="16.5">
      <c r="A57" s="64">
        <v>43060</v>
      </c>
      <c r="B57" s="25">
        <v>1</v>
      </c>
    </row>
    <row r="58" spans="1:7" ht="16.5">
      <c r="A58" s="64">
        <v>43061</v>
      </c>
    </row>
    <row r="59" spans="1:7" ht="17.25" thickBot="1">
      <c r="A59" s="64">
        <v>43062</v>
      </c>
    </row>
    <row r="60" spans="1:7" ht="18" thickTop="1" thickBot="1">
      <c r="A60" s="64">
        <v>43063</v>
      </c>
      <c r="B60" s="35"/>
      <c r="C60" s="35"/>
      <c r="D60" s="35"/>
      <c r="E60" s="35"/>
      <c r="F60" s="35"/>
      <c r="G60" s="35"/>
    </row>
    <row r="61" spans="1:7" ht="18" thickTop="1" thickBot="1">
      <c r="A61" s="64">
        <v>43064</v>
      </c>
      <c r="B61" s="35"/>
      <c r="C61" s="35"/>
      <c r="D61" s="35"/>
      <c r="E61" s="35"/>
      <c r="F61" s="35"/>
      <c r="G61" s="35"/>
    </row>
    <row r="62" spans="1:7" ht="17.25" thickTop="1">
      <c r="A62" s="64">
        <v>43065</v>
      </c>
    </row>
    <row r="63" spans="1:7" ht="16.5">
      <c r="A63" s="64">
        <v>43066</v>
      </c>
    </row>
    <row r="64" spans="1:7" ht="16.5">
      <c r="A64" s="64">
        <v>43067</v>
      </c>
      <c r="C64" s="25">
        <v>1</v>
      </c>
    </row>
    <row r="65" spans="1:7" ht="16.5">
      <c r="A65" s="64">
        <v>43068</v>
      </c>
    </row>
    <row r="66" spans="1:7" ht="17.25" thickBot="1">
      <c r="A66" s="64">
        <v>43069</v>
      </c>
    </row>
    <row r="67" spans="1:7" ht="18" thickTop="1" thickBot="1">
      <c r="A67" s="64">
        <v>43070</v>
      </c>
      <c r="B67" s="35"/>
      <c r="C67" s="35"/>
      <c r="D67" s="35"/>
      <c r="E67" s="35"/>
      <c r="F67" s="35"/>
      <c r="G67" s="35"/>
    </row>
    <row r="68" spans="1:7" ht="18" thickTop="1" thickBot="1">
      <c r="A68" s="64">
        <v>43071</v>
      </c>
      <c r="B68" s="35"/>
      <c r="C68" s="35"/>
      <c r="D68" s="35"/>
      <c r="E68" s="35"/>
      <c r="F68" s="35"/>
      <c r="G68" s="35"/>
    </row>
    <row r="69" spans="1:7" ht="17.25" thickTop="1">
      <c r="A69" s="64">
        <v>43072</v>
      </c>
      <c r="B69" s="25">
        <v>1</v>
      </c>
    </row>
    <row r="70" spans="1:7" ht="16.5">
      <c r="A70" s="64">
        <v>43073</v>
      </c>
    </row>
    <row r="71" spans="1:7" ht="16.5">
      <c r="A71" s="64">
        <v>43074</v>
      </c>
      <c r="E71" s="25">
        <v>1</v>
      </c>
    </row>
    <row r="72" spans="1:7" ht="16.5">
      <c r="A72" s="64">
        <v>43075</v>
      </c>
    </row>
    <row r="73" spans="1:7" ht="17.25" thickBot="1">
      <c r="A73" s="64">
        <v>43076</v>
      </c>
    </row>
    <row r="74" spans="1:7" ht="18" thickTop="1" thickBot="1">
      <c r="A74" s="64">
        <v>43077</v>
      </c>
      <c r="B74" s="35"/>
      <c r="C74" s="35"/>
      <c r="D74" s="35"/>
      <c r="E74" s="35"/>
      <c r="F74" s="35"/>
      <c r="G74" s="35"/>
    </row>
    <row r="75" spans="1:7" ht="18" thickTop="1" thickBot="1">
      <c r="A75" s="64">
        <v>43078</v>
      </c>
      <c r="B75" s="35"/>
      <c r="C75" s="35"/>
      <c r="D75" s="35"/>
      <c r="E75" s="35"/>
      <c r="F75" s="35"/>
      <c r="G75" s="35"/>
    </row>
    <row r="76" spans="1:7" ht="17.25" thickTop="1">
      <c r="A76" s="64">
        <v>43079</v>
      </c>
    </row>
    <row r="77" spans="1:7" ht="16.5">
      <c r="A77" s="64">
        <v>43080</v>
      </c>
      <c r="B77" s="25">
        <v>1</v>
      </c>
      <c r="G77" s="25">
        <v>1</v>
      </c>
    </row>
    <row r="78" spans="1:7" ht="16.5">
      <c r="A78" s="64">
        <v>43081</v>
      </c>
    </row>
    <row r="79" spans="1:7" ht="16.5">
      <c r="A79" s="64">
        <v>43082</v>
      </c>
    </row>
    <row r="80" spans="1:7" ht="17.25" thickBot="1">
      <c r="A80" s="64">
        <v>43083</v>
      </c>
      <c r="D80" s="25">
        <v>1</v>
      </c>
    </row>
    <row r="81" spans="1:7" ht="18" thickTop="1" thickBot="1">
      <c r="A81" s="64">
        <v>43084</v>
      </c>
      <c r="B81" s="35"/>
      <c r="C81" s="35"/>
      <c r="D81" s="35"/>
      <c r="E81" s="35"/>
      <c r="F81" s="35"/>
      <c r="G81" s="35"/>
    </row>
    <row r="82" spans="1:7" ht="18" thickTop="1" thickBot="1">
      <c r="A82" s="64">
        <v>43085</v>
      </c>
      <c r="B82" s="35"/>
      <c r="C82" s="35"/>
      <c r="D82" s="35"/>
      <c r="E82" s="35"/>
      <c r="F82" s="35"/>
      <c r="G82" s="35"/>
    </row>
    <row r="83" spans="1:7" ht="17.25" thickTop="1">
      <c r="A83" s="64">
        <v>43086</v>
      </c>
    </row>
    <row r="84" spans="1:7" ht="16.5">
      <c r="A84" s="64">
        <v>43087</v>
      </c>
      <c r="F84" s="25">
        <v>1</v>
      </c>
    </row>
    <row r="85" spans="1:7" ht="16.5">
      <c r="A85" s="64">
        <v>43088</v>
      </c>
      <c r="C85" s="25">
        <v>1</v>
      </c>
    </row>
    <row r="86" spans="1:7" ht="16.5">
      <c r="A86" s="64">
        <v>43089</v>
      </c>
    </row>
    <row r="87" spans="1:7" ht="17.25" thickBot="1">
      <c r="A87" s="64">
        <v>43090</v>
      </c>
    </row>
    <row r="88" spans="1:7" ht="18" thickTop="1" thickBot="1">
      <c r="A88" s="64">
        <v>43091</v>
      </c>
      <c r="B88" s="35"/>
      <c r="C88" s="35"/>
      <c r="D88" s="35"/>
      <c r="E88" s="35"/>
      <c r="F88" s="35"/>
      <c r="G88" s="35"/>
    </row>
    <row r="89" spans="1:7" ht="18" thickTop="1" thickBot="1">
      <c r="A89" s="64">
        <v>43092</v>
      </c>
      <c r="B89" s="35"/>
      <c r="C89" s="35"/>
      <c r="D89" s="35"/>
      <c r="E89" s="35"/>
      <c r="F89" s="35"/>
      <c r="G89" s="35"/>
    </row>
    <row r="90" spans="1:7" ht="18" thickTop="1" thickBot="1">
      <c r="A90" s="64">
        <v>43093</v>
      </c>
      <c r="B90" s="35"/>
      <c r="C90" s="35"/>
      <c r="D90" s="35"/>
      <c r="E90" s="35"/>
      <c r="F90" s="35"/>
      <c r="G90" s="35"/>
    </row>
    <row r="91" spans="1:7" ht="18" thickTop="1" thickBot="1">
      <c r="A91" s="64">
        <v>43094</v>
      </c>
      <c r="B91" s="35"/>
      <c r="C91" s="35"/>
      <c r="D91" s="35"/>
      <c r="E91" s="35"/>
      <c r="F91" s="35"/>
      <c r="G91" s="35"/>
    </row>
    <row r="92" spans="1:7" ht="18" thickTop="1" thickBot="1">
      <c r="A92" s="64">
        <v>43095</v>
      </c>
      <c r="B92" s="35"/>
      <c r="C92" s="35"/>
      <c r="D92" s="35"/>
      <c r="E92" s="35"/>
      <c r="F92" s="35"/>
      <c r="G92" s="35"/>
    </row>
    <row r="93" spans="1:7" ht="18" thickTop="1" thickBot="1">
      <c r="A93" s="64">
        <v>43096</v>
      </c>
      <c r="B93" s="35"/>
      <c r="C93" s="35"/>
      <c r="D93" s="35"/>
      <c r="E93" s="35"/>
      <c r="F93" s="35"/>
      <c r="G93" s="35"/>
    </row>
    <row r="94" spans="1:7" ht="18" thickTop="1" thickBot="1">
      <c r="A94" s="64">
        <v>43097</v>
      </c>
      <c r="B94" s="35"/>
      <c r="C94" s="35"/>
      <c r="D94" s="35"/>
      <c r="E94" s="35"/>
      <c r="F94" s="35"/>
      <c r="G94" s="35"/>
    </row>
    <row r="95" spans="1:7" ht="18" thickTop="1" thickBot="1">
      <c r="A95" s="64">
        <v>43098</v>
      </c>
      <c r="B95" s="35"/>
      <c r="C95" s="35"/>
      <c r="D95" s="35"/>
      <c r="E95" s="35"/>
      <c r="F95" s="35"/>
      <c r="G95" s="35"/>
    </row>
    <row r="96" spans="1:7" ht="18" thickTop="1" thickBot="1">
      <c r="A96" s="64">
        <v>43099</v>
      </c>
      <c r="B96" s="35"/>
      <c r="C96" s="35"/>
      <c r="D96" s="35"/>
      <c r="E96" s="35"/>
      <c r="F96" s="35"/>
      <c r="G96" s="35"/>
    </row>
    <row r="97" spans="1:7" ht="18" thickTop="1" thickBot="1">
      <c r="A97" s="64">
        <v>43100</v>
      </c>
      <c r="B97" s="35"/>
      <c r="C97" s="35"/>
      <c r="D97" s="35"/>
      <c r="E97" s="35"/>
      <c r="F97" s="35"/>
      <c r="G97" s="35"/>
    </row>
    <row r="98" spans="1:7" ht="18" thickTop="1" thickBot="1">
      <c r="A98" s="64">
        <v>43101</v>
      </c>
      <c r="B98" s="35"/>
      <c r="C98" s="35"/>
      <c r="D98" s="35"/>
      <c r="E98" s="35"/>
      <c r="F98" s="35"/>
      <c r="G98" s="35"/>
    </row>
    <row r="99" spans="1:7" ht="18" thickTop="1" thickBot="1">
      <c r="A99" s="64">
        <v>43102</v>
      </c>
      <c r="B99" s="35"/>
      <c r="C99" s="35"/>
      <c r="D99" s="35"/>
      <c r="E99" s="35"/>
      <c r="F99" s="35"/>
      <c r="G99" s="35"/>
    </row>
    <row r="100" spans="1:7" ht="17.25" thickTop="1">
      <c r="A100" s="64">
        <v>43103</v>
      </c>
      <c r="B100" s="25">
        <v>1</v>
      </c>
    </row>
    <row r="101" spans="1:7" ht="16.5">
      <c r="A101" s="64">
        <v>43104</v>
      </c>
    </row>
    <row r="102" spans="1:7" ht="17.25" thickBot="1">
      <c r="A102" s="64">
        <v>43105</v>
      </c>
      <c r="G102" s="25">
        <v>1</v>
      </c>
    </row>
    <row r="103" spans="1:7" ht="18" thickTop="1" thickBot="1">
      <c r="A103" s="64">
        <v>43106</v>
      </c>
      <c r="B103" s="35"/>
      <c r="C103" s="35"/>
      <c r="D103" s="35"/>
      <c r="E103" s="35"/>
      <c r="F103" s="35"/>
      <c r="G103" s="35"/>
    </row>
    <row r="104" spans="1:7" ht="18" thickTop="1" thickBot="1">
      <c r="A104" s="64">
        <v>43107</v>
      </c>
      <c r="B104" s="35"/>
      <c r="C104" s="35"/>
      <c r="D104" s="35"/>
      <c r="E104" s="35"/>
      <c r="F104" s="35"/>
      <c r="G104" s="35"/>
    </row>
    <row r="105" spans="1:7" ht="17.25" thickTop="1">
      <c r="A105" s="64">
        <v>43108</v>
      </c>
      <c r="D105" s="25">
        <v>1</v>
      </c>
    </row>
    <row r="106" spans="1:7" ht="16.5">
      <c r="A106" s="64">
        <v>43109</v>
      </c>
    </row>
    <row r="107" spans="1:7" ht="16.5">
      <c r="A107" s="63"/>
    </row>
    <row r="108" spans="1:7" ht="16.5">
      <c r="A108" s="63"/>
    </row>
    <row r="109" spans="1:7" ht="16.5">
      <c r="A109" s="63"/>
    </row>
    <row r="110" spans="1:7" ht="16.5">
      <c r="A110" s="63"/>
    </row>
    <row r="111" spans="1:7" ht="16.5">
      <c r="A111" s="63"/>
    </row>
    <row r="112" spans="1:7" ht="16.5">
      <c r="A112" s="63"/>
    </row>
    <row r="113" spans="1:1" ht="16.5">
      <c r="A113" s="63"/>
    </row>
    <row r="114" spans="1:1" ht="16.5">
      <c r="A114" s="63"/>
    </row>
    <row r="115" spans="1:1" ht="16.5">
      <c r="A115" s="63"/>
    </row>
    <row r="116" spans="1:1" ht="16.5">
      <c r="A116" s="63"/>
    </row>
    <row r="117" spans="1:1" ht="16.5">
      <c r="A117" s="63"/>
    </row>
    <row r="118" spans="1:1" ht="16.5">
      <c r="A118" s="63"/>
    </row>
    <row r="119" spans="1:1" ht="16.5">
      <c r="A119" s="63"/>
    </row>
    <row r="120" spans="1:1" ht="16.5">
      <c r="A120" s="63"/>
    </row>
    <row r="121" spans="1:1" ht="16.5">
      <c r="A121" s="63"/>
    </row>
    <row r="122" spans="1:1" ht="16.5">
      <c r="A122" s="63"/>
    </row>
    <row r="123" spans="1:1" ht="16.5">
      <c r="A123" s="63"/>
    </row>
    <row r="124" spans="1:1" ht="16.5">
      <c r="A124" s="63"/>
    </row>
    <row r="125" spans="1:1" ht="16.5">
      <c r="A125" s="63"/>
    </row>
    <row r="126" spans="1:1" ht="16.5">
      <c r="A126" s="63"/>
    </row>
    <row r="127" spans="1:1" ht="16.5">
      <c r="A127" s="63"/>
    </row>
    <row r="128" spans="1:1" ht="16.5">
      <c r="A128" s="63"/>
    </row>
    <row r="129" spans="1:1">
      <c r="A129" s="6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tabSelected="1" zoomScale="90" zoomScaleNormal="90" workbookViewId="0">
      <pane xSplit="1" topLeftCell="B1" activePane="topRight" state="frozen"/>
      <selection pane="topRight" activeCell="E11" sqref="E11"/>
    </sheetView>
  </sheetViews>
  <sheetFormatPr defaultRowHeight="15"/>
  <cols>
    <col min="1" max="1" width="21" customWidth="1"/>
    <col min="2" max="2" width="48.7109375" customWidth="1"/>
    <col min="3" max="3" width="52.5703125" customWidth="1"/>
    <col min="4" max="4" width="74.28515625" customWidth="1"/>
  </cols>
  <sheetData>
    <row r="1" spans="1:4" ht="16.5">
      <c r="A1" s="127" t="s">
        <v>73</v>
      </c>
      <c r="B1" s="150" t="s">
        <v>71</v>
      </c>
      <c r="C1" s="151" t="s">
        <v>72</v>
      </c>
      <c r="D1" s="152" t="s">
        <v>53</v>
      </c>
    </row>
    <row r="2" spans="1:4" ht="16.5">
      <c r="A2" s="128"/>
      <c r="B2" s="153" t="str">
        <f>IF('Main Page'!H2="TBD","#1Preparing feasibility report","   ")</f>
        <v xml:space="preserve">   </v>
      </c>
      <c r="C2" s="154" t="str">
        <f>IF('Main Page'!H2="In Progress","#1Preparing feasibility report","  ")</f>
        <v xml:space="preserve">  </v>
      </c>
      <c r="D2" s="155" t="str">
        <f>IF('Main Page'!H2="Done","#1Preparing feasibility report","  ")</f>
        <v>#1Preparing feasibility report</v>
      </c>
    </row>
    <row r="3" spans="1:4" ht="16.5">
      <c r="A3" s="128"/>
      <c r="B3" s="153" t="str">
        <f>IF('Main Page'!H3="TBD","#2Analyze the needs of your audience","   ")</f>
        <v xml:space="preserve">   </v>
      </c>
      <c r="C3" s="154" t="str">
        <f>IF('Main Page'!H3="In Progress","#2Analyze the needs of your audience","  ")</f>
        <v xml:space="preserve">  </v>
      </c>
      <c r="D3" s="155" t="str">
        <f>IF('Main Page'!H3="Done","#2Analyze the needs of your audience","  ")</f>
        <v>#2Analyze the needs of your audience</v>
      </c>
    </row>
    <row r="4" spans="1:4" ht="16.5">
      <c r="A4" s="128"/>
      <c r="B4" s="153" t="str">
        <f>IF('Main Page'!H4="TBD","#3Examine the context and purpose of the study","   ")</f>
        <v xml:space="preserve">   </v>
      </c>
      <c r="C4" s="154" t="str">
        <f>IF('Main Page'!H4="In Progress","#3Examine the context and purpose of the study","  ")</f>
        <v xml:space="preserve">  </v>
      </c>
      <c r="D4" s="155" t="str">
        <f>IF('Main Page'!H4="Done","#3Examine the context and purpose of the study","  ")</f>
        <v>#3Examine the context and purpose of the study</v>
      </c>
    </row>
    <row r="5" spans="1:4" ht="16.5">
      <c r="A5" s="128"/>
      <c r="B5" s="153" t="str">
        <f>IF('Main Page'!H5="TBD","#4Organize the information into content sections","   ")</f>
        <v xml:space="preserve">   </v>
      </c>
      <c r="C5" s="154" t="str">
        <f>IF('Main Page'!H5="In Progress","#4Organize the information into content sections","  ")</f>
        <v xml:space="preserve">  </v>
      </c>
      <c r="D5" s="155" t="str">
        <f>IF('Main Page'!H5="Done","#4Organize the information into content sections","  ")</f>
        <v>#4Organize the information into content sections</v>
      </c>
    </row>
    <row r="6" spans="1:4" s="17" customFormat="1" ht="5.0999999999999996" customHeight="1">
      <c r="A6" s="149"/>
      <c r="B6" s="149"/>
      <c r="C6" s="149"/>
      <c r="D6" s="149"/>
    </row>
    <row r="7" spans="1:4" ht="16.5">
      <c r="A7" s="127" t="s">
        <v>74</v>
      </c>
      <c r="B7" s="153" t="str">
        <f>IF('Main Page'!H6="TBD","#1Determine the order of the information","  ")</f>
        <v xml:space="preserve">  </v>
      </c>
      <c r="C7" s="154" t="str">
        <f>IF('Main Page'!H6="In Progress","#1Determine the order of the information","  ")</f>
        <v xml:space="preserve">  </v>
      </c>
      <c r="D7" s="155" t="str">
        <f>IF('Main Page'!H6="DONE","#1Determine the order of the information","  ")</f>
        <v>#1Determine the order of the information</v>
      </c>
    </row>
    <row r="8" spans="1:4" ht="16.5">
      <c r="A8" s="128"/>
      <c r="B8" s="153" t="str">
        <f>IF('Main Page'!H7="TBD","#2Planning the division of the team","  ")</f>
        <v>#2Planning the division of the team</v>
      </c>
      <c r="C8" s="154" t="str">
        <f>IF('Main Page'!H7="In Progress","#2Planning the division of the team","  ")</f>
        <v xml:space="preserve">  </v>
      </c>
      <c r="D8" s="155" t="str">
        <f>IF('Main Page'!H7="DONE","#2Planning the division of the team","  ")</f>
        <v xml:space="preserve">  </v>
      </c>
    </row>
    <row r="9" spans="1:4" ht="16.5">
      <c r="A9" s="128"/>
      <c r="B9" s="153" t="str">
        <f>IF('Main Page'!H8="TBD","#3Definition of project objectives","  ")</f>
        <v xml:space="preserve">  </v>
      </c>
      <c r="C9" s="154" t="str">
        <f>IF('Main Page'!H8="In Progress","#3Definition of project objectives","  ")</f>
        <v xml:space="preserve">  </v>
      </c>
      <c r="D9" s="155" t="str">
        <f>IF('Main Page'!H8="DONE","#3Definition of project objectives","  ")</f>
        <v>#3Definition of project objectives</v>
      </c>
    </row>
    <row r="10" spans="1:4" ht="16.5">
      <c r="A10" s="128"/>
      <c r="B10" s="153" t="str">
        <f>IF('Main Page'!H9="TBD","#4Project sponsorship research ","  ")</f>
        <v xml:space="preserve">#4Project sponsorship research </v>
      </c>
      <c r="C10" s="154" t="str">
        <f>IF('Main Page'!H9="In Progress","#4Project sponsorship research","  ")</f>
        <v xml:space="preserve">  </v>
      </c>
      <c r="D10" s="155" t="str">
        <f>IF('Main Page'!H9="DONE","#4Project sponsorship research","  ")</f>
        <v xml:space="preserve">  </v>
      </c>
    </row>
    <row r="11" spans="1:4" ht="5.0999999999999996" customHeight="1">
      <c r="A11" s="149"/>
      <c r="B11" s="149"/>
      <c r="C11" s="149"/>
      <c r="D11" s="149"/>
    </row>
    <row r="12" spans="1:4" ht="16.5">
      <c r="A12" s="127" t="s">
        <v>75</v>
      </c>
      <c r="B12" s="153" t="str">
        <f>IF('Main Page'!H10="TBD","#1Make a budget estimate of the project costs","  ")</f>
        <v>#1Make a budget estimate of the project costs</v>
      </c>
      <c r="C12" s="154" t="str">
        <f>IF('Main Page'!H10="In Progress","#1Make a budget estimate of the project costs","  ")</f>
        <v xml:space="preserve">  </v>
      </c>
      <c r="D12" s="155" t="str">
        <f>IF('Main Page'!H10="Done","#1Make a budget estimate of the project costs","  ")</f>
        <v xml:space="preserve">  </v>
      </c>
    </row>
    <row r="13" spans="1:4" ht="16.5">
      <c r="A13" s="128"/>
      <c r="B13" s="153" t="str">
        <f>IF('Main Page'!H11="TBD","#2Choosing the Server","  ")</f>
        <v>#2Choosing the Server</v>
      </c>
      <c r="C13" s="154" t="str">
        <f>IF('Main Page'!H11="In Progress","#2Choosing the Server","  ")</f>
        <v xml:space="preserve">  </v>
      </c>
      <c r="D13" s="155" t="str">
        <f>IF('Main Page'!H11="Done","#2Choosing the Server ","  ")</f>
        <v xml:space="preserve">  </v>
      </c>
    </row>
    <row r="14" spans="1:4" ht="16.5">
      <c r="A14" s="128"/>
      <c r="B14" s="153" t="str">
        <f>IF('Main Page'!H12="TBD","#3Choosing the Database","  ")</f>
        <v xml:space="preserve">  </v>
      </c>
      <c r="C14" s="154" t="str">
        <f>IF('Main Page'!H12="In Progress","#3Choosing the Database","  ")</f>
        <v xml:space="preserve">  </v>
      </c>
      <c r="D14" s="155" t="str">
        <f>IF('Main Page'!H12="Done","#3Choosing the Database ","  ")</f>
        <v xml:space="preserve">#3Choosing the Database </v>
      </c>
    </row>
    <row r="15" spans="1:4" ht="16.5">
      <c r="A15" s="128"/>
      <c r="B15" s="153" t="str">
        <f>IF('Main Page'!H13="TBD","#4Creating the Database","  ")</f>
        <v xml:space="preserve">  </v>
      </c>
      <c r="C15" s="154" t="str">
        <f>IF('Main Page'!H13="In Progress","#4Creating the Database","  ")</f>
        <v xml:space="preserve">  </v>
      </c>
      <c r="D15" s="155" t="str">
        <f>IF('Main Page'!H13="Done","#4Creating the Database ","  ")</f>
        <v xml:space="preserve">#4Creating the Database </v>
      </c>
    </row>
    <row r="16" spans="1:4" ht="5.0999999999999996" customHeight="1">
      <c r="A16" s="149"/>
      <c r="B16" s="149"/>
      <c r="C16" s="149"/>
      <c r="D16" s="149"/>
    </row>
    <row r="17" spans="1:4" ht="16.5">
      <c r="A17" s="127" t="s">
        <v>76</v>
      </c>
      <c r="B17" s="153" t="str">
        <f>IF('Main Page'!H14="TBD","#1Global data collection about footbal","  ")</f>
        <v xml:space="preserve">  </v>
      </c>
      <c r="C17" s="154" t="str">
        <f>IF('Main Page'!H14="In Progress","#1Global data collection about football","   ")</f>
        <v xml:space="preserve">   </v>
      </c>
      <c r="D17" s="155" t="str">
        <f>IF('Main Page'!H14="Done","#1Global data collection about football","   ")</f>
        <v>#1Global data collection about football</v>
      </c>
    </row>
    <row r="18" spans="1:4" ht="16.5">
      <c r="A18" s="128"/>
      <c r="B18" s="153" t="str">
        <f>IF('Main Page'!H15="TBD","#2Choose the development to environment","  ")</f>
        <v xml:space="preserve">  </v>
      </c>
      <c r="C18" s="154" t="str">
        <f>IF('Main Page'!H15="In Progress","#2Choose the development to environment","   ")</f>
        <v xml:space="preserve">   </v>
      </c>
      <c r="D18" s="155" t="str">
        <f>IF('Main Page'!H15="Done","#2Choose the development to environment","   ")</f>
        <v>#2Choose the development to environment</v>
      </c>
    </row>
    <row r="19" spans="1:4" ht="16.5">
      <c r="A19" s="128"/>
      <c r="B19" s="153" t="str">
        <f>IF('Main Page'!H16="TBD","#3Create the design for application","  ")</f>
        <v xml:space="preserve">  </v>
      </c>
      <c r="C19" s="154" t="str">
        <f>IF('Main Page'!H16="In Progress","#3Create the design for application","   ")</f>
        <v>#3Create the design for application</v>
      </c>
      <c r="D19" s="155" t="str">
        <f>IF('Main Page'!H16="Done","#3Create the design for application","   ")</f>
        <v xml:space="preserve">   </v>
      </c>
    </row>
    <row r="20" spans="1:4" ht="16.5">
      <c r="A20" s="128"/>
      <c r="B20" s="153" t="str">
        <f>IF('Main Page'!H17="TBD","#4Creting main page UI","  ")</f>
        <v xml:space="preserve">  </v>
      </c>
      <c r="C20" s="154" t="str">
        <f>IF('Main Page'!H17="In Progress","#4Creting main page UI","   ")</f>
        <v>#4Creting main page UI</v>
      </c>
      <c r="D20" s="155" t="str">
        <f>IF('Main Page'!H17="Done","#4Creting main page UI","   ")</f>
        <v xml:space="preserve">   </v>
      </c>
    </row>
    <row r="21" spans="1:4" ht="15" customHeight="1">
      <c r="A21" s="156"/>
      <c r="B21" s="153" t="str">
        <f>IF('Main Page'!H18="TBD","#5Creating registration UI and Log in","  ")</f>
        <v xml:space="preserve">  </v>
      </c>
      <c r="C21" s="154" t="str">
        <f>IF('Main Page'!H18="In Progress","#5Creating registration UI and Log in","   ")</f>
        <v>#5Creating registration UI and Log in</v>
      </c>
      <c r="D21" s="155" t="str">
        <f>IF('Main Page'!H18="Done","#5Creating registration UI and Log in","   ")</f>
        <v xml:space="preserve">   </v>
      </c>
    </row>
    <row r="22" spans="1:4" ht="5.0999999999999996" customHeight="1">
      <c r="A22" s="149"/>
      <c r="B22" s="149"/>
      <c r="C22" s="149"/>
      <c r="D22" s="149"/>
    </row>
    <row r="23" spans="1:4" ht="16.5">
      <c r="A23" s="127" t="s">
        <v>161</v>
      </c>
      <c r="B23" s="153" t="str">
        <f>IF('Main Page'!H19="TBD","#1Creating the All score page of UI","  ")</f>
        <v xml:space="preserve">  </v>
      </c>
      <c r="C23" s="154" t="str">
        <f>IF('Main Page'!H19="In Progress","#1Creating the All score page of UI","  ")</f>
        <v>#1Creating the All score page of UI</v>
      </c>
      <c r="D23" s="155" t="str">
        <f>IF('Main Page'!H19="DONE","#1Creating the All score page of UI","  ")</f>
        <v xml:space="preserve">  </v>
      </c>
    </row>
    <row r="24" spans="1:4" ht="16.5">
      <c r="A24" s="128"/>
      <c r="B24" s="153" t="str">
        <f>IF('Main Page'!H20="TBD","#2Creating the All news of UI","  ")</f>
        <v xml:space="preserve">  </v>
      </c>
      <c r="C24" s="154" t="str">
        <f>IF('Main Page'!H20="In Progress","#2Creating the All news of UI","  ")</f>
        <v>#2Creating the All news of UI</v>
      </c>
      <c r="D24" s="155" t="str">
        <f>IF('Main Page'!H20="DONE","#2Creating the All news of UI","  ")</f>
        <v xml:space="preserve">  </v>
      </c>
    </row>
    <row r="25" spans="1:4" ht="16.5">
      <c r="A25" s="128"/>
      <c r="B25" s="153" t="str">
        <f>IF('Main Page'!H21="TBD","#3Creating the Deatil news and match of UI","  ")</f>
        <v xml:space="preserve">  </v>
      </c>
      <c r="C25" s="154" t="str">
        <f>IF('Main Page'!H21="In Progress","#3Creating the Deatil news and match of UI","  ")</f>
        <v>#3Creating the Deatil news and match of UI</v>
      </c>
      <c r="D25" s="155" t="str">
        <f>IF('Main Page'!H21="DONE","#3Creating the Deatil news and match of UI","  ")</f>
        <v xml:space="preserve">  </v>
      </c>
    </row>
    <row r="26" spans="1:4" ht="16.5">
      <c r="A26" s="128"/>
      <c r="B26" s="157" t="str">
        <f>IF('Main Page'!H22="TBD","#4Create a logo ","  ")</f>
        <v xml:space="preserve">  </v>
      </c>
      <c r="C26" s="154" t="str">
        <f>IF('Main Page'!H22="In Progress","#4Create a logo ","  ")</f>
        <v xml:space="preserve">  </v>
      </c>
      <c r="D26" s="155" t="str">
        <f>IF('Main Page'!H22="DONE","#4Create a logo ","  ")</f>
        <v xml:space="preserve">#4Create a logo </v>
      </c>
    </row>
    <row r="27" spans="1:4" ht="5.0999999999999996" customHeight="1">
      <c r="A27" s="149"/>
      <c r="B27" s="149"/>
      <c r="C27" s="149"/>
      <c r="D27" s="149"/>
    </row>
    <row r="28" spans="1:4" ht="15" customHeight="1">
      <c r="A28" s="127" t="s">
        <v>163</v>
      </c>
      <c r="B28" s="157" t="str">
        <f>IF('Main Page'!H23="TBD","#1Code development ","  ")</f>
        <v xml:space="preserve">  </v>
      </c>
      <c r="C28" s="154" t="str">
        <f>IF('Main Page'!H23="In Progress","#1Code development ","  ")</f>
        <v xml:space="preserve">  </v>
      </c>
      <c r="D28" s="155" t="str">
        <f>IF('Main Page'!H23="DONE","#1Code development ","  ")</f>
        <v xml:space="preserve">#1Code development </v>
      </c>
    </row>
    <row r="29" spans="1:4" ht="16.5">
      <c r="A29" s="127"/>
      <c r="B29" s="157" t="str">
        <f>IF('Main Page'!H24="TBD","#2Creating main page code ","  ")</f>
        <v xml:space="preserve">  </v>
      </c>
      <c r="C29" s="154" t="str">
        <f>IF('Main Page'!H24="In Progress","#2Creating main page code ","  ")</f>
        <v xml:space="preserve">  </v>
      </c>
      <c r="D29" s="155" t="str">
        <f>IF('Main Page'!H24="DONE","#2Creating main page code ","  ")</f>
        <v xml:space="preserve">#2Creating main page code </v>
      </c>
    </row>
    <row r="30" spans="1:4" ht="16.5">
      <c r="A30" s="127"/>
      <c r="B30" s="157" t="str">
        <f>IF('Main Page'!H25="TBD","#3Creating registration and Log in code ","  ")</f>
        <v xml:space="preserve">  </v>
      </c>
      <c r="C30" s="154" t="str">
        <f>IF('Main Page'!H25="In Progress","#3Creating registration and Log in code ","  ")</f>
        <v xml:space="preserve">  </v>
      </c>
      <c r="D30" s="155" t="str">
        <f>IF('Main Page'!H25="DONE","#3Creating registration and Log in code ","  ")</f>
        <v xml:space="preserve">#3Creating registration and Log in code </v>
      </c>
    </row>
    <row r="31" spans="1:4" ht="16.5">
      <c r="A31" s="127"/>
      <c r="B31" s="157" t="str">
        <f>IF('Main Page'!H26="TBD","#4Creating the All score page code ","  ")</f>
        <v xml:space="preserve">  </v>
      </c>
      <c r="C31" s="154" t="str">
        <f>IF('Main Page'!H26="In Progress","#4Creating the All score page code ","  ")</f>
        <v xml:space="preserve">#4Creating the All score page code </v>
      </c>
      <c r="D31" s="155" t="str">
        <f>IF('Main Page'!H26="TBD","#4Creating the All score page code ","  ")</f>
        <v xml:space="preserve">  </v>
      </c>
    </row>
    <row r="32" spans="1:4" ht="16.5">
      <c r="A32" s="127"/>
      <c r="B32" s="157" t="str">
        <f>IF('Main Page'!H27="TBD","#5Creating the All news page code","  ")</f>
        <v xml:space="preserve">  </v>
      </c>
      <c r="C32" s="154" t="str">
        <f>IF('Main Page'!H27="In Progress","#5Creating the All news page code","  ")</f>
        <v>#5Creating the All news page code</v>
      </c>
      <c r="D32" s="155" t="str">
        <f>IF('Main Page'!H27="DONE","#5Creating the All news page code","  ")</f>
        <v xml:space="preserve">  </v>
      </c>
    </row>
    <row r="33" spans="1:4" ht="5.0999999999999996" customHeight="1">
      <c r="A33" s="149"/>
      <c r="B33" s="149"/>
      <c r="C33" s="149"/>
      <c r="D33" s="149"/>
    </row>
    <row r="34" spans="1:4" ht="16.5">
      <c r="A34" s="127" t="s">
        <v>162</v>
      </c>
      <c r="B34" s="157" t="str">
        <f>IF('Main Page'!H28="TBD","#1Creating the Deatil news and match code","  ")</f>
        <v xml:space="preserve">  </v>
      </c>
      <c r="C34" s="154" t="str">
        <f>IF('Main Page'!H28="In Progress","#1Creating the Deatil news and match code","  ")</f>
        <v>#1Creating the Deatil news and match code</v>
      </c>
      <c r="D34" s="155" t="str">
        <f>IF('Main Page'!H28="DONE","#1Creating the Deatil news and match code","  ")</f>
        <v xml:space="preserve">  </v>
      </c>
    </row>
    <row r="35" spans="1:4" ht="16.5">
      <c r="A35" s="128"/>
      <c r="B35" s="157" t="str">
        <f>IF('Main Page'!H29="TBD","#2Code testing","  ")</f>
        <v xml:space="preserve">  </v>
      </c>
      <c r="C35" s="154" t="str">
        <f>IF('Main Page'!H29="In Progress","#2Code testing","  ")</f>
        <v xml:space="preserve">  </v>
      </c>
      <c r="D35" s="155" t="str">
        <f>IF('Main Page'!H29="DONE","#2Code testing","  ")</f>
        <v>#2Code testing</v>
      </c>
    </row>
    <row r="36" spans="1:4" ht="16.5">
      <c r="A36" s="128"/>
      <c r="B36" s="157" t="str">
        <f>IF('Main Page'!H30="TBD","#3Creating a documentation","  ")</f>
        <v xml:space="preserve">  </v>
      </c>
      <c r="C36" s="154" t="str">
        <f>IF('Main Page'!H30="In Progress","#3Creating a documentation","  ")</f>
        <v xml:space="preserve">  </v>
      </c>
      <c r="D36" s="155" t="str">
        <f>IF('Main Page'!H30="DONE","#3Creating a documentation","  ")</f>
        <v>#3Creating a documentation</v>
      </c>
    </row>
    <row r="37" spans="1:4" ht="16.5">
      <c r="A37" s="128"/>
      <c r="B37" s="157" t="str">
        <f>IF('Main Page'!H31="TBD","#4Distribution","  ")</f>
        <v xml:space="preserve">  </v>
      </c>
      <c r="C37" s="154" t="str">
        <f>IF('Main Page'!H31="In Progress","#4Distribution","  ")</f>
        <v xml:space="preserve">  </v>
      </c>
      <c r="D37" s="155" t="str">
        <f>IF('Main Page'!H31="DONE","#4Distribution","  ")</f>
        <v>#4Distribution</v>
      </c>
    </row>
    <row r="38" spans="1:4" ht="5.0999999999999996" customHeight="1">
      <c r="A38" s="149"/>
      <c r="B38" s="149"/>
      <c r="C38" s="149"/>
      <c r="D38" s="149"/>
    </row>
  </sheetData>
  <mergeCells count="14">
    <mergeCell ref="A38:D38"/>
    <mergeCell ref="A28:A32"/>
    <mergeCell ref="A34:A37"/>
    <mergeCell ref="A1:A5"/>
    <mergeCell ref="A7:A10"/>
    <mergeCell ref="A12:A15"/>
    <mergeCell ref="A17:A20"/>
    <mergeCell ref="A23:A26"/>
    <mergeCell ref="A11:D11"/>
    <mergeCell ref="A6:D6"/>
    <mergeCell ref="A16:D16"/>
    <mergeCell ref="A22:D22"/>
    <mergeCell ref="A27:D27"/>
    <mergeCell ref="A33:D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00"/>
  <sheetViews>
    <sheetView zoomScale="40" zoomScaleNormal="40" workbookViewId="0">
      <selection activeCell="L113" sqref="L112:L113"/>
    </sheetView>
  </sheetViews>
  <sheetFormatPr defaultRowHeight="15"/>
  <cols>
    <col min="2" max="2" width="8.85546875" style="26"/>
    <col min="3" max="3" width="10.140625" style="26" customWidth="1"/>
    <col min="4" max="4" width="8.85546875" style="26"/>
    <col min="7" max="7" width="10.140625" customWidth="1"/>
    <col min="16" max="17" width="10.140625" customWidth="1"/>
  </cols>
  <sheetData>
    <row r="1" spans="2:19" ht="16.5" thickTop="1" thickBot="1">
      <c r="C1" s="144" t="s">
        <v>119</v>
      </c>
      <c r="D1" s="145"/>
      <c r="E1" s="144" t="s">
        <v>120</v>
      </c>
      <c r="F1" s="145"/>
    </row>
    <row r="2" spans="2:19" ht="16.5" thickTop="1" thickBot="1">
      <c r="B2" s="36" t="s">
        <v>100</v>
      </c>
      <c r="C2" s="37" t="s">
        <v>117</v>
      </c>
      <c r="D2" s="78" t="s">
        <v>118</v>
      </c>
      <c r="E2" s="37" t="s">
        <v>117</v>
      </c>
      <c r="F2" s="37" t="s">
        <v>118</v>
      </c>
      <c r="G2" s="9"/>
    </row>
    <row r="3" spans="2:19" ht="16.5" thickTop="1" thickBot="1">
      <c r="B3" s="38">
        <v>0</v>
      </c>
      <c r="C3" s="38"/>
      <c r="D3" s="38"/>
      <c r="E3" s="38">
        <f>SUM(C4:C87)</f>
        <v>672</v>
      </c>
      <c r="F3" s="38">
        <f>SUM(D4:D88)</f>
        <v>672</v>
      </c>
      <c r="G3" s="9"/>
    </row>
    <row r="4" spans="2:19" ht="16.5" thickTop="1" thickBot="1">
      <c r="B4" s="38">
        <v>1</v>
      </c>
      <c r="C4" s="38">
        <v>8</v>
      </c>
      <c r="D4" s="38">
        <v>9</v>
      </c>
      <c r="E4" s="38">
        <f>SUM(C4:C86)</f>
        <v>664</v>
      </c>
      <c r="F4" s="38">
        <f t="shared" ref="F4:F18" si="0">F3-D4</f>
        <v>663</v>
      </c>
      <c r="G4" s="9"/>
    </row>
    <row r="5" spans="2:19" ht="16.5" thickTop="1" thickBot="1">
      <c r="B5" s="38">
        <v>2</v>
      </c>
      <c r="C5" s="38">
        <v>8</v>
      </c>
      <c r="D5" s="38">
        <v>11</v>
      </c>
      <c r="E5" s="38">
        <f>SUM(C4:C85)</f>
        <v>656</v>
      </c>
      <c r="F5" s="38">
        <f t="shared" si="0"/>
        <v>652</v>
      </c>
      <c r="G5" s="9"/>
    </row>
    <row r="6" spans="2:19" ht="16.5" thickTop="1" thickBot="1">
      <c r="B6" s="38">
        <v>3</v>
      </c>
      <c r="C6" s="38">
        <v>8</v>
      </c>
      <c r="D6" s="38">
        <v>7</v>
      </c>
      <c r="E6" s="38">
        <f>SUM(C4:C84)</f>
        <v>648</v>
      </c>
      <c r="F6" s="38">
        <f t="shared" si="0"/>
        <v>645</v>
      </c>
      <c r="G6" s="9"/>
      <c r="P6" s="11"/>
      <c r="Q6" s="11"/>
      <c r="R6" s="10"/>
      <c r="S6" s="10"/>
    </row>
    <row r="7" spans="2:19" ht="16.5" thickTop="1" thickBot="1">
      <c r="B7" s="38">
        <v>4</v>
      </c>
      <c r="C7" s="38">
        <v>8</v>
      </c>
      <c r="D7" s="38"/>
      <c r="E7" s="38">
        <f>SUM(C4:C83)</f>
        <v>640</v>
      </c>
      <c r="F7" s="38">
        <f t="shared" si="0"/>
        <v>645</v>
      </c>
      <c r="G7" s="9"/>
      <c r="Q7" s="11"/>
    </row>
    <row r="8" spans="2:19" ht="16.5" thickTop="1" thickBot="1">
      <c r="B8" s="38">
        <v>5</v>
      </c>
      <c r="C8" s="38">
        <v>8</v>
      </c>
      <c r="D8" s="38">
        <v>11</v>
      </c>
      <c r="E8" s="38">
        <f>SUM(C4:C82)</f>
        <v>632</v>
      </c>
      <c r="F8" s="38">
        <f t="shared" si="0"/>
        <v>634</v>
      </c>
      <c r="G8" s="9"/>
      <c r="Q8" s="39"/>
    </row>
    <row r="9" spans="2:19" ht="16.5" thickTop="1" thickBot="1">
      <c r="B9" s="38">
        <v>6</v>
      </c>
      <c r="C9" s="38">
        <v>8</v>
      </c>
      <c r="D9" s="38">
        <v>9</v>
      </c>
      <c r="E9" s="38">
        <f>SUM(C4:C81)</f>
        <v>624</v>
      </c>
      <c r="F9" s="38">
        <f t="shared" si="0"/>
        <v>625</v>
      </c>
      <c r="G9" s="9"/>
    </row>
    <row r="10" spans="2:19" ht="16.5" thickTop="1" thickBot="1">
      <c r="B10" s="38">
        <v>7</v>
      </c>
      <c r="C10" s="38">
        <v>8</v>
      </c>
      <c r="D10" s="38">
        <v>8</v>
      </c>
      <c r="E10" s="38">
        <f>SUM(C4:C80)</f>
        <v>616</v>
      </c>
      <c r="F10" s="38">
        <f t="shared" si="0"/>
        <v>617</v>
      </c>
      <c r="G10" s="9"/>
    </row>
    <row r="11" spans="2:19" ht="16.5" thickTop="1" thickBot="1">
      <c r="B11" s="38">
        <v>8</v>
      </c>
      <c r="C11" s="38">
        <v>8</v>
      </c>
      <c r="D11" s="38">
        <v>8</v>
      </c>
      <c r="E11" s="38">
        <f>SUM(C4:C79)</f>
        <v>608</v>
      </c>
      <c r="F11" s="38">
        <f t="shared" si="0"/>
        <v>609</v>
      </c>
      <c r="G11" s="9"/>
    </row>
    <row r="12" spans="2:19" ht="16.5" thickTop="1" thickBot="1">
      <c r="B12" s="38">
        <v>9</v>
      </c>
      <c r="C12" s="38">
        <v>8</v>
      </c>
      <c r="D12" s="38">
        <v>11</v>
      </c>
      <c r="E12" s="38">
        <f>SUM(C4:C78)</f>
        <v>600</v>
      </c>
      <c r="F12" s="38">
        <f t="shared" si="0"/>
        <v>598</v>
      </c>
      <c r="G12" s="9"/>
    </row>
    <row r="13" spans="2:19" ht="16.5" thickTop="1" thickBot="1">
      <c r="B13" s="38">
        <v>10</v>
      </c>
      <c r="C13" s="38">
        <v>8</v>
      </c>
      <c r="D13" s="38"/>
      <c r="E13" s="38">
        <f>SUM(C4:C77)</f>
        <v>592</v>
      </c>
      <c r="F13" s="38">
        <f t="shared" si="0"/>
        <v>598</v>
      </c>
      <c r="G13" s="9"/>
    </row>
    <row r="14" spans="2:19" ht="16.5" thickTop="1" thickBot="1">
      <c r="B14" s="38">
        <v>11</v>
      </c>
      <c r="C14" s="38">
        <v>8</v>
      </c>
      <c r="D14" s="38">
        <v>11</v>
      </c>
      <c r="E14" s="38">
        <f>SUM(C4:C76)</f>
        <v>584</v>
      </c>
      <c r="F14" s="38">
        <f t="shared" si="0"/>
        <v>587</v>
      </c>
      <c r="G14" s="9"/>
    </row>
    <row r="15" spans="2:19" ht="16.5" thickTop="1" thickBot="1">
      <c r="B15" s="38">
        <v>12</v>
      </c>
      <c r="C15" s="38">
        <v>8</v>
      </c>
      <c r="D15" s="38">
        <v>8</v>
      </c>
      <c r="E15" s="38">
        <f>SUM(C4:C75)</f>
        <v>576</v>
      </c>
      <c r="F15" s="38">
        <f t="shared" si="0"/>
        <v>579</v>
      </c>
      <c r="G15" s="9"/>
    </row>
    <row r="16" spans="2:19" ht="16.5" thickTop="1" thickBot="1">
      <c r="B16" s="38">
        <v>13</v>
      </c>
      <c r="C16" s="38">
        <v>8</v>
      </c>
      <c r="D16" s="38"/>
      <c r="E16" s="38">
        <f>SUM(C4:C74)</f>
        <v>568</v>
      </c>
      <c r="F16" s="38">
        <f t="shared" si="0"/>
        <v>579</v>
      </c>
      <c r="G16" s="9"/>
    </row>
    <row r="17" spans="2:7" ht="16.5" thickTop="1" thickBot="1">
      <c r="B17" s="38">
        <v>14</v>
      </c>
      <c r="C17" s="38">
        <v>8</v>
      </c>
      <c r="D17" s="38">
        <v>10</v>
      </c>
      <c r="E17" s="38">
        <f>SUM(C4:C73)</f>
        <v>560</v>
      </c>
      <c r="F17" s="38">
        <f t="shared" si="0"/>
        <v>569</v>
      </c>
      <c r="G17" s="9"/>
    </row>
    <row r="18" spans="2:7" ht="16.5" thickTop="1" thickBot="1">
      <c r="B18" s="38">
        <v>15</v>
      </c>
      <c r="C18" s="38">
        <v>8</v>
      </c>
      <c r="D18" s="38">
        <v>8</v>
      </c>
      <c r="E18" s="38">
        <f>SUM(C4:C72)</f>
        <v>552</v>
      </c>
      <c r="F18" s="38">
        <f t="shared" si="0"/>
        <v>561</v>
      </c>
      <c r="G18" s="9"/>
    </row>
    <row r="19" spans="2:7" ht="16.5" thickTop="1" thickBot="1">
      <c r="B19" s="38">
        <v>16</v>
      </c>
      <c r="C19" s="38">
        <v>8</v>
      </c>
      <c r="D19" s="38">
        <v>8</v>
      </c>
      <c r="E19" s="38">
        <f>SUM(C4:C71)</f>
        <v>544</v>
      </c>
      <c r="F19" s="38">
        <f t="shared" ref="F19:F82" si="1">F18-D19</f>
        <v>553</v>
      </c>
      <c r="G19" s="9"/>
    </row>
    <row r="20" spans="2:7" ht="16.5" thickTop="1" thickBot="1">
      <c r="B20" s="38">
        <v>17</v>
      </c>
      <c r="C20" s="38">
        <v>8</v>
      </c>
      <c r="D20" s="38">
        <v>10</v>
      </c>
      <c r="E20" s="38">
        <f>SUM(C4:C70)</f>
        <v>536</v>
      </c>
      <c r="F20" s="38">
        <f t="shared" si="1"/>
        <v>543</v>
      </c>
      <c r="G20" s="9"/>
    </row>
    <row r="21" spans="2:7" ht="16.5" thickTop="1" thickBot="1">
      <c r="B21" s="38">
        <v>18</v>
      </c>
      <c r="C21" s="38">
        <v>8</v>
      </c>
      <c r="D21" s="38">
        <v>10</v>
      </c>
      <c r="E21" s="38">
        <f>SUM(C4:C69)</f>
        <v>528</v>
      </c>
      <c r="F21" s="38">
        <f t="shared" si="1"/>
        <v>533</v>
      </c>
      <c r="G21" s="9"/>
    </row>
    <row r="22" spans="2:7" ht="16.5" thickTop="1" thickBot="1">
      <c r="B22" s="38">
        <v>19</v>
      </c>
      <c r="C22" s="38">
        <v>8</v>
      </c>
      <c r="D22" s="38">
        <v>8</v>
      </c>
      <c r="E22" s="38">
        <f>SUM(C4:C68)</f>
        <v>520</v>
      </c>
      <c r="F22" s="38">
        <f t="shared" si="1"/>
        <v>525</v>
      </c>
      <c r="G22" s="9"/>
    </row>
    <row r="23" spans="2:7" ht="16.5" thickTop="1" thickBot="1">
      <c r="B23" s="38">
        <v>20</v>
      </c>
      <c r="C23" s="38">
        <v>8</v>
      </c>
      <c r="D23" s="38">
        <v>9</v>
      </c>
      <c r="E23" s="38">
        <f>SUM(C4:C67)</f>
        <v>512</v>
      </c>
      <c r="F23" s="38">
        <f t="shared" si="1"/>
        <v>516</v>
      </c>
      <c r="G23" s="9"/>
    </row>
    <row r="24" spans="2:7" ht="16.5" thickTop="1" thickBot="1">
      <c r="B24" s="38">
        <v>21</v>
      </c>
      <c r="C24" s="38">
        <v>8</v>
      </c>
      <c r="D24" s="38"/>
      <c r="E24" s="38">
        <f>SUM(C4:C66)</f>
        <v>504</v>
      </c>
      <c r="F24" s="38">
        <f t="shared" si="1"/>
        <v>516</v>
      </c>
      <c r="G24" s="9"/>
    </row>
    <row r="25" spans="2:7" ht="16.5" thickTop="1" thickBot="1">
      <c r="B25" s="38">
        <v>22</v>
      </c>
      <c r="C25" s="38">
        <v>8</v>
      </c>
      <c r="D25" s="38">
        <v>8</v>
      </c>
      <c r="E25" s="38">
        <f>SUM(C4:C65)</f>
        <v>496</v>
      </c>
      <c r="F25" s="38">
        <f t="shared" si="1"/>
        <v>508</v>
      </c>
      <c r="G25" s="9"/>
    </row>
    <row r="26" spans="2:7" ht="16.5" thickTop="1" thickBot="1">
      <c r="B26" s="38">
        <v>23</v>
      </c>
      <c r="C26" s="38">
        <v>8</v>
      </c>
      <c r="D26" s="38">
        <v>8</v>
      </c>
      <c r="E26" s="38">
        <f>SUM(C4:C64)</f>
        <v>488</v>
      </c>
      <c r="F26" s="38">
        <f t="shared" si="1"/>
        <v>500</v>
      </c>
      <c r="G26" s="9"/>
    </row>
    <row r="27" spans="2:7" ht="16.5" thickTop="1" thickBot="1">
      <c r="B27" s="38">
        <v>24</v>
      </c>
      <c r="C27" s="38">
        <v>8</v>
      </c>
      <c r="D27" s="38">
        <v>9</v>
      </c>
      <c r="E27" s="38">
        <f>SUM(C4:C63)</f>
        <v>480</v>
      </c>
      <c r="F27" s="38">
        <f t="shared" si="1"/>
        <v>491</v>
      </c>
      <c r="G27" s="9"/>
    </row>
    <row r="28" spans="2:7" ht="16.5" thickTop="1" thickBot="1">
      <c r="B28" s="38">
        <v>25</v>
      </c>
      <c r="C28" s="38">
        <v>8</v>
      </c>
      <c r="D28" s="38">
        <v>10</v>
      </c>
      <c r="E28" s="38">
        <f>SUM(C4:C62)</f>
        <v>472</v>
      </c>
      <c r="F28" s="38">
        <f t="shared" si="1"/>
        <v>481</v>
      </c>
      <c r="G28" s="9"/>
    </row>
    <row r="29" spans="2:7" ht="16.5" thickTop="1" thickBot="1">
      <c r="B29" s="38">
        <v>26</v>
      </c>
      <c r="C29" s="38">
        <v>8</v>
      </c>
      <c r="D29" s="38">
        <v>10</v>
      </c>
      <c r="E29" s="38">
        <f>SUM(C4:C61)</f>
        <v>464</v>
      </c>
      <c r="F29" s="38">
        <f t="shared" si="1"/>
        <v>471</v>
      </c>
      <c r="G29" s="9"/>
    </row>
    <row r="30" spans="2:7" ht="16.5" thickTop="1" thickBot="1">
      <c r="B30" s="38">
        <v>27</v>
      </c>
      <c r="C30" s="38">
        <v>8</v>
      </c>
      <c r="D30" s="38">
        <v>8</v>
      </c>
      <c r="E30" s="38">
        <f>SUM(C4:C60)</f>
        <v>456</v>
      </c>
      <c r="F30" s="38">
        <f t="shared" si="1"/>
        <v>463</v>
      </c>
      <c r="G30" s="9"/>
    </row>
    <row r="31" spans="2:7" ht="16.5" thickTop="1" thickBot="1">
      <c r="B31" s="38">
        <v>28</v>
      </c>
      <c r="C31" s="38">
        <v>8</v>
      </c>
      <c r="D31" s="38">
        <v>9</v>
      </c>
      <c r="E31" s="38">
        <f>SUM(C4:C59)</f>
        <v>448</v>
      </c>
      <c r="F31" s="38">
        <f t="shared" si="1"/>
        <v>454</v>
      </c>
      <c r="G31" s="9"/>
    </row>
    <row r="32" spans="2:7" ht="16.5" thickTop="1" thickBot="1">
      <c r="B32" s="38">
        <v>29</v>
      </c>
      <c r="C32" s="38">
        <v>8</v>
      </c>
      <c r="D32" s="38">
        <v>9</v>
      </c>
      <c r="E32" s="38">
        <f>SUM(C4:C58)</f>
        <v>440</v>
      </c>
      <c r="F32" s="38">
        <f t="shared" si="1"/>
        <v>445</v>
      </c>
      <c r="G32" s="9"/>
    </row>
    <row r="33" spans="2:15" ht="16.5" thickTop="1" thickBot="1">
      <c r="B33" s="38">
        <v>30</v>
      </c>
      <c r="C33" s="38">
        <v>8</v>
      </c>
      <c r="D33" s="36">
        <v>10</v>
      </c>
      <c r="E33" s="38">
        <f>SUM(C4:C57)</f>
        <v>432</v>
      </c>
      <c r="F33" s="38">
        <f t="shared" si="1"/>
        <v>435</v>
      </c>
      <c r="G33" s="9"/>
    </row>
    <row r="34" spans="2:15" ht="16.5" thickTop="1" thickBot="1">
      <c r="B34" s="38">
        <v>31</v>
      </c>
      <c r="C34" s="38">
        <v>8</v>
      </c>
      <c r="D34" s="38">
        <v>9</v>
      </c>
      <c r="E34" s="38">
        <f>SUM(C4:C56)</f>
        <v>424</v>
      </c>
      <c r="F34" s="38">
        <f t="shared" si="1"/>
        <v>426</v>
      </c>
      <c r="G34" s="9"/>
    </row>
    <row r="35" spans="2:15" ht="16.5" thickTop="1" thickBot="1">
      <c r="B35" s="38">
        <v>32</v>
      </c>
      <c r="C35" s="38">
        <v>8</v>
      </c>
      <c r="D35" s="38">
        <v>9</v>
      </c>
      <c r="E35" s="38">
        <f>SUM(C4:C55)</f>
        <v>416</v>
      </c>
      <c r="F35" s="38">
        <f t="shared" si="1"/>
        <v>417</v>
      </c>
      <c r="G35" s="9"/>
    </row>
    <row r="36" spans="2:15" ht="18" thickTop="1" thickBot="1">
      <c r="B36" s="38">
        <v>33</v>
      </c>
      <c r="C36" s="38">
        <v>8</v>
      </c>
      <c r="D36" s="38">
        <v>8</v>
      </c>
      <c r="E36" s="38">
        <f>SUM(C4:C54)</f>
        <v>408</v>
      </c>
      <c r="F36" s="38">
        <f t="shared" si="1"/>
        <v>409</v>
      </c>
      <c r="G36" s="9"/>
      <c r="H36" s="142" t="s">
        <v>121</v>
      </c>
      <c r="I36" s="142"/>
      <c r="J36" s="142"/>
      <c r="K36" s="142"/>
      <c r="L36" s="142"/>
      <c r="M36" s="142"/>
      <c r="N36" s="142" t="s">
        <v>122</v>
      </c>
      <c r="O36" s="142"/>
    </row>
    <row r="37" spans="2:15" ht="16.5" thickTop="1" thickBot="1">
      <c r="B37" s="38">
        <v>34</v>
      </c>
      <c r="C37" s="38">
        <v>8</v>
      </c>
      <c r="D37" s="38">
        <v>9</v>
      </c>
      <c r="E37" s="38">
        <f>SUM(C4:C53)</f>
        <v>400</v>
      </c>
      <c r="F37" s="38">
        <f t="shared" si="1"/>
        <v>400</v>
      </c>
      <c r="G37" s="9"/>
      <c r="H37" s="143" t="s">
        <v>129</v>
      </c>
      <c r="I37" s="135"/>
      <c r="J37" s="135"/>
      <c r="K37" s="135"/>
      <c r="L37" s="135"/>
      <c r="M37" s="135"/>
      <c r="N37" s="135">
        <f>SUM(D4)</f>
        <v>9</v>
      </c>
      <c r="O37" s="135"/>
    </row>
    <row r="38" spans="2:15" ht="16.5" thickTop="1" thickBot="1">
      <c r="B38" s="38">
        <v>35</v>
      </c>
      <c r="C38" s="38">
        <v>8</v>
      </c>
      <c r="D38" s="38">
        <v>12</v>
      </c>
      <c r="E38" s="38">
        <f>SUM(C4:C52)</f>
        <v>392</v>
      </c>
      <c r="F38" s="38">
        <f t="shared" si="1"/>
        <v>388</v>
      </c>
      <c r="G38" s="9"/>
      <c r="H38" s="143" t="s">
        <v>130</v>
      </c>
      <c r="I38" s="135"/>
      <c r="J38" s="135"/>
      <c r="K38" s="135"/>
      <c r="L38" s="135"/>
      <c r="M38" s="135"/>
      <c r="N38" s="135">
        <f>SUM(D5)</f>
        <v>11</v>
      </c>
      <c r="O38" s="135"/>
    </row>
    <row r="39" spans="2:15" ht="16.5" thickTop="1" thickBot="1">
      <c r="B39" s="38">
        <v>36</v>
      </c>
      <c r="C39" s="38">
        <v>8</v>
      </c>
      <c r="D39" s="38"/>
      <c r="E39" s="38">
        <f>SUM(C4:C51)</f>
        <v>384</v>
      </c>
      <c r="F39" s="38">
        <f t="shared" si="1"/>
        <v>388</v>
      </c>
      <c r="G39" s="9"/>
      <c r="H39" s="143" t="s">
        <v>131</v>
      </c>
      <c r="I39" s="135"/>
      <c r="J39" s="135"/>
      <c r="K39" s="135"/>
      <c r="L39" s="135"/>
      <c r="M39" s="135"/>
      <c r="N39" s="143">
        <f>SUM(D6:D8)</f>
        <v>18</v>
      </c>
      <c r="O39" s="135"/>
    </row>
    <row r="40" spans="2:15" ht="16.5" thickTop="1" thickBot="1">
      <c r="B40" s="38">
        <v>37</v>
      </c>
      <c r="C40" s="38">
        <v>8</v>
      </c>
      <c r="D40" s="38">
        <v>7</v>
      </c>
      <c r="E40" s="38">
        <f>SUM(C4:C50)</f>
        <v>376</v>
      </c>
      <c r="F40" s="38">
        <f t="shared" si="1"/>
        <v>381</v>
      </c>
      <c r="G40" s="9"/>
      <c r="H40" s="143" t="s">
        <v>132</v>
      </c>
      <c r="I40" s="135"/>
      <c r="J40" s="135"/>
      <c r="K40" s="135"/>
      <c r="L40" s="135"/>
      <c r="M40" s="135"/>
      <c r="N40" s="135">
        <f>SUM(D9:D10)</f>
        <v>17</v>
      </c>
      <c r="O40" s="135"/>
    </row>
    <row r="41" spans="2:15" ht="16.5" thickTop="1" thickBot="1">
      <c r="B41" s="38">
        <v>38</v>
      </c>
      <c r="C41" s="38">
        <v>8</v>
      </c>
      <c r="D41" s="38">
        <v>9</v>
      </c>
      <c r="E41" s="38">
        <f>SUM(C4:C49)</f>
        <v>368</v>
      </c>
      <c r="F41" s="38">
        <f t="shared" si="1"/>
        <v>372</v>
      </c>
      <c r="G41" s="9"/>
      <c r="H41" s="143" t="s">
        <v>133</v>
      </c>
      <c r="I41" s="135"/>
      <c r="J41" s="135"/>
      <c r="K41" s="135"/>
      <c r="L41" s="135"/>
      <c r="M41" s="135"/>
      <c r="N41" s="135">
        <f>SUM(D11)</f>
        <v>8</v>
      </c>
      <c r="O41" s="135"/>
    </row>
    <row r="42" spans="2:15" ht="16.5" thickTop="1" thickBot="1">
      <c r="B42" s="38">
        <v>39</v>
      </c>
      <c r="C42" s="38">
        <v>8</v>
      </c>
      <c r="D42" s="38">
        <v>11</v>
      </c>
      <c r="E42" s="38">
        <f>SUM(C4:C48)</f>
        <v>360</v>
      </c>
      <c r="F42" s="38">
        <f t="shared" si="1"/>
        <v>361</v>
      </c>
      <c r="G42" s="9"/>
      <c r="H42" s="143" t="s">
        <v>134</v>
      </c>
      <c r="I42" s="135"/>
      <c r="J42" s="135"/>
      <c r="K42" s="135"/>
      <c r="L42" s="135"/>
      <c r="M42" s="135"/>
      <c r="N42" s="135">
        <f>SUM(D12:D13)</f>
        <v>11</v>
      </c>
      <c r="O42" s="135"/>
    </row>
    <row r="43" spans="2:15" ht="16.5" thickTop="1" thickBot="1">
      <c r="B43" s="38">
        <v>40</v>
      </c>
      <c r="C43" s="38">
        <v>8</v>
      </c>
      <c r="D43" s="38">
        <v>10</v>
      </c>
      <c r="E43" s="38">
        <f>SUM(C4:C47)</f>
        <v>352</v>
      </c>
      <c r="F43" s="38">
        <f t="shared" si="1"/>
        <v>351</v>
      </c>
      <c r="G43" s="9"/>
      <c r="H43" s="143" t="s">
        <v>135</v>
      </c>
      <c r="I43" s="135"/>
      <c r="J43" s="135"/>
      <c r="K43" s="135"/>
      <c r="L43" s="135"/>
      <c r="M43" s="135"/>
      <c r="N43" s="135">
        <f>SUM(D14:D15)</f>
        <v>19</v>
      </c>
      <c r="O43" s="135"/>
    </row>
    <row r="44" spans="2:15" ht="16.5" thickTop="1" thickBot="1">
      <c r="B44" s="38">
        <v>41</v>
      </c>
      <c r="C44" s="38">
        <v>8</v>
      </c>
      <c r="D44" s="38">
        <v>8</v>
      </c>
      <c r="E44" s="38">
        <f>SUM(C4:C46)</f>
        <v>344</v>
      </c>
      <c r="F44" s="38">
        <f t="shared" si="1"/>
        <v>343</v>
      </c>
      <c r="G44" s="9"/>
      <c r="H44" s="143" t="s">
        <v>136</v>
      </c>
      <c r="I44" s="135"/>
      <c r="J44" s="135"/>
      <c r="K44" s="135"/>
      <c r="L44" s="135"/>
      <c r="M44" s="135"/>
      <c r="N44" s="135">
        <f>SUM(D16:D18)</f>
        <v>18</v>
      </c>
      <c r="O44" s="135"/>
    </row>
    <row r="45" spans="2:15" ht="16.5" thickTop="1" thickBot="1">
      <c r="B45" s="38">
        <v>42</v>
      </c>
      <c r="C45" s="38">
        <v>8</v>
      </c>
      <c r="D45" s="38"/>
      <c r="E45" s="38">
        <f>SUM(C4:C45)</f>
        <v>336</v>
      </c>
      <c r="F45" s="38">
        <f t="shared" si="1"/>
        <v>343</v>
      </c>
      <c r="G45" s="9"/>
      <c r="H45" s="143" t="s">
        <v>137</v>
      </c>
      <c r="I45" s="135"/>
      <c r="J45" s="135"/>
      <c r="K45" s="135"/>
      <c r="L45" s="135"/>
      <c r="M45" s="135"/>
      <c r="N45" s="135">
        <f>SUM(D19:D21)</f>
        <v>28</v>
      </c>
      <c r="O45" s="135"/>
    </row>
    <row r="46" spans="2:15" ht="16.5" thickTop="1" thickBot="1">
      <c r="B46" s="38">
        <v>43</v>
      </c>
      <c r="C46" s="38">
        <v>8</v>
      </c>
      <c r="D46" s="38">
        <v>11</v>
      </c>
      <c r="E46" s="38">
        <f>SUM(C4:C44)</f>
        <v>328</v>
      </c>
      <c r="F46" s="38">
        <f t="shared" si="1"/>
        <v>332</v>
      </c>
      <c r="G46" s="9"/>
      <c r="H46" s="143" t="s">
        <v>138</v>
      </c>
      <c r="I46" s="135"/>
      <c r="J46" s="135"/>
      <c r="K46" s="135"/>
      <c r="L46" s="135"/>
      <c r="M46" s="135"/>
      <c r="N46" s="135">
        <f>SUM(D22:D24)</f>
        <v>17</v>
      </c>
      <c r="O46" s="135"/>
    </row>
    <row r="47" spans="2:15" ht="16.5" thickTop="1" thickBot="1">
      <c r="B47" s="38">
        <v>44</v>
      </c>
      <c r="C47" s="38">
        <v>8</v>
      </c>
      <c r="D47" s="38">
        <v>9</v>
      </c>
      <c r="E47" s="38">
        <f>SUM(C4:C43)</f>
        <v>320</v>
      </c>
      <c r="F47" s="38">
        <f t="shared" si="1"/>
        <v>323</v>
      </c>
      <c r="G47" s="9"/>
      <c r="H47" s="143" t="s">
        <v>139</v>
      </c>
      <c r="I47" s="135"/>
      <c r="J47" s="135"/>
      <c r="K47" s="135"/>
      <c r="L47" s="135"/>
      <c r="M47" s="135"/>
      <c r="N47" s="135">
        <f>SUM(D25:D26)</f>
        <v>16</v>
      </c>
      <c r="O47" s="135"/>
    </row>
    <row r="48" spans="2:15" ht="16.5" thickTop="1" thickBot="1">
      <c r="B48" s="38">
        <v>45</v>
      </c>
      <c r="C48" s="38">
        <v>8</v>
      </c>
      <c r="D48" s="38">
        <v>8</v>
      </c>
      <c r="E48" s="38">
        <f>SUM(C4:C42)</f>
        <v>312</v>
      </c>
      <c r="F48" s="38">
        <f t="shared" si="1"/>
        <v>315</v>
      </c>
      <c r="G48" s="9"/>
      <c r="H48" s="143" t="s">
        <v>140</v>
      </c>
      <c r="I48" s="135"/>
      <c r="J48" s="135"/>
      <c r="K48" s="135"/>
      <c r="L48" s="135"/>
      <c r="M48" s="135"/>
      <c r="N48" s="135">
        <f>SUM(D27:D33)</f>
        <v>65</v>
      </c>
      <c r="O48" s="135"/>
    </row>
    <row r="49" spans="2:16" ht="16.5" thickTop="1" thickBot="1">
      <c r="B49" s="38">
        <v>46</v>
      </c>
      <c r="C49" s="38">
        <v>8</v>
      </c>
      <c r="D49" s="38">
        <v>13</v>
      </c>
      <c r="E49" s="38">
        <f>SUM(C4:C41)</f>
        <v>304</v>
      </c>
      <c r="F49" s="38">
        <f t="shared" si="1"/>
        <v>302</v>
      </c>
      <c r="G49" s="9"/>
      <c r="H49" s="143" t="s">
        <v>141</v>
      </c>
      <c r="I49" s="135"/>
      <c r="J49" s="135"/>
      <c r="K49" s="135"/>
      <c r="L49" s="135"/>
      <c r="M49" s="135"/>
      <c r="N49" s="135">
        <f>SUM(D34:D40)</f>
        <v>54</v>
      </c>
      <c r="O49" s="135"/>
    </row>
    <row r="50" spans="2:16" ht="16.5" thickTop="1" thickBot="1">
      <c r="B50" s="38">
        <v>47</v>
      </c>
      <c r="C50" s="38">
        <v>8</v>
      </c>
      <c r="D50" s="38"/>
      <c r="E50" s="38">
        <f>SUM(C4:C40)</f>
        <v>296</v>
      </c>
      <c r="F50" s="38">
        <f t="shared" si="1"/>
        <v>302</v>
      </c>
      <c r="G50" s="9"/>
      <c r="H50" s="143" t="s">
        <v>142</v>
      </c>
      <c r="I50" s="135"/>
      <c r="J50" s="135"/>
      <c r="K50" s="135"/>
      <c r="L50" s="135"/>
      <c r="M50" s="135"/>
      <c r="N50" s="135">
        <f>SUM(D41:D44)</f>
        <v>38</v>
      </c>
      <c r="O50" s="135"/>
    </row>
    <row r="51" spans="2:16" ht="16.5" thickTop="1" thickBot="1">
      <c r="B51" s="38">
        <v>48</v>
      </c>
      <c r="C51" s="38">
        <v>8</v>
      </c>
      <c r="D51" s="38">
        <v>12</v>
      </c>
      <c r="E51" s="38">
        <f>SUM(C4:C39)</f>
        <v>288</v>
      </c>
      <c r="F51" s="38">
        <f t="shared" si="1"/>
        <v>290</v>
      </c>
      <c r="G51" s="9"/>
      <c r="H51" s="143" t="s">
        <v>143</v>
      </c>
      <c r="I51" s="135"/>
      <c r="J51" s="135"/>
      <c r="K51" s="135"/>
      <c r="L51" s="135"/>
      <c r="M51" s="135"/>
      <c r="N51" s="135">
        <f>SUM(D45:D46)</f>
        <v>11</v>
      </c>
      <c r="O51" s="135"/>
    </row>
    <row r="52" spans="2:16" ht="16.5" thickTop="1" thickBot="1">
      <c r="B52" s="38">
        <v>49</v>
      </c>
      <c r="C52" s="38">
        <v>8</v>
      </c>
      <c r="D52" s="38">
        <v>8</v>
      </c>
      <c r="E52" s="38">
        <f>SUM(C4:C38)</f>
        <v>280</v>
      </c>
      <c r="F52" s="38">
        <f t="shared" si="1"/>
        <v>282</v>
      </c>
      <c r="G52" s="9"/>
      <c r="H52" s="143" t="s">
        <v>144</v>
      </c>
      <c r="I52" s="135"/>
      <c r="J52" s="135"/>
      <c r="K52" s="135"/>
      <c r="L52" s="135"/>
      <c r="M52" s="135"/>
      <c r="N52" s="135">
        <f>SUM(D47)</f>
        <v>9</v>
      </c>
      <c r="O52" s="135"/>
    </row>
    <row r="53" spans="2:16" ht="16.5" thickTop="1" thickBot="1">
      <c r="B53" s="38">
        <v>50</v>
      </c>
      <c r="C53" s="38">
        <v>8</v>
      </c>
      <c r="D53" s="38">
        <v>8</v>
      </c>
      <c r="E53" s="38">
        <f>SUM(C4:C37)</f>
        <v>272</v>
      </c>
      <c r="F53" s="38">
        <f t="shared" si="1"/>
        <v>274</v>
      </c>
      <c r="G53" s="9"/>
      <c r="H53" s="143" t="s">
        <v>145</v>
      </c>
      <c r="I53" s="135"/>
      <c r="J53" s="135"/>
      <c r="K53" s="135"/>
      <c r="L53" s="135"/>
      <c r="M53" s="135"/>
      <c r="N53" s="135">
        <f>SUM(D48,D50)</f>
        <v>8</v>
      </c>
      <c r="O53" s="135"/>
    </row>
    <row r="54" spans="2:16" ht="16.5" thickTop="1" thickBot="1">
      <c r="B54" s="38">
        <v>51</v>
      </c>
      <c r="C54" s="38">
        <v>8</v>
      </c>
      <c r="D54" s="38">
        <v>13</v>
      </c>
      <c r="E54" s="38">
        <f>SUM(C4:C36)</f>
        <v>264</v>
      </c>
      <c r="F54" s="38">
        <f t="shared" si="1"/>
        <v>261</v>
      </c>
      <c r="G54" s="9"/>
      <c r="H54" s="143" t="s">
        <v>146</v>
      </c>
      <c r="I54" s="135"/>
      <c r="J54" s="135"/>
      <c r="K54" s="135"/>
      <c r="L54" s="135"/>
      <c r="M54" s="135"/>
      <c r="N54" s="135">
        <f>SUM(D52)</f>
        <v>8</v>
      </c>
      <c r="O54" s="135"/>
    </row>
    <row r="55" spans="2:16" ht="16.5" thickTop="1" thickBot="1">
      <c r="B55" s="38">
        <v>52</v>
      </c>
      <c r="C55" s="38">
        <v>8</v>
      </c>
      <c r="D55" s="38">
        <v>11</v>
      </c>
      <c r="E55" s="38">
        <f>SUM(C4:C35)</f>
        <v>256</v>
      </c>
      <c r="F55" s="38">
        <f t="shared" si="1"/>
        <v>250</v>
      </c>
      <c r="G55" s="9"/>
      <c r="H55" s="143" t="s">
        <v>147</v>
      </c>
      <c r="I55" s="135"/>
      <c r="J55" s="135"/>
      <c r="K55" s="135"/>
      <c r="L55" s="135"/>
      <c r="M55" s="135"/>
      <c r="N55" s="135">
        <f>SUM(D51,D53,D54,D55,D56,D57,D58)</f>
        <v>62</v>
      </c>
      <c r="O55" s="135"/>
    </row>
    <row r="56" spans="2:16" ht="16.5" thickTop="1" thickBot="1">
      <c r="B56" s="38">
        <v>53</v>
      </c>
      <c r="C56" s="38">
        <v>8</v>
      </c>
      <c r="D56" s="38">
        <v>8</v>
      </c>
      <c r="E56" s="38">
        <f>SUM(C4:C34)</f>
        <v>248</v>
      </c>
      <c r="F56" s="38">
        <f t="shared" si="1"/>
        <v>242</v>
      </c>
      <c r="G56" s="9"/>
      <c r="H56" s="143" t="s">
        <v>148</v>
      </c>
      <c r="I56" s="135"/>
      <c r="J56" s="135"/>
      <c r="K56" s="135"/>
      <c r="L56" s="135"/>
      <c r="M56" s="135"/>
      <c r="N56" s="136">
        <f>SUM(D59, D49)</f>
        <v>26</v>
      </c>
      <c r="O56" s="136"/>
    </row>
    <row r="57" spans="2:16" ht="16.5" thickTop="1" thickBot="1">
      <c r="B57" s="38">
        <v>54</v>
      </c>
      <c r="C57" s="38">
        <v>8</v>
      </c>
      <c r="D57" s="38">
        <v>10</v>
      </c>
      <c r="E57" s="38">
        <f>SUM(C4:C33)</f>
        <v>240</v>
      </c>
      <c r="F57" s="38">
        <f t="shared" si="1"/>
        <v>232</v>
      </c>
      <c r="G57" s="9"/>
      <c r="H57" s="143" t="s">
        <v>149</v>
      </c>
      <c r="I57" s="135"/>
      <c r="J57" s="135"/>
      <c r="K57" s="135"/>
      <c r="L57" s="135"/>
      <c r="M57" s="135"/>
      <c r="N57" s="131">
        <f>SUM(D60)</f>
        <v>6</v>
      </c>
      <c r="O57" s="132"/>
    </row>
    <row r="58" spans="2:16" ht="18" thickTop="1" thickBot="1">
      <c r="B58" s="38">
        <v>55</v>
      </c>
      <c r="C58" s="38">
        <v>8</v>
      </c>
      <c r="D58" s="38"/>
      <c r="E58" s="38">
        <f>SUM(C4:C32)</f>
        <v>232</v>
      </c>
      <c r="F58" s="38">
        <f t="shared" si="1"/>
        <v>232</v>
      </c>
      <c r="G58" s="9"/>
      <c r="H58" s="143" t="s">
        <v>150</v>
      </c>
      <c r="I58" s="135"/>
      <c r="J58" s="135"/>
      <c r="K58" s="135"/>
      <c r="L58" s="135"/>
      <c r="M58" s="148"/>
      <c r="N58" s="133">
        <f>SUM(D61:D62,D63:D64)</f>
        <v>32</v>
      </c>
      <c r="O58" s="134"/>
    </row>
    <row r="59" spans="2:16" ht="18" thickTop="1" thickBot="1">
      <c r="B59" s="38">
        <v>56</v>
      </c>
      <c r="C59" s="38">
        <v>8</v>
      </c>
      <c r="D59" s="38">
        <v>13</v>
      </c>
      <c r="E59" s="38">
        <f>SUM(C4:C31)</f>
        <v>224</v>
      </c>
      <c r="F59" s="38">
        <f t="shared" si="1"/>
        <v>219</v>
      </c>
      <c r="G59" s="9"/>
      <c r="H59" s="143" t="s">
        <v>164</v>
      </c>
      <c r="I59" s="135"/>
      <c r="J59" s="135"/>
      <c r="K59" s="135"/>
      <c r="L59" s="135"/>
      <c r="M59" s="148"/>
      <c r="N59" s="133">
        <f>SUM(D66:D67,D68,D69)</f>
        <v>39</v>
      </c>
      <c r="O59" s="134"/>
    </row>
    <row r="60" spans="2:16" ht="18" thickTop="1" thickBot="1">
      <c r="B60" s="38">
        <v>57</v>
      </c>
      <c r="C60" s="38">
        <v>8</v>
      </c>
      <c r="D60" s="38">
        <v>6</v>
      </c>
      <c r="E60" s="38">
        <f>SUM(C4:C30)</f>
        <v>216</v>
      </c>
      <c r="F60" s="38">
        <f t="shared" si="1"/>
        <v>213</v>
      </c>
      <c r="G60" s="9"/>
      <c r="H60" s="143" t="s">
        <v>151</v>
      </c>
      <c r="I60" s="135"/>
      <c r="J60" s="135"/>
      <c r="K60" s="135"/>
      <c r="L60" s="135"/>
      <c r="M60" s="148"/>
      <c r="N60" s="133">
        <f>SUM(D70:D71:D73:D74)</f>
        <v>37</v>
      </c>
      <c r="O60" s="134"/>
    </row>
    <row r="61" spans="2:16" ht="18" thickTop="1" thickBot="1">
      <c r="B61" s="38">
        <v>58</v>
      </c>
      <c r="C61" s="38">
        <v>8</v>
      </c>
      <c r="D61" s="38">
        <v>7</v>
      </c>
      <c r="E61" s="38">
        <f>SUM(C4:C29)</f>
        <v>208</v>
      </c>
      <c r="F61" s="38">
        <f t="shared" si="1"/>
        <v>206</v>
      </c>
      <c r="H61" s="143" t="s">
        <v>152</v>
      </c>
      <c r="I61" s="135"/>
      <c r="J61" s="135"/>
      <c r="K61" s="135"/>
      <c r="L61" s="135"/>
      <c r="M61" s="148"/>
      <c r="N61" s="133">
        <f>SUM(D75,D76)</f>
        <v>21</v>
      </c>
      <c r="O61" s="134"/>
      <c r="P61" s="74"/>
    </row>
    <row r="62" spans="2:16" ht="18" thickTop="1" thickBot="1">
      <c r="B62" s="38">
        <v>59</v>
      </c>
      <c r="C62" s="38">
        <v>8</v>
      </c>
      <c r="D62" s="38">
        <v>8</v>
      </c>
      <c r="E62" s="38">
        <f>SUM(C4:C28)</f>
        <v>200</v>
      </c>
      <c r="F62" s="38">
        <f t="shared" si="1"/>
        <v>198</v>
      </c>
      <c r="H62" s="143" t="s">
        <v>153</v>
      </c>
      <c r="I62" s="135"/>
      <c r="J62" s="135"/>
      <c r="K62" s="135"/>
      <c r="L62" s="135"/>
      <c r="M62" s="135"/>
      <c r="N62" s="137">
        <f>SUM(D77:D78)</f>
        <v>14</v>
      </c>
      <c r="O62" s="134"/>
      <c r="P62" s="74"/>
    </row>
    <row r="63" spans="2:16" ht="18" thickTop="1" thickBot="1">
      <c r="B63" s="38">
        <v>60</v>
      </c>
      <c r="C63" s="38">
        <v>8</v>
      </c>
      <c r="D63" s="38">
        <v>9</v>
      </c>
      <c r="E63" s="38">
        <f>SUM(C4:C27)</f>
        <v>192</v>
      </c>
      <c r="F63" s="38">
        <f t="shared" si="1"/>
        <v>189</v>
      </c>
      <c r="H63" s="143" t="s">
        <v>154</v>
      </c>
      <c r="I63" s="135"/>
      <c r="J63" s="135"/>
      <c r="K63" s="135"/>
      <c r="L63" s="135"/>
      <c r="M63" s="135"/>
      <c r="N63" s="137">
        <f>SUM(D80:D81)</f>
        <v>18</v>
      </c>
      <c r="O63" s="134"/>
      <c r="P63" s="74"/>
    </row>
    <row r="64" spans="2:16" ht="18" thickTop="1" thickBot="1">
      <c r="B64" s="38">
        <v>61</v>
      </c>
      <c r="C64" s="38">
        <v>8</v>
      </c>
      <c r="D64" s="38">
        <v>8</v>
      </c>
      <c r="E64" s="38">
        <f>SUM(C4:C26)</f>
        <v>184</v>
      </c>
      <c r="F64" s="38">
        <f t="shared" si="1"/>
        <v>181</v>
      </c>
      <c r="H64" s="143" t="s">
        <v>155</v>
      </c>
      <c r="I64" s="135"/>
      <c r="J64" s="135"/>
      <c r="K64" s="135"/>
      <c r="L64" s="135"/>
      <c r="M64" s="135"/>
      <c r="N64" s="137">
        <f>SUM(D82:D83,D84)</f>
        <v>26</v>
      </c>
      <c r="O64" s="134"/>
      <c r="P64" s="74"/>
    </row>
    <row r="65" spans="2:16" ht="18" thickTop="1" thickBot="1">
      <c r="B65" s="38">
        <v>62</v>
      </c>
      <c r="C65" s="38">
        <v>8</v>
      </c>
      <c r="D65" s="38"/>
      <c r="E65" s="38">
        <f>SUM(C4:C25)</f>
        <v>176</v>
      </c>
      <c r="F65" s="38">
        <f t="shared" si="1"/>
        <v>181</v>
      </c>
      <c r="H65" s="143" t="s">
        <v>156</v>
      </c>
      <c r="I65" s="135"/>
      <c r="J65" s="135"/>
      <c r="K65" s="135"/>
      <c r="L65" s="135"/>
      <c r="M65" s="135"/>
      <c r="N65" s="138">
        <f>SUM(D85:D86)</f>
        <v>18</v>
      </c>
      <c r="O65" s="139"/>
      <c r="P65" s="74"/>
    </row>
    <row r="66" spans="2:16" ht="18" thickTop="1" thickBot="1">
      <c r="B66" s="38">
        <v>63</v>
      </c>
      <c r="C66" s="38">
        <v>8</v>
      </c>
      <c r="D66" s="38">
        <v>10</v>
      </c>
      <c r="E66" s="38">
        <f>SUM(C4:C24)</f>
        <v>168</v>
      </c>
      <c r="F66" s="38">
        <f t="shared" si="1"/>
        <v>171</v>
      </c>
      <c r="H66" s="146" t="s">
        <v>157</v>
      </c>
      <c r="I66" s="136"/>
      <c r="J66" s="136"/>
      <c r="K66" s="136"/>
      <c r="L66" s="136"/>
      <c r="M66" s="147"/>
      <c r="N66" s="140">
        <f>SUM(D87)</f>
        <v>8</v>
      </c>
      <c r="O66" s="141"/>
      <c r="P66" s="74"/>
    </row>
    <row r="67" spans="2:16" ht="16.5" thickTop="1" thickBot="1">
      <c r="B67" s="38">
        <v>64</v>
      </c>
      <c r="C67" s="38">
        <v>8</v>
      </c>
      <c r="D67" s="38">
        <v>12</v>
      </c>
      <c r="E67" s="38">
        <f>SUM(C4:C23)</f>
        <v>160</v>
      </c>
      <c r="F67" s="38">
        <f t="shared" si="1"/>
        <v>159</v>
      </c>
      <c r="H67" s="76"/>
      <c r="I67" s="75"/>
      <c r="J67" s="75"/>
      <c r="K67" s="75"/>
      <c r="L67" s="75"/>
      <c r="M67" s="77"/>
      <c r="N67" s="129">
        <f>SUM(N37:O66)</f>
        <v>672</v>
      </c>
      <c r="O67" s="130"/>
      <c r="P67" s="74"/>
    </row>
    <row r="68" spans="2:16" ht="16.5" thickTop="1" thickBot="1">
      <c r="B68" s="38">
        <v>65</v>
      </c>
      <c r="C68" s="38">
        <v>8</v>
      </c>
      <c r="D68" s="38">
        <v>7</v>
      </c>
      <c r="E68" s="38">
        <f>SUM(C4:C22)</f>
        <v>152</v>
      </c>
      <c r="F68" s="38">
        <f t="shared" si="1"/>
        <v>152</v>
      </c>
      <c r="N68" s="75"/>
      <c r="O68" s="75"/>
    </row>
    <row r="69" spans="2:16" ht="16.5" thickTop="1" thickBot="1">
      <c r="B69" s="38">
        <v>66</v>
      </c>
      <c r="C69" s="38">
        <v>8</v>
      </c>
      <c r="D69" s="38">
        <v>10</v>
      </c>
      <c r="E69" s="38">
        <f>SUM(C4:C21)</f>
        <v>144</v>
      </c>
      <c r="F69" s="38">
        <f t="shared" si="1"/>
        <v>142</v>
      </c>
    </row>
    <row r="70" spans="2:16" ht="16.5" thickTop="1" thickBot="1">
      <c r="B70" s="38">
        <v>67</v>
      </c>
      <c r="C70" s="38">
        <v>8</v>
      </c>
      <c r="D70" s="38">
        <v>9</v>
      </c>
      <c r="E70" s="38">
        <f>SUM(C4:C20)</f>
        <v>136</v>
      </c>
      <c r="F70" s="38">
        <f t="shared" si="1"/>
        <v>133</v>
      </c>
    </row>
    <row r="71" spans="2:16" ht="16.5" thickTop="1" thickBot="1">
      <c r="B71" s="38">
        <v>68</v>
      </c>
      <c r="C71" s="38">
        <v>8</v>
      </c>
      <c r="D71" s="38">
        <v>8</v>
      </c>
      <c r="E71" s="38">
        <f>SUM(C4:C19)</f>
        <v>128</v>
      </c>
      <c r="F71" s="38">
        <f t="shared" si="1"/>
        <v>125</v>
      </c>
    </row>
    <row r="72" spans="2:16" ht="16.5" thickTop="1" thickBot="1">
      <c r="B72" s="38">
        <v>69</v>
      </c>
      <c r="C72" s="38">
        <v>8</v>
      </c>
      <c r="D72" s="38"/>
      <c r="E72" s="38">
        <f>SUM(C4:C18)</f>
        <v>120</v>
      </c>
      <c r="F72" s="38">
        <f t="shared" si="1"/>
        <v>125</v>
      </c>
    </row>
    <row r="73" spans="2:16" ht="16.5" thickTop="1" thickBot="1">
      <c r="B73" s="38">
        <v>70</v>
      </c>
      <c r="C73" s="38">
        <v>8</v>
      </c>
      <c r="D73" s="38">
        <v>8</v>
      </c>
      <c r="E73" s="38">
        <f>SUM(C4:C17)</f>
        <v>112</v>
      </c>
      <c r="F73" s="38">
        <f t="shared" si="1"/>
        <v>117</v>
      </c>
    </row>
    <row r="74" spans="2:16" ht="16.5" thickTop="1" thickBot="1">
      <c r="B74" s="38">
        <v>71</v>
      </c>
      <c r="C74" s="38">
        <v>8</v>
      </c>
      <c r="D74" s="38">
        <v>12</v>
      </c>
      <c r="E74" s="38">
        <f>SUM(C4:C16)</f>
        <v>104</v>
      </c>
      <c r="F74" s="38">
        <f t="shared" si="1"/>
        <v>105</v>
      </c>
    </row>
    <row r="75" spans="2:16" ht="16.5" thickTop="1" thickBot="1">
      <c r="B75" s="38">
        <v>72</v>
      </c>
      <c r="C75" s="38">
        <v>8</v>
      </c>
      <c r="D75" s="38">
        <v>11</v>
      </c>
      <c r="E75" s="38">
        <f>SUM(C4:C15)</f>
        <v>96</v>
      </c>
      <c r="F75" s="38">
        <f t="shared" si="1"/>
        <v>94</v>
      </c>
    </row>
    <row r="76" spans="2:16" ht="16.5" thickTop="1" thickBot="1">
      <c r="B76" s="38">
        <v>73</v>
      </c>
      <c r="C76" s="38">
        <v>8</v>
      </c>
      <c r="D76" s="38">
        <v>10</v>
      </c>
      <c r="E76" s="38">
        <f>SUM(C4:C14)</f>
        <v>88</v>
      </c>
      <c r="F76" s="38">
        <f t="shared" si="1"/>
        <v>84</v>
      </c>
    </row>
    <row r="77" spans="2:16" ht="16.5" thickTop="1" thickBot="1">
      <c r="B77" s="38">
        <v>74</v>
      </c>
      <c r="C77" s="38">
        <v>8</v>
      </c>
      <c r="D77" s="38">
        <v>7</v>
      </c>
      <c r="E77" s="38">
        <f>SUM(C4:C13)</f>
        <v>80</v>
      </c>
      <c r="F77" s="38">
        <f t="shared" si="1"/>
        <v>77</v>
      </c>
    </row>
    <row r="78" spans="2:16" ht="16.5" thickTop="1" thickBot="1">
      <c r="B78" s="38">
        <v>75</v>
      </c>
      <c r="C78" s="38">
        <v>8</v>
      </c>
      <c r="D78" s="38">
        <v>7</v>
      </c>
      <c r="E78" s="38">
        <f>SUM(C4:C12)</f>
        <v>72</v>
      </c>
      <c r="F78" s="38">
        <f t="shared" si="1"/>
        <v>70</v>
      </c>
    </row>
    <row r="79" spans="2:16" ht="16.5" thickTop="1" thickBot="1">
      <c r="B79" s="38">
        <v>76</v>
      </c>
      <c r="C79" s="38">
        <v>8</v>
      </c>
      <c r="D79" s="38"/>
      <c r="E79" s="38">
        <f>SUM(C4:C11)</f>
        <v>64</v>
      </c>
      <c r="F79" s="38">
        <f t="shared" si="1"/>
        <v>70</v>
      </c>
    </row>
    <row r="80" spans="2:16" ht="16.5" thickTop="1" thickBot="1">
      <c r="B80" s="38">
        <v>77</v>
      </c>
      <c r="C80" s="38">
        <v>8</v>
      </c>
      <c r="D80" s="38">
        <v>8</v>
      </c>
      <c r="E80" s="38">
        <f>SUM(C4:C10)</f>
        <v>56</v>
      </c>
      <c r="F80" s="38">
        <f t="shared" si="1"/>
        <v>62</v>
      </c>
    </row>
    <row r="81" spans="2:7" ht="16.5" thickTop="1" thickBot="1">
      <c r="B81" s="38">
        <v>78</v>
      </c>
      <c r="C81" s="38">
        <v>8</v>
      </c>
      <c r="D81" s="38">
        <v>10</v>
      </c>
      <c r="E81" s="38">
        <f>SUM(C4:C9)</f>
        <v>48</v>
      </c>
      <c r="F81" s="38">
        <f t="shared" si="1"/>
        <v>52</v>
      </c>
    </row>
    <row r="82" spans="2:7" ht="16.5" thickTop="1" thickBot="1">
      <c r="B82" s="38">
        <v>79</v>
      </c>
      <c r="C82" s="38">
        <v>8</v>
      </c>
      <c r="D82" s="38">
        <v>9</v>
      </c>
      <c r="E82" s="38">
        <f>SUM(C4:C8)</f>
        <v>40</v>
      </c>
      <c r="F82" s="38">
        <f t="shared" si="1"/>
        <v>43</v>
      </c>
    </row>
    <row r="83" spans="2:7" ht="16.5" thickTop="1" thickBot="1">
      <c r="B83" s="38">
        <v>80</v>
      </c>
      <c r="C83" s="38">
        <v>8</v>
      </c>
      <c r="D83" s="38">
        <v>10</v>
      </c>
      <c r="E83" s="38">
        <f>SUM(C4:C7)</f>
        <v>32</v>
      </c>
      <c r="F83" s="38">
        <f t="shared" ref="F83:F87" si="2">F82-D83</f>
        <v>33</v>
      </c>
    </row>
    <row r="84" spans="2:7" ht="16.5" thickTop="1" thickBot="1">
      <c r="B84" s="38">
        <v>81</v>
      </c>
      <c r="C84" s="38">
        <v>8</v>
      </c>
      <c r="D84" s="38">
        <v>7</v>
      </c>
      <c r="E84" s="38">
        <f>SUM(C4:C6)</f>
        <v>24</v>
      </c>
      <c r="F84" s="38">
        <f t="shared" si="2"/>
        <v>26</v>
      </c>
    </row>
    <row r="85" spans="2:7" ht="16.5" thickTop="1" thickBot="1">
      <c r="B85" s="38">
        <v>82</v>
      </c>
      <c r="C85" s="38">
        <v>8</v>
      </c>
      <c r="D85" s="38">
        <v>10</v>
      </c>
      <c r="E85" s="38">
        <f>SUM(C4:C5)</f>
        <v>16</v>
      </c>
      <c r="F85" s="38">
        <f t="shared" si="2"/>
        <v>16</v>
      </c>
    </row>
    <row r="86" spans="2:7" ht="16.5" thickTop="1" thickBot="1">
      <c r="B86" s="79">
        <v>83</v>
      </c>
      <c r="C86" s="79">
        <v>8</v>
      </c>
      <c r="D86" s="79">
        <v>8</v>
      </c>
      <c r="E86" s="79">
        <f>SUM(C4:C4)</f>
        <v>8</v>
      </c>
      <c r="F86" s="79">
        <f t="shared" si="2"/>
        <v>8</v>
      </c>
    </row>
    <row r="87" spans="2:7" ht="15.75" thickBot="1">
      <c r="B87" s="83">
        <v>84</v>
      </c>
      <c r="C87" s="84">
        <v>8</v>
      </c>
      <c r="D87" s="83">
        <v>8</v>
      </c>
      <c r="E87" s="83">
        <f>SUM(C3:C3)</f>
        <v>0</v>
      </c>
      <c r="F87" s="81">
        <f t="shared" si="2"/>
        <v>0</v>
      </c>
      <c r="G87" s="74"/>
    </row>
    <row r="88" spans="2:7" ht="15.75" thickTop="1">
      <c r="B88" s="80"/>
      <c r="C88" s="82"/>
      <c r="D88" s="80"/>
      <c r="E88" s="80"/>
      <c r="F88" s="82"/>
    </row>
    <row r="89" spans="2:7">
      <c r="B89" s="80"/>
      <c r="C89" s="80"/>
      <c r="D89" s="80"/>
      <c r="E89" s="80"/>
      <c r="F89" s="80"/>
    </row>
    <row r="90" spans="2:7">
      <c r="B90" s="80"/>
      <c r="C90" s="80"/>
      <c r="D90" s="80"/>
      <c r="E90" s="80"/>
      <c r="F90" s="80"/>
    </row>
    <row r="91" spans="2:7">
      <c r="B91" s="80"/>
      <c r="C91" s="80"/>
      <c r="D91" s="80"/>
      <c r="E91" s="80"/>
      <c r="F91" s="80"/>
    </row>
    <row r="92" spans="2:7">
      <c r="B92" s="80"/>
      <c r="C92" s="80"/>
      <c r="D92" s="80"/>
      <c r="E92" s="80"/>
      <c r="F92" s="62"/>
    </row>
    <row r="93" spans="2:7">
      <c r="B93" s="80"/>
      <c r="C93" s="80"/>
      <c r="D93" s="80"/>
      <c r="E93" s="80"/>
      <c r="F93" s="62"/>
    </row>
    <row r="94" spans="2:7">
      <c r="B94" s="80"/>
      <c r="C94" s="80"/>
      <c r="D94" s="80"/>
      <c r="E94" s="80"/>
      <c r="F94" s="62"/>
    </row>
    <row r="95" spans="2:7">
      <c r="B95" s="80"/>
      <c r="C95" s="80"/>
      <c r="D95" s="80"/>
      <c r="E95" s="80"/>
      <c r="F95" s="62"/>
    </row>
    <row r="96" spans="2:7">
      <c r="B96" s="80"/>
      <c r="C96" s="80"/>
      <c r="D96" s="80"/>
      <c r="E96" s="80"/>
      <c r="F96" s="62"/>
    </row>
    <row r="97" spans="2:6">
      <c r="B97" s="80"/>
      <c r="C97" s="80"/>
      <c r="D97" s="80"/>
      <c r="E97" s="80"/>
      <c r="F97" s="62"/>
    </row>
    <row r="98" spans="2:6">
      <c r="B98" s="80"/>
      <c r="C98" s="80"/>
      <c r="D98" s="80"/>
      <c r="E98" s="80"/>
      <c r="F98" s="62"/>
    </row>
    <row r="99" spans="2:6">
      <c r="B99" s="80"/>
      <c r="C99" s="80"/>
      <c r="D99" s="80"/>
      <c r="E99" s="80"/>
      <c r="F99" s="62"/>
    </row>
    <row r="100" spans="2:6">
      <c r="B100" s="80"/>
      <c r="C100" s="80"/>
      <c r="D100" s="80"/>
      <c r="E100" s="80"/>
      <c r="F100" s="62"/>
    </row>
  </sheetData>
  <mergeCells count="65">
    <mergeCell ref="H63:M63"/>
    <mergeCell ref="H64:M64"/>
    <mergeCell ref="H65:M65"/>
    <mergeCell ref="H66:M66"/>
    <mergeCell ref="H58:M58"/>
    <mergeCell ref="H59:M59"/>
    <mergeCell ref="H60:M60"/>
    <mergeCell ref="H61:M61"/>
    <mergeCell ref="H62:M62"/>
    <mergeCell ref="H39:M39"/>
    <mergeCell ref="C1:D1"/>
    <mergeCell ref="E1:F1"/>
    <mergeCell ref="H36:M36"/>
    <mergeCell ref="H37:M37"/>
    <mergeCell ref="H38:M38"/>
    <mergeCell ref="H40:M40"/>
    <mergeCell ref="H41:M41"/>
    <mergeCell ref="H42:M42"/>
    <mergeCell ref="H43:M43"/>
    <mergeCell ref="H44:M44"/>
    <mergeCell ref="H56:M56"/>
    <mergeCell ref="H57:M57"/>
    <mergeCell ref="H46:M46"/>
    <mergeCell ref="H47:M47"/>
    <mergeCell ref="H48:M48"/>
    <mergeCell ref="H49:M49"/>
    <mergeCell ref="H50:M50"/>
    <mergeCell ref="H51:M51"/>
    <mergeCell ref="N41:O41"/>
    <mergeCell ref="H52:M52"/>
    <mergeCell ref="H53:M53"/>
    <mergeCell ref="H54:M54"/>
    <mergeCell ref="H55:M55"/>
    <mergeCell ref="H45:M45"/>
    <mergeCell ref="N53:O53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36:O36"/>
    <mergeCell ref="N37:O37"/>
    <mergeCell ref="N38:O38"/>
    <mergeCell ref="N39:O39"/>
    <mergeCell ref="N40:O40"/>
    <mergeCell ref="N67:O67"/>
    <mergeCell ref="N57:O57"/>
    <mergeCell ref="N58:O58"/>
    <mergeCell ref="N51:O51"/>
    <mergeCell ref="N52:O52"/>
    <mergeCell ref="N54:O54"/>
    <mergeCell ref="N55:O55"/>
    <mergeCell ref="N56:O56"/>
    <mergeCell ref="N64:O64"/>
    <mergeCell ref="N65:O65"/>
    <mergeCell ref="N66:O66"/>
    <mergeCell ref="N59:O59"/>
    <mergeCell ref="N60:O60"/>
    <mergeCell ref="N61:O61"/>
    <mergeCell ref="N62:O62"/>
    <mergeCell ref="N63:O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Main Page</vt:lpstr>
      <vt:lpstr>DeliveryDates</vt:lpstr>
      <vt:lpstr>TeamCapacity1</vt:lpstr>
      <vt:lpstr>TeamCapacity2</vt:lpstr>
      <vt:lpstr>Dashboard</vt:lpstr>
      <vt:lpstr>ReleaseList</vt:lpstr>
      <vt:lpstr>HolidaysCalc</vt:lpstr>
      <vt:lpstr>Sprints</vt:lpstr>
      <vt:lpstr>BurndownC</vt:lpstr>
      <vt:lpstr>RootForDates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Giorgio macauda</cp:lastModifiedBy>
  <cp:lastPrinted>2017-11-03T10:41:06Z</cp:lastPrinted>
  <dcterms:created xsi:type="dcterms:W3CDTF">2017-11-03T06:11:01Z</dcterms:created>
  <dcterms:modified xsi:type="dcterms:W3CDTF">2018-02-05T14:42:15Z</dcterms:modified>
</cp:coreProperties>
</file>