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tiff" ContentType="image/tif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updateLinks="never" codeName="ThisWorkbook"/>
  <mc:AlternateContent xmlns:mc="http://schemas.openxmlformats.org/markup-compatibility/2006">
    <mc:Choice Requires="x15">
      <x15ac:absPath xmlns:x15ac="http://schemas.microsoft.com/office/spreadsheetml/2010/11/ac" url="G:\My Drive\HECVAT\"/>
    </mc:Choice>
  </mc:AlternateContent>
  <bookViews>
    <workbookView xWindow="38400" yWindow="465" windowWidth="38400" windowHeight="23535" tabRatio="934"/>
  </bookViews>
  <sheets>
    <sheet name="Introduction" sheetId="17" r:id="rId1"/>
    <sheet name="Instructions" sheetId="7" r:id="rId2"/>
    <sheet name="HECVAT - Full" sheetId="1" r:id="rId3"/>
    <sheet name="Standards Crosswalk" sheetId="10" r:id="rId4"/>
    <sheet name="Analyst Report" sheetId="14" r:id="rId5"/>
    <sheet name="Analyst Reference" sheetId="18" r:id="rId6"/>
    <sheet name="Summary Report" sheetId="15" r:id="rId7"/>
    <sheet name="Crosswalk Detail" sheetId="12" state="hidden" r:id="rId8"/>
    <sheet name="Questions" sheetId="13" state="hidden" r:id="rId9"/>
    <sheet name="High Risk Non-Compliant" sheetId="16" state="hidden" r:id="rId10"/>
    <sheet name="Acknowledgments" sheetId="19" r:id="rId11"/>
    <sheet name="ChangeLog" sheetId="3" r:id="rId12"/>
    <sheet name="Values" sheetId="2" state="hidden" r:id="rId13"/>
  </sheets>
  <definedNames>
    <definedName name="_ftn1" localSheetId="1">Instructions!$A$35</definedName>
    <definedName name="_ftnref1" localSheetId="1">Instructions!$A$4</definedName>
    <definedName name="_xlcn.LinkedTable_Table11" hidden="1">Table1[]</definedName>
    <definedName name="dr" localSheetId="10">#REF!</definedName>
    <definedName name="dr">Values!$A$4:$A$6</definedName>
    <definedName name="drpt" localSheetId="10">#REF!</definedName>
    <definedName name="drpt">Values!$A$9:$A$12</definedName>
    <definedName name="network" localSheetId="10">V+Values!$A$15:$A$19</definedName>
    <definedName name="network">V+Values!$A$15:$A$19</definedName>
    <definedName name="sharedassessments" localSheetId="10">#REF!</definedName>
    <definedName name="sharedassessments">Values!$A$26:$A$27</definedName>
    <definedName name="sharedassessmentslisting" localSheetId="10">#REF!</definedName>
    <definedName name="sharedassessmentslisting">Values!$A$30:$A$31</definedName>
    <definedName name="uptime" localSheetId="10">Values!$A$34:$A$38</definedName>
    <definedName name="uptime">Values!$A$34:$A$38</definedName>
    <definedName name="yes" localSheetId="10">Values!$A$4:$A$5</definedName>
    <definedName name="yes">Values!$A$4:$A$5</definedName>
    <definedName name="yesna" localSheetId="10">#REF!</definedName>
    <definedName name="yesna">Values!$A$4:$A$6</definedName>
  </definedNames>
  <calcPr calcId="162913"/>
  <pivotCaches>
    <pivotCache cacheId="0" r:id="rId14"/>
  </pivotCaches>
  <extLst>
    <ext xmlns:x15="http://schemas.microsoft.com/office/spreadsheetml/2010/11/main" uri="{FCE2AD5D-F65C-4FA6-A056-5C36A1767C68}">
      <x15:dataModel>
        <x15:modelTables>
          <x15:modelTable id="Table1" name="Table1" connection="LinkedTable_Table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 i="15" l="1"/>
  <c r="A312" i="18" l="1"/>
  <c r="A311" i="18"/>
  <c r="A310" i="18"/>
  <c r="A309" i="18"/>
  <c r="A308" i="18"/>
  <c r="A307" i="18"/>
  <c r="A306" i="18"/>
  <c r="A305" i="18"/>
  <c r="A304" i="18"/>
  <c r="A303" i="18"/>
  <c r="A302" i="18"/>
  <c r="A301" i="18"/>
  <c r="A299" i="18"/>
  <c r="A298" i="18"/>
  <c r="A297" i="18"/>
  <c r="A296" i="18"/>
  <c r="A295" i="18"/>
  <c r="A294" i="18"/>
  <c r="A293" i="18"/>
  <c r="A292" i="18"/>
  <c r="A291" i="18"/>
  <c r="A290" i="18"/>
  <c r="A289" i="18"/>
  <c r="A288" i="18"/>
  <c r="A287" i="18"/>
  <c r="A286" i="18"/>
  <c r="A285" i="18"/>
  <c r="A284" i="18"/>
  <c r="A283" i="18"/>
  <c r="A282" i="18"/>
  <c r="A281" i="18"/>
  <c r="A280" i="18"/>
  <c r="A279" i="18"/>
  <c r="A278" i="18"/>
  <c r="A277" i="18"/>
  <c r="A276" i="18"/>
  <c r="A275" i="18"/>
  <c r="A274" i="18"/>
  <c r="A273" i="18"/>
  <c r="A272" i="18"/>
  <c r="A271" i="18"/>
  <c r="A270" i="18"/>
  <c r="A269" i="18"/>
  <c r="A267" i="18"/>
  <c r="A266" i="18"/>
  <c r="A265" i="18"/>
  <c r="A264" i="18"/>
  <c r="A263" i="18"/>
  <c r="A262" i="18"/>
  <c r="A261" i="18"/>
  <c r="A260" i="18"/>
  <c r="A259" i="18"/>
  <c r="A257" i="18"/>
  <c r="A256" i="18"/>
  <c r="A255" i="18"/>
  <c r="A254" i="18"/>
  <c r="A252" i="18"/>
  <c r="A251" i="18"/>
  <c r="A250" i="18"/>
  <c r="A249" i="18"/>
  <c r="A248" i="18"/>
  <c r="A246" i="18"/>
  <c r="A245" i="18"/>
  <c r="A243" i="18"/>
  <c r="A242" i="18"/>
  <c r="A241" i="18"/>
  <c r="A240" i="18"/>
  <c r="A239" i="18"/>
  <c r="A238" i="18"/>
  <c r="A237" i="18"/>
  <c r="A236" i="18"/>
  <c r="A235" i="18"/>
  <c r="A234" i="18"/>
  <c r="A233" i="18"/>
  <c r="A232" i="18"/>
  <c r="A231" i="18"/>
  <c r="A230" i="18"/>
  <c r="A229" i="18"/>
  <c r="A228" i="18"/>
  <c r="A227" i="18"/>
  <c r="A226" i="18"/>
  <c r="A225" i="18"/>
  <c r="A224" i="18"/>
  <c r="A222" i="18"/>
  <c r="A221" i="18"/>
  <c r="A220" i="18"/>
  <c r="A219" i="18"/>
  <c r="A218" i="18"/>
  <c r="A216" i="18"/>
  <c r="A215" i="18"/>
  <c r="A214" i="18"/>
  <c r="A213" i="18"/>
  <c r="A212" i="18"/>
  <c r="A211" i="18"/>
  <c r="A210" i="18"/>
  <c r="A209" i="18"/>
  <c r="A208" i="18"/>
  <c r="A207" i="18"/>
  <c r="A206" i="18"/>
  <c r="A204" i="18"/>
  <c r="A203" i="18"/>
  <c r="A202" i="18"/>
  <c r="A201" i="18"/>
  <c r="A200" i="18"/>
  <c r="A199" i="18"/>
  <c r="A198" i="18"/>
  <c r="A197" i="18"/>
  <c r="A196" i="18"/>
  <c r="A195" i="18"/>
  <c r="A194" i="18"/>
  <c r="A193" i="18"/>
  <c r="A191" i="18"/>
  <c r="A190" i="18"/>
  <c r="A189" i="18"/>
  <c r="A188" i="18"/>
  <c r="A187" i="18"/>
  <c r="A186" i="18"/>
  <c r="A185" i="18"/>
  <c r="A184" i="18"/>
  <c r="A183" i="18"/>
  <c r="A182" i="18"/>
  <c r="A181" i="18"/>
  <c r="A180" i="18"/>
  <c r="A179" i="18"/>
  <c r="A177" i="18"/>
  <c r="A176" i="18"/>
  <c r="A175" i="18"/>
  <c r="A174" i="18"/>
  <c r="A173" i="18"/>
  <c r="A172" i="18"/>
  <c r="A171" i="18"/>
  <c r="A170" i="18"/>
  <c r="A169" i="18"/>
  <c r="A168" i="18"/>
  <c r="A167" i="18"/>
  <c r="A166" i="18"/>
  <c r="A165" i="18"/>
  <c r="A164" i="18"/>
  <c r="A163" i="18"/>
  <c r="A162" i="18"/>
  <c r="A161" i="18"/>
  <c r="A160" i="18"/>
  <c r="A159" i="18"/>
  <c r="A157" i="18"/>
  <c r="A156"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5" i="18"/>
  <c r="A124" i="18"/>
  <c r="A123" i="18"/>
  <c r="A122" i="18"/>
  <c r="A121" i="18"/>
  <c r="A120" i="18"/>
  <c r="A119" i="18"/>
  <c r="A118" i="18"/>
  <c r="A117" i="18"/>
  <c r="A116" i="18"/>
  <c r="A115" i="18"/>
  <c r="A114" i="18"/>
  <c r="A113" i="18"/>
  <c r="A112" i="18"/>
  <c r="A111" i="18"/>
  <c r="A109" i="18"/>
  <c r="A108" i="18"/>
  <c r="A107" i="18"/>
  <c r="A106" i="18"/>
  <c r="A105" i="18"/>
  <c r="A104" i="18"/>
  <c r="A103" i="18"/>
  <c r="A102" i="18"/>
  <c r="A101" i="18"/>
  <c r="A100" i="18"/>
  <c r="A99" i="18"/>
  <c r="A98" i="18"/>
  <c r="A96" i="18"/>
  <c r="A95" i="18"/>
  <c r="A94" i="18"/>
  <c r="A93" i="18"/>
  <c r="A92" i="18"/>
  <c r="A91" i="18"/>
  <c r="A90" i="18"/>
  <c r="A89" i="18"/>
  <c r="A88" i="18"/>
  <c r="A87" i="18"/>
  <c r="A86" i="18"/>
  <c r="A85" i="18"/>
  <c r="A84" i="18"/>
  <c r="A83" i="18"/>
  <c r="A82" i="18"/>
  <c r="A81" i="18"/>
  <c r="A80" i="18"/>
  <c r="A78" i="18"/>
  <c r="A77" i="18"/>
  <c r="A76" i="18"/>
  <c r="A75" i="18"/>
  <c r="A74" i="18"/>
  <c r="A73" i="18"/>
  <c r="A72" i="18"/>
  <c r="A71" i="18"/>
  <c r="A70" i="18"/>
  <c r="A69" i="18"/>
  <c r="A68" i="18"/>
  <c r="A67" i="18"/>
  <c r="A66" i="18"/>
  <c r="A65" i="18"/>
  <c r="A64" i="18"/>
  <c r="A63" i="18"/>
  <c r="A62" i="18"/>
  <c r="A60" i="18"/>
  <c r="A59" i="18"/>
  <c r="A58" i="18"/>
  <c r="A57" i="18"/>
  <c r="A56" i="18"/>
  <c r="A55" i="18"/>
  <c r="A54" i="18"/>
  <c r="A53" i="18"/>
  <c r="A52" i="18"/>
  <c r="A50" i="18"/>
  <c r="A49" i="18"/>
  <c r="A48" i="18"/>
  <c r="A47" i="18"/>
  <c r="A45" i="18"/>
  <c r="A44" i="18"/>
  <c r="A43" i="18"/>
  <c r="A42" i="18"/>
  <c r="A41" i="18"/>
  <c r="A40" i="18"/>
  <c r="A39" i="18"/>
  <c r="A37" i="18"/>
  <c r="A36" i="18"/>
  <c r="A35" i="18"/>
  <c r="A34" i="18"/>
  <c r="A33" i="18"/>
  <c r="A32" i="18"/>
  <c r="A30" i="18"/>
  <c r="A29" i="18"/>
  <c r="A28" i="18"/>
  <c r="A27" i="18"/>
  <c r="A26" i="18"/>
  <c r="A25" i="18"/>
  <c r="A24" i="18"/>
  <c r="B45" i="18" l="1"/>
  <c r="B44" i="18"/>
  <c r="B43" i="18"/>
  <c r="B42" i="18"/>
  <c r="B41" i="18"/>
  <c r="B40" i="18"/>
  <c r="B39" i="18"/>
  <c r="B37" i="18"/>
  <c r="B36" i="18"/>
  <c r="B35" i="18"/>
  <c r="B34" i="18"/>
  <c r="B33" i="18"/>
  <c r="B32" i="18"/>
  <c r="B30" i="18"/>
  <c r="B29" i="18"/>
  <c r="B28" i="18"/>
  <c r="B27" i="18"/>
  <c r="B26" i="18"/>
  <c r="B25" i="18"/>
  <c r="B24" i="18"/>
  <c r="D300" i="18" l="1"/>
  <c r="C300" i="18"/>
  <c r="A300" i="18"/>
  <c r="D268" i="18"/>
  <c r="C268" i="18"/>
  <c r="A268" i="18"/>
  <c r="D258" i="18"/>
  <c r="C258" i="18"/>
  <c r="A258" i="18"/>
  <c r="D253" i="18"/>
  <c r="C253" i="18"/>
  <c r="A253" i="18"/>
  <c r="D247" i="18"/>
  <c r="C247" i="18"/>
  <c r="A247" i="18"/>
  <c r="D244" i="18"/>
  <c r="C244" i="18"/>
  <c r="A244" i="18"/>
  <c r="D223" i="18"/>
  <c r="C223" i="18"/>
  <c r="A223" i="18"/>
  <c r="D217" i="18"/>
  <c r="C217" i="18"/>
  <c r="A217" i="18"/>
  <c r="D205" i="18"/>
  <c r="C205" i="18"/>
  <c r="A205" i="18"/>
  <c r="D192" i="18"/>
  <c r="C192" i="18"/>
  <c r="A192" i="18"/>
  <c r="D178" i="18"/>
  <c r="C178" i="18"/>
  <c r="A178" i="18"/>
  <c r="D158" i="18"/>
  <c r="C158" i="18"/>
  <c r="A158" i="18"/>
  <c r="D155" i="18"/>
  <c r="C155" i="18"/>
  <c r="A155" i="18"/>
  <c r="D126" i="18"/>
  <c r="C126" i="18"/>
  <c r="A126" i="18"/>
  <c r="D110" i="18"/>
  <c r="C110" i="18"/>
  <c r="A110" i="18"/>
  <c r="D97" i="18"/>
  <c r="C97" i="18"/>
  <c r="A97" i="18"/>
  <c r="D79" i="18"/>
  <c r="C79" i="18"/>
  <c r="A79" i="18"/>
  <c r="D61" i="18"/>
  <c r="C61" i="18"/>
  <c r="A61" i="18"/>
  <c r="D51" i="18"/>
  <c r="C51" i="18"/>
  <c r="A51" i="18"/>
  <c r="D46" i="18"/>
  <c r="C46" i="18"/>
  <c r="A46" i="18"/>
  <c r="D38" i="18"/>
  <c r="C38" i="18"/>
  <c r="D31" i="18"/>
  <c r="C31" i="18"/>
  <c r="B45" i="10" l="1"/>
  <c r="B44" i="10"/>
  <c r="B43" i="10"/>
  <c r="B42" i="10"/>
  <c r="B41" i="10"/>
  <c r="B40" i="10"/>
  <c r="B39" i="10"/>
  <c r="B37" i="10"/>
  <c r="B36" i="10"/>
  <c r="B35" i="10"/>
  <c r="B34" i="10"/>
  <c r="B33" i="10"/>
  <c r="B32" i="10"/>
  <c r="B30" i="10"/>
  <c r="B29" i="10"/>
  <c r="B28" i="10"/>
  <c r="B27" i="10"/>
  <c r="B26" i="10"/>
  <c r="B25" i="10"/>
  <c r="B24" i="10"/>
  <c r="D78" i="14" l="1"/>
  <c r="D77" i="14"/>
  <c r="D76" i="14"/>
  <c r="D75" i="14"/>
  <c r="A3" i="13"/>
  <c r="A4" i="13" s="1"/>
  <c r="A5"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41" i="14"/>
  <c r="A42" i="14"/>
  <c r="A43" i="14"/>
  <c r="A44" i="14"/>
  <c r="B41" i="14"/>
  <c r="D41" i="14"/>
  <c r="H41" i="14"/>
  <c r="B42" i="14"/>
  <c r="D42" i="14"/>
  <c r="H42" i="14"/>
  <c r="B43" i="14"/>
  <c r="D43" i="14"/>
  <c r="H43" i="14"/>
  <c r="B44" i="14"/>
  <c r="D44" i="14"/>
  <c r="H44" i="14"/>
  <c r="A45" i="14"/>
  <c r="B45" i="14"/>
  <c r="D45" i="14"/>
  <c r="H45" i="14"/>
  <c r="A46" i="14"/>
  <c r="B46" i="14"/>
  <c r="D46" i="14"/>
  <c r="H46" i="14"/>
  <c r="A47" i="14"/>
  <c r="B47" i="14"/>
  <c r="D47" i="14"/>
  <c r="H47" i="14"/>
  <c r="A48" i="14"/>
  <c r="B48" i="14"/>
  <c r="D48" i="14"/>
  <c r="H48" i="14"/>
  <c r="A49" i="14"/>
  <c r="B49" i="14"/>
  <c r="D49" i="14"/>
  <c r="H49" i="14"/>
  <c r="A50" i="14"/>
  <c r="B50" i="14"/>
  <c r="D50" i="14"/>
  <c r="H50" i="14"/>
  <c r="A51" i="14"/>
  <c r="B51" i="14"/>
  <c r="D51" i="14"/>
  <c r="H51" i="14"/>
  <c r="A52" i="14"/>
  <c r="B52" i="14"/>
  <c r="D52" i="14"/>
  <c r="H52" i="14"/>
  <c r="A53" i="14"/>
  <c r="B53" i="14"/>
  <c r="D53" i="14"/>
  <c r="H53" i="14"/>
  <c r="A54" i="14"/>
  <c r="B54" i="14"/>
  <c r="D54" i="14"/>
  <c r="H54" i="14"/>
  <c r="A55" i="14"/>
  <c r="B55" i="14"/>
  <c r="D55" i="14"/>
  <c r="H55" i="14"/>
  <c r="A56" i="14"/>
  <c r="B56" i="14"/>
  <c r="D56" i="14"/>
  <c r="H56" i="14"/>
  <c r="A57" i="14"/>
  <c r="B57" i="14"/>
  <c r="D57" i="14"/>
  <c r="H57" i="14"/>
  <c r="A58" i="14"/>
  <c r="B58" i="14"/>
  <c r="D58" i="14"/>
  <c r="H58" i="14"/>
  <c r="A59" i="14"/>
  <c r="B59" i="14"/>
  <c r="D59" i="14"/>
  <c r="H59" i="14"/>
  <c r="A60" i="14"/>
  <c r="B60" i="14"/>
  <c r="D60" i="14"/>
  <c r="H60" i="14"/>
  <c r="A61" i="14"/>
  <c r="B61" i="14"/>
  <c r="D61" i="14"/>
  <c r="H61" i="14"/>
  <c r="A62" i="14"/>
  <c r="B62" i="14"/>
  <c r="D62" i="14"/>
  <c r="H62" i="14"/>
  <c r="A63" i="14"/>
  <c r="B63" i="14"/>
  <c r="D63" i="14"/>
  <c r="H63" i="14"/>
  <c r="A64" i="14"/>
  <c r="B64" i="14"/>
  <c r="D64" i="14"/>
  <c r="H64" i="14"/>
  <c r="A65" i="14"/>
  <c r="B65" i="14"/>
  <c r="D65" i="14"/>
  <c r="H65" i="14"/>
  <c r="A66" i="14"/>
  <c r="B66" i="14"/>
  <c r="D66" i="14"/>
  <c r="H66" i="14"/>
  <c r="B67" i="14"/>
  <c r="A68" i="14"/>
  <c r="B68" i="14"/>
  <c r="D68" i="14"/>
  <c r="H68" i="14"/>
  <c r="B69" i="14"/>
  <c r="H73" i="14" s="1"/>
  <c r="A70" i="14"/>
  <c r="B70" i="14"/>
  <c r="D70" i="14"/>
  <c r="A71" i="14"/>
  <c r="B71" i="14"/>
  <c r="D71" i="14"/>
  <c r="A72" i="14"/>
  <c r="B72" i="14"/>
  <c r="D72" i="14"/>
  <c r="A73" i="14"/>
  <c r="B73" i="14"/>
  <c r="D73" i="14"/>
  <c r="B74" i="14"/>
  <c r="H77" i="14" s="1"/>
  <c r="A75" i="14"/>
  <c r="B75" i="14"/>
  <c r="A76" i="14"/>
  <c r="B76" i="14"/>
  <c r="A77" i="14"/>
  <c r="B77" i="14"/>
  <c r="A78" i="14"/>
  <c r="B78" i="14"/>
  <c r="B79" i="14"/>
  <c r="H80" i="14" s="1"/>
  <c r="A80" i="14"/>
  <c r="B80" i="14"/>
  <c r="D80" i="14"/>
  <c r="B81" i="14"/>
  <c r="H82" i="14" s="1"/>
  <c r="A82" i="14"/>
  <c r="B82" i="14"/>
  <c r="D82" i="14"/>
  <c r="A83" i="14"/>
  <c r="B83" i="14"/>
  <c r="D83" i="14"/>
  <c r="B84" i="14"/>
  <c r="H85" i="14" s="1"/>
  <c r="A85" i="14"/>
  <c r="B85" i="14"/>
  <c r="D85" i="14"/>
  <c r="A86" i="14"/>
  <c r="B86" i="14"/>
  <c r="D86" i="14"/>
  <c r="A87" i="14"/>
  <c r="B87" i="14"/>
  <c r="D87" i="14"/>
  <c r="A88" i="14"/>
  <c r="B88" i="14"/>
  <c r="D88" i="14"/>
  <c r="H88" i="14"/>
  <c r="A46" i="1"/>
  <c r="A51" i="1"/>
  <c r="I20" i="13" s="1"/>
  <c r="J20" i="13" s="1"/>
  <c r="A61" i="1"/>
  <c r="A79" i="1"/>
  <c r="E24" i="1"/>
  <c r="E25" i="1"/>
  <c r="E26" i="1"/>
  <c r="E27" i="1"/>
  <c r="E28" i="1"/>
  <c r="E29" i="1"/>
  <c r="E30" i="1"/>
  <c r="E32" i="1"/>
  <c r="E33" i="1"/>
  <c r="E34" i="1"/>
  <c r="E35" i="1"/>
  <c r="E36" i="1"/>
  <c r="E37" i="1"/>
  <c r="E41" i="1"/>
  <c r="E42" i="1"/>
  <c r="E43" i="1"/>
  <c r="E44" i="1"/>
  <c r="E52" i="1"/>
  <c r="E53" i="1"/>
  <c r="E54" i="1"/>
  <c r="E55" i="1"/>
  <c r="E56" i="1"/>
  <c r="E57" i="1"/>
  <c r="E58" i="1"/>
  <c r="E59" i="1"/>
  <c r="E60" i="1"/>
  <c r="E62" i="1"/>
  <c r="E63" i="1"/>
  <c r="E64" i="1"/>
  <c r="E65" i="1"/>
  <c r="E66" i="1"/>
  <c r="E67" i="1"/>
  <c r="E69" i="1"/>
  <c r="E72" i="1"/>
  <c r="E74" i="1"/>
  <c r="E75" i="1"/>
  <c r="E80" i="1"/>
  <c r="E81" i="1"/>
  <c r="E82" i="1"/>
  <c r="E83" i="1"/>
  <c r="E84" i="1"/>
  <c r="E85" i="1"/>
  <c r="E86" i="1"/>
  <c r="E87" i="1"/>
  <c r="E88" i="1"/>
  <c r="E89" i="1"/>
  <c r="E90" i="1"/>
  <c r="E91" i="1"/>
  <c r="E92" i="1"/>
  <c r="E93" i="1"/>
  <c r="E94" i="1"/>
  <c r="A97" i="1"/>
  <c r="E99" i="1"/>
  <c r="E100" i="1"/>
  <c r="E101" i="1"/>
  <c r="E102" i="1"/>
  <c r="E103" i="1"/>
  <c r="E104" i="1"/>
  <c r="E105" i="1"/>
  <c r="E106" i="1"/>
  <c r="E107" i="1"/>
  <c r="E108" i="1"/>
  <c r="E109" i="1"/>
  <c r="A110" i="1"/>
  <c r="E111" i="1"/>
  <c r="E113" i="1"/>
  <c r="E114" i="1"/>
  <c r="E117" i="1"/>
  <c r="E118" i="1"/>
  <c r="E119" i="1"/>
  <c r="E120" i="1"/>
  <c r="E121" i="1"/>
  <c r="E122" i="1"/>
  <c r="E123" i="1"/>
  <c r="E124" i="1"/>
  <c r="E125" i="1"/>
  <c r="A126" i="1"/>
  <c r="E127" i="1"/>
  <c r="E128" i="1"/>
  <c r="E129" i="1"/>
  <c r="E130" i="1"/>
  <c r="E131" i="1"/>
  <c r="E132" i="1"/>
  <c r="E134" i="1"/>
  <c r="E135" i="1"/>
  <c r="E136" i="1"/>
  <c r="E137" i="1"/>
  <c r="E138" i="1"/>
  <c r="E139" i="1"/>
  <c r="E141" i="1"/>
  <c r="E143" i="1"/>
  <c r="E144" i="1"/>
  <c r="E145" i="1"/>
  <c r="E146" i="1"/>
  <c r="E147" i="1"/>
  <c r="E148" i="1"/>
  <c r="E149" i="1"/>
  <c r="E150" i="1"/>
  <c r="E151" i="1"/>
  <c r="E152" i="1"/>
  <c r="E153" i="1"/>
  <c r="E154" i="1"/>
  <c r="A155" i="1"/>
  <c r="E156" i="1"/>
  <c r="E157" i="1"/>
  <c r="A158" i="1"/>
  <c r="E159" i="1"/>
  <c r="E160" i="1"/>
  <c r="E161" i="1"/>
  <c r="E162" i="1"/>
  <c r="E163" i="1"/>
  <c r="E164" i="1"/>
  <c r="E166" i="1"/>
  <c r="E167" i="1"/>
  <c r="E169" i="1"/>
  <c r="E170" i="1"/>
  <c r="E172" i="1"/>
  <c r="E173" i="1"/>
  <c r="E174" i="1"/>
  <c r="E177" i="1"/>
  <c r="A178" i="1"/>
  <c r="E180" i="1"/>
  <c r="E181" i="1"/>
  <c r="E182" i="1"/>
  <c r="E183" i="1"/>
  <c r="E184" i="1"/>
  <c r="E185" i="1"/>
  <c r="E186" i="1"/>
  <c r="E188" i="1"/>
  <c r="E189" i="1"/>
  <c r="E190" i="1"/>
  <c r="E191" i="1"/>
  <c r="A192" i="1"/>
  <c r="E193" i="1"/>
  <c r="E194" i="1"/>
  <c r="E196" i="1"/>
  <c r="E197" i="1"/>
  <c r="E198" i="1"/>
  <c r="E199" i="1"/>
  <c r="E200" i="1"/>
  <c r="E201" i="1"/>
  <c r="E202" i="1"/>
  <c r="E204" i="1"/>
  <c r="A205" i="1"/>
  <c r="E208" i="1"/>
  <c r="E209" i="1"/>
  <c r="E210" i="1"/>
  <c r="E211" i="1"/>
  <c r="E212" i="1"/>
  <c r="E213" i="1"/>
  <c r="E214" i="1"/>
  <c r="E215" i="1"/>
  <c r="A217" i="1"/>
  <c r="E218" i="1"/>
  <c r="E219" i="1"/>
  <c r="E220" i="1"/>
  <c r="E221" i="1"/>
  <c r="E222" i="1"/>
  <c r="A223" i="1"/>
  <c r="E224" i="1"/>
  <c r="E225" i="1"/>
  <c r="E226" i="1"/>
  <c r="E227" i="1"/>
  <c r="E228" i="1"/>
  <c r="E229" i="1"/>
  <c r="E230" i="1"/>
  <c r="E231" i="1"/>
  <c r="E232" i="1"/>
  <c r="E233" i="1"/>
  <c r="E234" i="1"/>
  <c r="E235" i="1"/>
  <c r="E236" i="1"/>
  <c r="E237" i="1"/>
  <c r="E238" i="1"/>
  <c r="E239" i="1"/>
  <c r="E240" i="1"/>
  <c r="E241" i="1"/>
  <c r="E242" i="1"/>
  <c r="E243" i="1"/>
  <c r="A244" i="1"/>
  <c r="E245" i="1"/>
  <c r="E246" i="1"/>
  <c r="A247" i="1"/>
  <c r="E249" i="1"/>
  <c r="E250" i="1"/>
  <c r="E251" i="1"/>
  <c r="E252" i="1"/>
  <c r="A253" i="1"/>
  <c r="E254" i="1"/>
  <c r="E255" i="1"/>
  <c r="E256" i="1"/>
  <c r="E257" i="1"/>
  <c r="A258" i="1"/>
  <c r="E259" i="1"/>
  <c r="E260" i="1"/>
  <c r="E261" i="1"/>
  <c r="E262" i="1"/>
  <c r="E263" i="1"/>
  <c r="E265" i="1"/>
  <c r="E267" i="1"/>
  <c r="A268" i="1"/>
  <c r="A300" i="1"/>
  <c r="E311" i="1"/>
  <c r="C10" i="14"/>
  <c r="F8" i="14"/>
  <c r="B8" i="14"/>
  <c r="F5" i="14"/>
  <c r="B6" i="14"/>
  <c r="F6" i="14"/>
  <c r="B7" i="14"/>
  <c r="B5" i="14"/>
  <c r="G48" i="15"/>
  <c r="E3" i="15"/>
  <c r="B3" i="15"/>
  <c r="H1" i="14"/>
  <c r="H1" i="15"/>
  <c r="I27" i="13"/>
  <c r="H28" i="13" s="1"/>
  <c r="K209" i="13"/>
  <c r="I10" i="13"/>
  <c r="J10" i="13" s="1"/>
  <c r="K10" i="13"/>
  <c r="I11" i="13"/>
  <c r="J11" i="13" s="1"/>
  <c r="K11" i="13"/>
  <c r="I12" i="13"/>
  <c r="J12" i="13" s="1"/>
  <c r="K12" i="13"/>
  <c r="I13" i="13"/>
  <c r="J13" i="13" s="1"/>
  <c r="K13" i="13"/>
  <c r="I14" i="13"/>
  <c r="J14" i="13" s="1"/>
  <c r="K14" i="13"/>
  <c r="I15" i="13"/>
  <c r="J15" i="13" s="1"/>
  <c r="K15" i="13"/>
  <c r="K20" i="13"/>
  <c r="I21" i="13"/>
  <c r="J21" i="13" s="1"/>
  <c r="K21" i="13"/>
  <c r="K22" i="13"/>
  <c r="I23" i="13"/>
  <c r="J23" i="13" s="1"/>
  <c r="K23" i="13"/>
  <c r="K24" i="13"/>
  <c r="K25" i="13"/>
  <c r="K27" i="13"/>
  <c r="K29" i="13"/>
  <c r="K30" i="13"/>
  <c r="K31" i="13"/>
  <c r="K32" i="13"/>
  <c r="K33" i="13"/>
  <c r="K34" i="13"/>
  <c r="K36" i="13"/>
  <c r="K39" i="13"/>
  <c r="K42" i="13"/>
  <c r="K45" i="13"/>
  <c r="K46" i="13"/>
  <c r="K47" i="13"/>
  <c r="K48" i="13"/>
  <c r="K49" i="13"/>
  <c r="K51" i="13"/>
  <c r="K52" i="13"/>
  <c r="K53" i="13"/>
  <c r="K54" i="13"/>
  <c r="K55" i="13"/>
  <c r="K57" i="13"/>
  <c r="K60" i="13"/>
  <c r="K62" i="13"/>
  <c r="K64" i="13"/>
  <c r="K65" i="13"/>
  <c r="K66" i="13"/>
  <c r="K67" i="13"/>
  <c r="K68" i="13"/>
  <c r="K69" i="13"/>
  <c r="K70" i="13"/>
  <c r="K71" i="13"/>
  <c r="K72" i="13"/>
  <c r="K74" i="13"/>
  <c r="K75" i="13"/>
  <c r="K77" i="13"/>
  <c r="K78" i="13"/>
  <c r="K81" i="13"/>
  <c r="K82" i="13"/>
  <c r="K83" i="13"/>
  <c r="K84" i="13"/>
  <c r="K85" i="13"/>
  <c r="K86" i="13"/>
  <c r="K87" i="13"/>
  <c r="K88" i="13"/>
  <c r="K89" i="13"/>
  <c r="K90" i="13"/>
  <c r="K91" i="13"/>
  <c r="K92" i="13"/>
  <c r="K93" i="13"/>
  <c r="K94" i="13"/>
  <c r="K95" i="13"/>
  <c r="K97" i="13"/>
  <c r="K98" i="13"/>
  <c r="K99" i="13"/>
  <c r="K100" i="13"/>
  <c r="K102" i="13"/>
  <c r="K104" i="13"/>
  <c r="K106" i="13"/>
  <c r="K108" i="13"/>
  <c r="K109" i="13"/>
  <c r="K110" i="13"/>
  <c r="K111" i="13"/>
  <c r="K113" i="13"/>
  <c r="K114" i="13"/>
  <c r="K115" i="13"/>
  <c r="K116" i="13"/>
  <c r="K117" i="13"/>
  <c r="K118" i="13"/>
  <c r="K119" i="13"/>
  <c r="K120" i="13"/>
  <c r="K121" i="13"/>
  <c r="K126" i="13"/>
  <c r="K129" i="13"/>
  <c r="K130" i="13"/>
  <c r="K132" i="13"/>
  <c r="K133" i="13"/>
  <c r="K137" i="13"/>
  <c r="K139" i="13"/>
  <c r="K140" i="13"/>
  <c r="K141" i="13"/>
  <c r="K142" i="13"/>
  <c r="K145" i="13"/>
  <c r="K149" i="13"/>
  <c r="K150" i="13"/>
  <c r="K156" i="13"/>
  <c r="K158" i="13"/>
  <c r="K160" i="13"/>
  <c r="K162" i="13"/>
  <c r="K165" i="13"/>
  <c r="K166" i="13"/>
  <c r="K167" i="13"/>
  <c r="K168" i="13"/>
  <c r="K169" i="13"/>
  <c r="K171" i="13"/>
  <c r="K172" i="13"/>
  <c r="K175" i="13"/>
  <c r="K176" i="13"/>
  <c r="K177" i="13"/>
  <c r="K178" i="13"/>
  <c r="K180" i="13"/>
  <c r="K181" i="13"/>
  <c r="K182" i="13"/>
  <c r="K183" i="13"/>
  <c r="K184" i="13"/>
  <c r="K185" i="13"/>
  <c r="K186" i="13"/>
  <c r="K187" i="13"/>
  <c r="K188" i="13"/>
  <c r="K189" i="13"/>
  <c r="K190" i="13"/>
  <c r="K191" i="13"/>
  <c r="K192" i="13"/>
  <c r="K193" i="13"/>
  <c r="K194" i="13"/>
  <c r="K195" i="13"/>
  <c r="K196" i="13"/>
  <c r="K197" i="13"/>
  <c r="K198" i="13"/>
  <c r="K199" i="13"/>
  <c r="K200" i="13"/>
  <c r="K202" i="13"/>
  <c r="K203" i="13"/>
  <c r="K204" i="13"/>
  <c r="K205" i="13"/>
  <c r="K206" i="13"/>
  <c r="K207" i="13"/>
  <c r="K208" i="13"/>
  <c r="K210" i="13"/>
  <c r="K212" i="13"/>
  <c r="K213" i="13"/>
  <c r="K214" i="13"/>
  <c r="K216"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2" i="13"/>
  <c r="K243" i="13"/>
  <c r="K244" i="13"/>
  <c r="K245" i="13"/>
  <c r="K246" i="13"/>
  <c r="K247" i="13"/>
  <c r="K248" i="13"/>
  <c r="K249" i="13"/>
  <c r="K250" i="13"/>
  <c r="K251" i="13"/>
  <c r="K252" i="13"/>
  <c r="K253" i="13"/>
  <c r="K254" i="13"/>
  <c r="K258" i="13"/>
  <c r="K259" i="13"/>
  <c r="K260" i="13"/>
  <c r="I264" i="13"/>
  <c r="J264" i="13" s="1"/>
  <c r="L264" i="13" s="1"/>
  <c r="K264" i="13"/>
  <c r="I265" i="13"/>
  <c r="J265" i="13" s="1"/>
  <c r="K265" i="13"/>
  <c r="E265" i="13" s="1"/>
  <c r="I266" i="13"/>
  <c r="J266" i="13" s="1"/>
  <c r="L266" i="13" s="1"/>
  <c r="K266" i="13"/>
  <c r="I267" i="13"/>
  <c r="J267" i="13" s="1"/>
  <c r="L267" i="13" s="1"/>
  <c r="K267" i="13"/>
  <c r="E267" i="13" s="1"/>
  <c r="K40" i="13"/>
  <c r="K135" i="13"/>
  <c r="K138" i="13"/>
  <c r="K215" i="13"/>
  <c r="K201" i="13"/>
  <c r="K163" i="13"/>
  <c r="K131" i="13"/>
  <c r="K112" i="13"/>
  <c r="K107" i="13"/>
  <c r="K268" i="13"/>
  <c r="E268" i="13" s="1"/>
  <c r="K255" i="13"/>
  <c r="K173" i="13"/>
  <c r="K261" i="13"/>
  <c r="K257" i="13"/>
  <c r="K256" i="13"/>
  <c r="K241" i="13"/>
  <c r="K217" i="13"/>
  <c r="K179" i="13"/>
  <c r="K174" i="13"/>
  <c r="K170" i="13"/>
  <c r="K164" i="13"/>
  <c r="K159" i="13"/>
  <c r="K153" i="13"/>
  <c r="K147" i="13"/>
  <c r="K146" i="13"/>
  <c r="K136" i="13"/>
  <c r="K125" i="13"/>
  <c r="K105" i="13"/>
  <c r="K103" i="13"/>
  <c r="K96" i="13"/>
  <c r="K76" i="13"/>
  <c r="K50" i="13"/>
  <c r="K79" i="13"/>
  <c r="K63" i="13"/>
  <c r="K61" i="13"/>
  <c r="K44" i="13"/>
  <c r="K43" i="13"/>
  <c r="K38" i="13"/>
  <c r="K19" i="13"/>
  <c r="K18" i="13"/>
  <c r="K17" i="13"/>
  <c r="K16" i="13"/>
  <c r="K35" i="13"/>
  <c r="K41" i="13"/>
  <c r="K37" i="13"/>
  <c r="K263" i="13"/>
  <c r="E263" i="13" s="1"/>
  <c r="K262" i="13"/>
  <c r="K80" i="13"/>
  <c r="K9" i="13"/>
  <c r="L9" i="13" s="1"/>
  <c r="K8" i="13"/>
  <c r="L8" i="13" s="1"/>
  <c r="K7" i="13"/>
  <c r="K5" i="13"/>
  <c r="L5" i="13" s="1"/>
  <c r="K4" i="13"/>
  <c r="K3" i="13"/>
  <c r="L3" i="13" s="1"/>
  <c r="K2" i="13"/>
  <c r="A38" i="14"/>
  <c r="A39" i="14"/>
  <c r="A40" i="14"/>
  <c r="J35" i="13"/>
  <c r="L35" i="13" s="1"/>
  <c r="L7" i="13"/>
  <c r="L4" i="13"/>
  <c r="L2" i="13"/>
  <c r="C17" i="14"/>
  <c r="N6" i="13"/>
  <c r="I268" i="13"/>
  <c r="S268" i="13"/>
  <c r="R268" i="13"/>
  <c r="Q268" i="13"/>
  <c r="P268" i="13"/>
  <c r="O268" i="13"/>
  <c r="N268" i="13"/>
  <c r="M268" i="13"/>
  <c r="D268" i="13"/>
  <c r="C268" i="13"/>
  <c r="S267" i="13"/>
  <c r="R267" i="13"/>
  <c r="Q267" i="13"/>
  <c r="P267" i="13"/>
  <c r="O267" i="13"/>
  <c r="N267" i="13"/>
  <c r="M267" i="13"/>
  <c r="D267" i="13"/>
  <c r="C267" i="13"/>
  <c r="S266" i="13"/>
  <c r="R266" i="13"/>
  <c r="Q266" i="13"/>
  <c r="P266" i="13"/>
  <c r="O266" i="13"/>
  <c r="N266" i="13"/>
  <c r="M266" i="13"/>
  <c r="E266" i="13"/>
  <c r="D266" i="13"/>
  <c r="C266" i="13"/>
  <c r="S265" i="13"/>
  <c r="R265" i="13"/>
  <c r="Q265" i="13"/>
  <c r="P265" i="13"/>
  <c r="O265" i="13"/>
  <c r="N265" i="13"/>
  <c r="M265" i="13"/>
  <c r="D265" i="13"/>
  <c r="C265" i="13"/>
  <c r="S264" i="13"/>
  <c r="R264" i="13"/>
  <c r="Q264" i="13"/>
  <c r="P264" i="13"/>
  <c r="O264" i="13"/>
  <c r="N264" i="13"/>
  <c r="M264" i="13"/>
  <c r="E264" i="13"/>
  <c r="D264" i="13"/>
  <c r="C264" i="13"/>
  <c r="S263" i="13"/>
  <c r="R263" i="13"/>
  <c r="Q263" i="13"/>
  <c r="P263" i="13"/>
  <c r="O263" i="13"/>
  <c r="N263" i="13"/>
  <c r="M263" i="13"/>
  <c r="I263" i="13"/>
  <c r="D263" i="13"/>
  <c r="C263" i="13"/>
  <c r="S262" i="13"/>
  <c r="R262" i="13"/>
  <c r="Q262" i="13"/>
  <c r="P262" i="13"/>
  <c r="O262" i="13"/>
  <c r="N262" i="13"/>
  <c r="M262" i="13"/>
  <c r="I262" i="13"/>
  <c r="E262" i="13"/>
  <c r="D262" i="13"/>
  <c r="C262" i="13"/>
  <c r="D40" i="14"/>
  <c r="B40" i="14"/>
  <c r="D39" i="14"/>
  <c r="B39" i="14"/>
  <c r="H40" i="14"/>
  <c r="H39" i="14"/>
  <c r="H38" i="14"/>
  <c r="D38" i="14"/>
  <c r="B38" i="14"/>
  <c r="I9" i="13"/>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5" i="15"/>
  <c r="G225" i="15"/>
  <c r="H225" i="15" s="1"/>
  <c r="A224" i="15"/>
  <c r="G224" i="15" s="1"/>
  <c r="H224" i="15" s="1"/>
  <c r="A223" i="15"/>
  <c r="G223" i="15" s="1"/>
  <c r="H223" i="15" s="1"/>
  <c r="A222" i="15"/>
  <c r="G222" i="15"/>
  <c r="A221" i="15"/>
  <c r="G221" i="15"/>
  <c r="H221" i="15" s="1"/>
  <c r="A220" i="15"/>
  <c r="G220" i="15" s="1"/>
  <c r="A219" i="15"/>
  <c r="G219" i="15" s="1"/>
  <c r="H219" i="15" s="1"/>
  <c r="A218" i="15"/>
  <c r="G218" i="15" s="1"/>
  <c r="H218" i="15" s="1"/>
  <c r="A217" i="15"/>
  <c r="G217" i="15" s="1"/>
  <c r="H217" i="15" s="1"/>
  <c r="A216" i="15"/>
  <c r="G216" i="15" s="1"/>
  <c r="H216" i="15" s="1"/>
  <c r="A215" i="15"/>
  <c r="G215" i="15" s="1"/>
  <c r="H215" i="15" s="1"/>
  <c r="A214" i="15"/>
  <c r="G214" i="15" s="1"/>
  <c r="H214" i="15" s="1"/>
  <c r="A213" i="15"/>
  <c r="G213" i="15" s="1"/>
  <c r="H213" i="15" s="1"/>
  <c r="A212" i="15"/>
  <c r="G212" i="15" s="1"/>
  <c r="H212" i="15" s="1"/>
  <c r="A211" i="15"/>
  <c r="G211" i="15" s="1"/>
  <c r="H211" i="15" s="1"/>
  <c r="A210" i="15"/>
  <c r="G210" i="15" s="1"/>
  <c r="H210" i="15" s="1"/>
  <c r="A209" i="15"/>
  <c r="G209" i="15" s="1"/>
  <c r="H209" i="15" s="1"/>
  <c r="A208" i="15"/>
  <c r="G208" i="15" s="1"/>
  <c r="H208" i="15" s="1"/>
  <c r="A207" i="15"/>
  <c r="G207" i="15" s="1"/>
  <c r="H207" i="15" s="1"/>
  <c r="A206" i="15"/>
  <c r="G206" i="15" s="1"/>
  <c r="H206" i="15" s="1"/>
  <c r="A205" i="15"/>
  <c r="G205" i="15" s="1"/>
  <c r="H205" i="15" s="1"/>
  <c r="A204" i="15"/>
  <c r="G204" i="15" s="1"/>
  <c r="H204" i="15" s="1"/>
  <c r="A203" i="15"/>
  <c r="G203" i="15" s="1"/>
  <c r="H203" i="15" s="1"/>
  <c r="A202" i="15"/>
  <c r="G202" i="15" s="1"/>
  <c r="H202" i="15" s="1"/>
  <c r="A201" i="15"/>
  <c r="G201" i="15" s="1"/>
  <c r="H201" i="15" s="1"/>
  <c r="A200" i="15"/>
  <c r="G200" i="15" s="1"/>
  <c r="H200" i="15" s="1"/>
  <c r="A199" i="15"/>
  <c r="G199" i="15" s="1"/>
  <c r="H199" i="15" s="1"/>
  <c r="A198" i="15"/>
  <c r="G198" i="15" s="1"/>
  <c r="H198" i="15" s="1"/>
  <c r="A197" i="15"/>
  <c r="G197" i="15" s="1"/>
  <c r="H197" i="15" s="1"/>
  <c r="A196" i="15"/>
  <c r="G196" i="15" s="1"/>
  <c r="H196" i="15" s="1"/>
  <c r="A195" i="15"/>
  <c r="G195" i="15" s="1"/>
  <c r="H195" i="15" s="1"/>
  <c r="A194" i="15"/>
  <c r="G194" i="15" s="1"/>
  <c r="H194" i="15" s="1"/>
  <c r="A193" i="15"/>
  <c r="G193" i="15" s="1"/>
  <c r="H193" i="15" s="1"/>
  <c r="A192" i="15"/>
  <c r="G192" i="15" s="1"/>
  <c r="H192" i="15" s="1"/>
  <c r="A191" i="15"/>
  <c r="G191" i="15" s="1"/>
  <c r="H191" i="15" s="1"/>
  <c r="A190" i="15"/>
  <c r="G190" i="15" s="1"/>
  <c r="H190" i="15" s="1"/>
  <c r="A189" i="15"/>
  <c r="G189" i="15" s="1"/>
  <c r="H189" i="15" s="1"/>
  <c r="A188" i="15"/>
  <c r="G188" i="15" s="1"/>
  <c r="H188" i="15" s="1"/>
  <c r="A187" i="15"/>
  <c r="G187" i="15" s="1"/>
  <c r="H187" i="15" s="1"/>
  <c r="A186" i="15"/>
  <c r="G186" i="15" s="1"/>
  <c r="H186" i="15" s="1"/>
  <c r="A185" i="15"/>
  <c r="G185" i="15" s="1"/>
  <c r="H185" i="15" s="1"/>
  <c r="A184" i="15"/>
  <c r="G184" i="15" s="1"/>
  <c r="H184" i="15" s="1"/>
  <c r="A183" i="15"/>
  <c r="G183" i="15" s="1"/>
  <c r="H183" i="15" s="1"/>
  <c r="A182" i="15"/>
  <c r="G182" i="15" s="1"/>
  <c r="H182" i="15" s="1"/>
  <c r="A181" i="15"/>
  <c r="G181" i="15" s="1"/>
  <c r="H181" i="15" s="1"/>
  <c r="A180" i="15"/>
  <c r="G180" i="15" s="1"/>
  <c r="H180" i="15" s="1"/>
  <c r="A179" i="15"/>
  <c r="G179" i="15" s="1"/>
  <c r="H179" i="15" s="1"/>
  <c r="A178" i="15"/>
  <c r="G178" i="15" s="1"/>
  <c r="H178" i="15" s="1"/>
  <c r="A177" i="15"/>
  <c r="G177" i="15" s="1"/>
  <c r="H177" i="15" s="1"/>
  <c r="A176" i="15"/>
  <c r="G176" i="15" s="1"/>
  <c r="H176" i="15" s="1"/>
  <c r="A175" i="15"/>
  <c r="G175" i="15" s="1"/>
  <c r="H175" i="15" s="1"/>
  <c r="A174" i="15"/>
  <c r="G174" i="15" s="1"/>
  <c r="H174" i="15" s="1"/>
  <c r="A173" i="15"/>
  <c r="G173" i="15" s="1"/>
  <c r="H173" i="15" s="1"/>
  <c r="A172" i="15"/>
  <c r="G172" i="15" s="1"/>
  <c r="H172" i="15" s="1"/>
  <c r="A171" i="15"/>
  <c r="G171" i="15" s="1"/>
  <c r="H171" i="15" s="1"/>
  <c r="A170" i="15"/>
  <c r="G170" i="15" s="1"/>
  <c r="H170" i="15" s="1"/>
  <c r="A169" i="15"/>
  <c r="G169" i="15" s="1"/>
  <c r="H169" i="15" s="1"/>
  <c r="A168" i="15"/>
  <c r="G168" i="15" s="1"/>
  <c r="H168" i="15" s="1"/>
  <c r="A167" i="15"/>
  <c r="G167" i="15" s="1"/>
  <c r="H167" i="15" s="1"/>
  <c r="A166" i="15"/>
  <c r="G166" i="15" s="1"/>
  <c r="H166" i="15" s="1"/>
  <c r="A165" i="15"/>
  <c r="G165" i="15" s="1"/>
  <c r="H165" i="15" s="1"/>
  <c r="A164" i="15"/>
  <c r="G164" i="15" s="1"/>
  <c r="H164" i="15" s="1"/>
  <c r="A163" i="15"/>
  <c r="G163" i="15" s="1"/>
  <c r="H163" i="15" s="1"/>
  <c r="A162" i="15"/>
  <c r="G162" i="15" s="1"/>
  <c r="H162" i="15" s="1"/>
  <c r="A161" i="15"/>
  <c r="G161" i="15" s="1"/>
  <c r="H161" i="15" s="1"/>
  <c r="A160" i="15"/>
  <c r="G160" i="15" s="1"/>
  <c r="H160" i="15" s="1"/>
  <c r="A159" i="15"/>
  <c r="G159" i="15" s="1"/>
  <c r="H159" i="15" s="1"/>
  <c r="A158" i="15"/>
  <c r="G158" i="15" s="1"/>
  <c r="H158" i="15" s="1"/>
  <c r="A157" i="15"/>
  <c r="G157" i="15" s="1"/>
  <c r="H157" i="15" s="1"/>
  <c r="A156" i="15"/>
  <c r="G156" i="15" s="1"/>
  <c r="H156" i="15" s="1"/>
  <c r="A155" i="15"/>
  <c r="G155" i="15" s="1"/>
  <c r="H155" i="15" s="1"/>
  <c r="A154" i="15"/>
  <c r="G154" i="15" s="1"/>
  <c r="H154" i="15" s="1"/>
  <c r="A153" i="15"/>
  <c r="G153" i="15" s="1"/>
  <c r="H153" i="15" s="1"/>
  <c r="A152" i="15"/>
  <c r="G152" i="15" s="1"/>
  <c r="H152" i="15" s="1"/>
  <c r="A151" i="15"/>
  <c r="G151" i="15" s="1"/>
  <c r="H151" i="15" s="1"/>
  <c r="A150" i="15"/>
  <c r="G150" i="15" s="1"/>
  <c r="H150" i="15" s="1"/>
  <c r="A149" i="15"/>
  <c r="G149" i="15" s="1"/>
  <c r="H149" i="15" s="1"/>
  <c r="A148" i="15"/>
  <c r="G148" i="15" s="1"/>
  <c r="H148" i="15" s="1"/>
  <c r="A147" i="15"/>
  <c r="G147" i="15" s="1"/>
  <c r="H147" i="15" s="1"/>
  <c r="A146" i="15"/>
  <c r="G146" i="15" s="1"/>
  <c r="H146" i="15" s="1"/>
  <c r="A145" i="15"/>
  <c r="G145" i="15" s="1"/>
  <c r="H145" i="15" s="1"/>
  <c r="A144" i="15"/>
  <c r="G144" i="15" s="1"/>
  <c r="H144" i="15" s="1"/>
  <c r="A143" i="15"/>
  <c r="G143" i="15" s="1"/>
  <c r="H143" i="15" s="1"/>
  <c r="A142" i="15"/>
  <c r="G142" i="15" s="1"/>
  <c r="H142" i="15" s="1"/>
  <c r="A141" i="15"/>
  <c r="G141" i="15" s="1"/>
  <c r="H141" i="15" s="1"/>
  <c r="A140" i="15"/>
  <c r="G140" i="15" s="1"/>
  <c r="H140" i="15" s="1"/>
  <c r="A139" i="15"/>
  <c r="G139" i="15" s="1"/>
  <c r="H139" i="15" s="1"/>
  <c r="A138" i="15"/>
  <c r="G138" i="15" s="1"/>
  <c r="H138" i="15" s="1"/>
  <c r="A137" i="15"/>
  <c r="G137" i="15" s="1"/>
  <c r="H137" i="15" s="1"/>
  <c r="A136" i="15"/>
  <c r="G136" i="15" s="1"/>
  <c r="H136" i="15" s="1"/>
  <c r="A135" i="15"/>
  <c r="G135" i="15" s="1"/>
  <c r="H135" i="15" s="1"/>
  <c r="A134" i="15"/>
  <c r="G134" i="15" s="1"/>
  <c r="H134" i="15" s="1"/>
  <c r="A133" i="15"/>
  <c r="G133" i="15" s="1"/>
  <c r="H133" i="15" s="1"/>
  <c r="A132" i="15"/>
  <c r="G132" i="15" s="1"/>
  <c r="H132" i="15" s="1"/>
  <c r="A131" i="15"/>
  <c r="G131" i="15" s="1"/>
  <c r="H131" i="15" s="1"/>
  <c r="A130" i="15"/>
  <c r="G130" i="15" s="1"/>
  <c r="H130" i="15" s="1"/>
  <c r="A129" i="15"/>
  <c r="G129" i="15" s="1"/>
  <c r="H129" i="15" s="1"/>
  <c r="A128" i="15"/>
  <c r="G128" i="15" s="1"/>
  <c r="H128" i="15" s="1"/>
  <c r="A127" i="15"/>
  <c r="G127" i="15" s="1"/>
  <c r="H127" i="15" s="1"/>
  <c r="A126" i="15"/>
  <c r="G126" i="15" s="1"/>
  <c r="H126" i="15" s="1"/>
  <c r="A125" i="15"/>
  <c r="G125" i="15" s="1"/>
  <c r="H125" i="15" s="1"/>
  <c r="A124" i="15"/>
  <c r="G124" i="15" s="1"/>
  <c r="H124" i="15" s="1"/>
  <c r="A123" i="15"/>
  <c r="G123" i="15" s="1"/>
  <c r="H123" i="15" s="1"/>
  <c r="A122" i="15"/>
  <c r="G122" i="15" s="1"/>
  <c r="H122" i="15" s="1"/>
  <c r="A121" i="15"/>
  <c r="G121" i="15" s="1"/>
  <c r="H121" i="15" s="1"/>
  <c r="A120" i="15"/>
  <c r="G120" i="15" s="1"/>
  <c r="H120" i="15" s="1"/>
  <c r="A119" i="15"/>
  <c r="G119" i="15" s="1"/>
  <c r="H119" i="15" s="1"/>
  <c r="A118" i="15"/>
  <c r="G118" i="15" s="1"/>
  <c r="H118" i="15" s="1"/>
  <c r="A117" i="15"/>
  <c r="G117" i="15" s="1"/>
  <c r="H117" i="15" s="1"/>
  <c r="A116" i="15"/>
  <c r="G116" i="15" s="1"/>
  <c r="H116" i="15" s="1"/>
  <c r="A115" i="15"/>
  <c r="G115" i="15" s="1"/>
  <c r="H115" i="15" s="1"/>
  <c r="A114" i="15"/>
  <c r="G114" i="15" s="1"/>
  <c r="H114" i="15" s="1"/>
  <c r="A113" i="15"/>
  <c r="G113" i="15" s="1"/>
  <c r="H113" i="15" s="1"/>
  <c r="A112" i="15"/>
  <c r="G112" i="15" s="1"/>
  <c r="H112" i="15" s="1"/>
  <c r="A111" i="15"/>
  <c r="G111" i="15" s="1"/>
  <c r="H111" i="15" s="1"/>
  <c r="A110" i="15"/>
  <c r="G110" i="15" s="1"/>
  <c r="H110" i="15" s="1"/>
  <c r="A109" i="15"/>
  <c r="G109" i="15" s="1"/>
  <c r="H109" i="15" s="1"/>
  <c r="A108" i="15"/>
  <c r="G108" i="15" s="1"/>
  <c r="H108" i="15" s="1"/>
  <c r="A107" i="15"/>
  <c r="G107" i="15" s="1"/>
  <c r="H107" i="15" s="1"/>
  <c r="A106" i="15"/>
  <c r="G106" i="15" s="1"/>
  <c r="H106" i="15" s="1"/>
  <c r="A105" i="15"/>
  <c r="G105" i="15" s="1"/>
  <c r="H105" i="15" s="1"/>
  <c r="A104" i="15"/>
  <c r="G104" i="15" s="1"/>
  <c r="H104" i="15" s="1"/>
  <c r="A103" i="15"/>
  <c r="G103" i="15" s="1"/>
  <c r="H103" i="15" s="1"/>
  <c r="A102" i="15"/>
  <c r="G102" i="15" s="1"/>
  <c r="H102" i="15" s="1"/>
  <c r="A101" i="15"/>
  <c r="G101" i="15" s="1"/>
  <c r="H101" i="15" s="1"/>
  <c r="A100" i="15"/>
  <c r="G100" i="15" s="1"/>
  <c r="H100" i="15" s="1"/>
  <c r="A99" i="15"/>
  <c r="G99" i="15" s="1"/>
  <c r="H99" i="15" s="1"/>
  <c r="A98" i="15"/>
  <c r="G98" i="15" s="1"/>
  <c r="H98" i="15" s="1"/>
  <c r="A97" i="15"/>
  <c r="G97" i="15" s="1"/>
  <c r="H97" i="15" s="1"/>
  <c r="A96" i="15"/>
  <c r="G96" i="15" s="1"/>
  <c r="H96" i="15" s="1"/>
  <c r="A95" i="15"/>
  <c r="G95" i="15" s="1"/>
  <c r="H95" i="15" s="1"/>
  <c r="A94" i="15"/>
  <c r="G94" i="15" s="1"/>
  <c r="H94" i="15" s="1"/>
  <c r="A93" i="15"/>
  <c r="G93" i="15" s="1"/>
  <c r="H93" i="15" s="1"/>
  <c r="A92" i="15"/>
  <c r="G92" i="15" s="1"/>
  <c r="H92" i="15" s="1"/>
  <c r="A91" i="15"/>
  <c r="G91" i="15" s="1"/>
  <c r="H91" i="15" s="1"/>
  <c r="A90" i="15"/>
  <c r="G90" i="15" s="1"/>
  <c r="H90" i="15" s="1"/>
  <c r="A89" i="15"/>
  <c r="G89" i="15" s="1"/>
  <c r="H89" i="15" s="1"/>
  <c r="A88" i="15"/>
  <c r="G88" i="15" s="1"/>
  <c r="H88" i="15" s="1"/>
  <c r="A87" i="15"/>
  <c r="G87" i="15" s="1"/>
  <c r="H87" i="15" s="1"/>
  <c r="A86" i="15"/>
  <c r="G86" i="15" s="1"/>
  <c r="H86" i="15" s="1"/>
  <c r="A85" i="15"/>
  <c r="G85" i="15" s="1"/>
  <c r="H85" i="15" s="1"/>
  <c r="A84" i="15"/>
  <c r="G84" i="15" s="1"/>
  <c r="H84" i="15" s="1"/>
  <c r="A83" i="15"/>
  <c r="G83" i="15" s="1"/>
  <c r="H83" i="15" s="1"/>
  <c r="A82" i="15"/>
  <c r="G82" i="15" s="1"/>
  <c r="H82" i="15" s="1"/>
  <c r="A81" i="15"/>
  <c r="G81" i="15" s="1"/>
  <c r="H81" i="15" s="1"/>
  <c r="A80" i="15"/>
  <c r="G80" i="15" s="1"/>
  <c r="H80" i="15" s="1"/>
  <c r="A79" i="15"/>
  <c r="G79" i="15" s="1"/>
  <c r="H79" i="15" s="1"/>
  <c r="A78" i="15"/>
  <c r="G78" i="15" s="1"/>
  <c r="H78" i="15" s="1"/>
  <c r="A77" i="15"/>
  <c r="G77" i="15" s="1"/>
  <c r="H77" i="15" s="1"/>
  <c r="A76" i="15"/>
  <c r="G76" i="15" s="1"/>
  <c r="H76" i="15" s="1"/>
  <c r="A75" i="15"/>
  <c r="G75" i="15" s="1"/>
  <c r="H75" i="15" s="1"/>
  <c r="A74" i="15"/>
  <c r="G74" i="15" s="1"/>
  <c r="H74" i="15" s="1"/>
  <c r="A73" i="15"/>
  <c r="G73" i="15" s="1"/>
  <c r="H73" i="15" s="1"/>
  <c r="A72" i="15"/>
  <c r="G72" i="15" s="1"/>
  <c r="H72" i="15" s="1"/>
  <c r="A71" i="15"/>
  <c r="G71" i="15" s="1"/>
  <c r="H71" i="15" s="1"/>
  <c r="A70" i="15"/>
  <c r="G70" i="15" s="1"/>
  <c r="H70" i="15" s="1"/>
  <c r="A69" i="15"/>
  <c r="G69" i="15" s="1"/>
  <c r="H69" i="15" s="1"/>
  <c r="A68" i="15"/>
  <c r="G68" i="15" s="1"/>
  <c r="H68" i="15" s="1"/>
  <c r="A67" i="15"/>
  <c r="G67" i="15" s="1"/>
  <c r="H67" i="15" s="1"/>
  <c r="A66" i="15"/>
  <c r="G66" i="15" s="1"/>
  <c r="H66" i="15" s="1"/>
  <c r="A65" i="15"/>
  <c r="G65" i="15" s="1"/>
  <c r="H65" i="15" s="1"/>
  <c r="A64" i="15"/>
  <c r="G64" i="15" s="1"/>
  <c r="H64" i="15" s="1"/>
  <c r="A63" i="15"/>
  <c r="G63" i="15" s="1"/>
  <c r="H63" i="15" s="1"/>
  <c r="A62" i="15"/>
  <c r="G62" i="15" s="1"/>
  <c r="H62" i="15" s="1"/>
  <c r="A61" i="15"/>
  <c r="G61" i="15" s="1"/>
  <c r="H61" i="15" s="1"/>
  <c r="A60" i="15"/>
  <c r="G60" i="15" s="1"/>
  <c r="H60" i="15" s="1"/>
  <c r="A59" i="15"/>
  <c r="G59" i="15" s="1"/>
  <c r="H59" i="15" s="1"/>
  <c r="A58" i="15"/>
  <c r="G58" i="15" s="1"/>
  <c r="H58" i="15" s="1"/>
  <c r="A57" i="15"/>
  <c r="G57" i="15" s="1"/>
  <c r="H57" i="15" s="1"/>
  <c r="A56" i="15"/>
  <c r="G56" i="15" s="1"/>
  <c r="H56" i="15" s="1"/>
  <c r="A55" i="15"/>
  <c r="G55" i="15" s="1"/>
  <c r="H55" i="15" s="1"/>
  <c r="A54" i="15"/>
  <c r="G54" i="15" s="1"/>
  <c r="H54" i="15" s="1"/>
  <c r="A53" i="15"/>
  <c r="G53" i="15" s="1"/>
  <c r="H53" i="15" s="1"/>
  <c r="A52" i="15"/>
  <c r="G52" i="15" s="1"/>
  <c r="H52" i="15" s="1"/>
  <c r="A51" i="15"/>
  <c r="G51" i="15" s="1"/>
  <c r="H51" i="15" s="1"/>
  <c r="A50" i="15"/>
  <c r="G50" i="15" s="1"/>
  <c r="H50" i="15" s="1"/>
  <c r="A49" i="15"/>
  <c r="G49" i="15" s="1"/>
  <c r="H49" i="15" s="1"/>
  <c r="A46" i="10"/>
  <c r="A51" i="10"/>
  <c r="A61" i="10"/>
  <c r="A79" i="10"/>
  <c r="C31" i="10"/>
  <c r="D31" i="10"/>
  <c r="E31" i="10"/>
  <c r="F31" i="10"/>
  <c r="G31" i="10"/>
  <c r="H31" i="10"/>
  <c r="C38" i="10"/>
  <c r="D38" i="10"/>
  <c r="E38" i="10"/>
  <c r="F38" i="10"/>
  <c r="G38" i="10"/>
  <c r="H38" i="10"/>
  <c r="C46" i="10"/>
  <c r="D46" i="10"/>
  <c r="E46" i="10"/>
  <c r="F46" i="10"/>
  <c r="G46" i="10"/>
  <c r="H46" i="10"/>
  <c r="C51" i="10"/>
  <c r="D51" i="10"/>
  <c r="E51" i="10"/>
  <c r="F51" i="10"/>
  <c r="G51" i="10"/>
  <c r="H51" i="10"/>
  <c r="C61" i="10"/>
  <c r="D61" i="10"/>
  <c r="E61" i="10"/>
  <c r="F61" i="10"/>
  <c r="G61" i="10"/>
  <c r="H61" i="10"/>
  <c r="C79" i="10"/>
  <c r="D79" i="10"/>
  <c r="E79" i="10"/>
  <c r="F79" i="10"/>
  <c r="G79" i="10"/>
  <c r="H79" i="10"/>
  <c r="A97" i="10"/>
  <c r="C97" i="10"/>
  <c r="D97" i="10"/>
  <c r="E97" i="10"/>
  <c r="F97" i="10"/>
  <c r="G97" i="10"/>
  <c r="H97" i="10"/>
  <c r="A110" i="10"/>
  <c r="C110" i="10"/>
  <c r="D110" i="10"/>
  <c r="E110" i="10"/>
  <c r="F110" i="10"/>
  <c r="G110" i="10"/>
  <c r="H110" i="10"/>
  <c r="A126" i="10"/>
  <c r="C126" i="10"/>
  <c r="D126" i="10"/>
  <c r="E126" i="10"/>
  <c r="F126" i="10"/>
  <c r="G126" i="10"/>
  <c r="H126" i="10"/>
  <c r="A155" i="10"/>
  <c r="C155" i="10"/>
  <c r="D155" i="10"/>
  <c r="E155" i="10"/>
  <c r="F155" i="10"/>
  <c r="G155" i="10"/>
  <c r="H155" i="10"/>
  <c r="A158" i="10"/>
  <c r="C158" i="10"/>
  <c r="D158" i="10"/>
  <c r="E158" i="10"/>
  <c r="F158" i="10"/>
  <c r="G158" i="10"/>
  <c r="H158" i="10"/>
  <c r="A178" i="10"/>
  <c r="C178" i="10"/>
  <c r="D178" i="10"/>
  <c r="E178" i="10"/>
  <c r="F178" i="10"/>
  <c r="G178" i="10"/>
  <c r="H178" i="10"/>
  <c r="A192" i="10"/>
  <c r="C192" i="10"/>
  <c r="D192" i="10"/>
  <c r="E192" i="10"/>
  <c r="F192" i="10"/>
  <c r="G192" i="10"/>
  <c r="H192" i="10"/>
  <c r="A205" i="10"/>
  <c r="R250" i="13" s="1"/>
  <c r="C205" i="10"/>
  <c r="D205" i="10"/>
  <c r="E205" i="10"/>
  <c r="F205" i="10"/>
  <c r="G205" i="10"/>
  <c r="H205" i="10"/>
  <c r="A217" i="10"/>
  <c r="C217" i="10"/>
  <c r="D217" i="10"/>
  <c r="E217" i="10"/>
  <c r="F217" i="10"/>
  <c r="G217" i="10"/>
  <c r="H217" i="10"/>
  <c r="A223" i="10"/>
  <c r="C223" i="10"/>
  <c r="D223" i="10"/>
  <c r="E223" i="10"/>
  <c r="F223" i="10"/>
  <c r="G223" i="10"/>
  <c r="H223" i="10"/>
  <c r="A244" i="10"/>
  <c r="C244" i="10"/>
  <c r="D244" i="10"/>
  <c r="E244" i="10"/>
  <c r="F244" i="10"/>
  <c r="G244" i="10"/>
  <c r="H244" i="10"/>
  <c r="A247" i="10"/>
  <c r="C247" i="10"/>
  <c r="D247" i="10"/>
  <c r="E247" i="10"/>
  <c r="F247" i="10"/>
  <c r="G247" i="10"/>
  <c r="H247" i="10"/>
  <c r="A253" i="10"/>
  <c r="C253" i="10"/>
  <c r="D253" i="10"/>
  <c r="E253" i="10"/>
  <c r="F253" i="10"/>
  <c r="G253" i="10"/>
  <c r="H253" i="10"/>
  <c r="A258" i="10"/>
  <c r="C258" i="10"/>
  <c r="D258" i="10"/>
  <c r="E258" i="10"/>
  <c r="F258" i="10"/>
  <c r="G258" i="10"/>
  <c r="H258" i="10"/>
  <c r="A268" i="10"/>
  <c r="C268" i="10"/>
  <c r="D268" i="10"/>
  <c r="E268" i="10"/>
  <c r="F268" i="10"/>
  <c r="G268" i="10"/>
  <c r="H268" i="10"/>
  <c r="A300" i="10"/>
  <c r="C300" i="10"/>
  <c r="D300" i="10"/>
  <c r="E300" i="10"/>
  <c r="F300" i="10"/>
  <c r="G300" i="10"/>
  <c r="H300" i="10"/>
  <c r="S52" i="13"/>
  <c r="S21" i="13"/>
  <c r="S19" i="13"/>
  <c r="S18" i="13"/>
  <c r="S17" i="13"/>
  <c r="S15" i="13"/>
  <c r="S14" i="13"/>
  <c r="S13" i="13"/>
  <c r="S12" i="13"/>
  <c r="S11" i="13"/>
  <c r="S10" i="13"/>
  <c r="S9" i="13"/>
  <c r="S8" i="13"/>
  <c r="S7" i="13"/>
  <c r="S5" i="13"/>
  <c r="S4" i="13"/>
  <c r="S3" i="13"/>
  <c r="S2" i="13"/>
  <c r="E11" i="13"/>
  <c r="E12" i="13"/>
  <c r="E13" i="13"/>
  <c r="E14" i="13"/>
  <c r="E15" i="13"/>
  <c r="E16" i="13"/>
  <c r="E17" i="13"/>
  <c r="E18" i="13"/>
  <c r="E19" i="13"/>
  <c r="E20" i="13"/>
  <c r="E21" i="13"/>
  <c r="E22" i="13"/>
  <c r="E23" i="13"/>
  <c r="E24" i="13"/>
  <c r="E25" i="13"/>
  <c r="E27"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7"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2" i="13"/>
  <c r="E103" i="13"/>
  <c r="E104" i="13"/>
  <c r="E105" i="13"/>
  <c r="E106" i="13"/>
  <c r="E107" i="13"/>
  <c r="E108" i="13"/>
  <c r="E109" i="13"/>
  <c r="E110" i="13"/>
  <c r="E111" i="13"/>
  <c r="E112" i="13"/>
  <c r="E113" i="13"/>
  <c r="E114" i="13"/>
  <c r="E115" i="13"/>
  <c r="E116" i="13"/>
  <c r="E117" i="13"/>
  <c r="E118" i="13"/>
  <c r="E119" i="13"/>
  <c r="E120" i="13"/>
  <c r="E121" i="13"/>
  <c r="E122" i="13"/>
  <c r="E125" i="13"/>
  <c r="E126" i="13"/>
  <c r="E127" i="13"/>
  <c r="E129" i="13"/>
  <c r="E130" i="13"/>
  <c r="E131" i="13"/>
  <c r="E132" i="13"/>
  <c r="E133" i="13"/>
  <c r="E135" i="13"/>
  <c r="E136" i="13"/>
  <c r="E137" i="13"/>
  <c r="E138" i="13"/>
  <c r="E139" i="13"/>
  <c r="E140" i="13"/>
  <c r="E141" i="13"/>
  <c r="E142" i="13"/>
  <c r="E144" i="13"/>
  <c r="E145" i="13"/>
  <c r="E146" i="13"/>
  <c r="E147" i="13"/>
  <c r="E149" i="13"/>
  <c r="E150" i="13"/>
  <c r="E151" i="13"/>
  <c r="E152" i="13"/>
  <c r="E153" i="13"/>
  <c r="E154" i="13"/>
  <c r="E155" i="13"/>
  <c r="E156" i="13"/>
  <c r="E157" i="13"/>
  <c r="E158" i="13"/>
  <c r="E159" i="13"/>
  <c r="E160"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10" i="13"/>
  <c r="B4" i="15"/>
  <c r="I2" i="13"/>
  <c r="U15" i="13" s="1"/>
  <c r="I3" i="13"/>
  <c r="X16" i="13" s="1"/>
  <c r="D27" i="14" s="1"/>
  <c r="I4" i="13"/>
  <c r="I5" i="13"/>
  <c r="X18" i="13" s="1"/>
  <c r="D29" i="14" s="1"/>
  <c r="I7" i="13"/>
  <c r="U19" i="13" s="1"/>
  <c r="I8" i="13"/>
  <c r="W20" i="13" s="1"/>
  <c r="E31" i="14" s="1"/>
  <c r="C26" i="13"/>
  <c r="C16" i="13"/>
  <c r="D16" i="13"/>
  <c r="D17" i="13"/>
  <c r="C18" i="13"/>
  <c r="D18" i="13"/>
  <c r="M18" i="13"/>
  <c r="N18" i="13"/>
  <c r="P18" i="13"/>
  <c r="Q18" i="13"/>
  <c r="R18" i="13"/>
  <c r="I17" i="13"/>
  <c r="M17" i="13"/>
  <c r="N17" i="13"/>
  <c r="O17" i="13"/>
  <c r="Q17" i="13"/>
  <c r="R17" i="13"/>
  <c r="D19" i="13"/>
  <c r="I19" i="13"/>
  <c r="M19" i="13"/>
  <c r="N19" i="13"/>
  <c r="P19" i="13"/>
  <c r="Q19" i="13"/>
  <c r="R19" i="13"/>
  <c r="D20" i="13"/>
  <c r="R20" i="13"/>
  <c r="I16" i="13"/>
  <c r="M16" i="13"/>
  <c r="N16" i="13"/>
  <c r="O16" i="13"/>
  <c r="Q16" i="13"/>
  <c r="R16" i="13"/>
  <c r="D49" i="15"/>
  <c r="D48" i="15"/>
  <c r="B48" i="15"/>
  <c r="A48" i="15"/>
  <c r="B183" i="15"/>
  <c r="D183" i="15"/>
  <c r="B184" i="15"/>
  <c r="D184" i="15"/>
  <c r="B185" i="15"/>
  <c r="D185" i="15"/>
  <c r="B186" i="15"/>
  <c r="D186" i="15"/>
  <c r="B187" i="15"/>
  <c r="D187" i="15"/>
  <c r="B188" i="15"/>
  <c r="D188" i="15"/>
  <c r="B189" i="15"/>
  <c r="D189" i="15"/>
  <c r="B190" i="15"/>
  <c r="D190" i="15"/>
  <c r="B191" i="15"/>
  <c r="D191" i="15"/>
  <c r="B192" i="15"/>
  <c r="D192" i="15"/>
  <c r="B193" i="15"/>
  <c r="D193" i="15"/>
  <c r="B194" i="15"/>
  <c r="D194" i="15"/>
  <c r="B195" i="15"/>
  <c r="D195" i="15"/>
  <c r="B196" i="15"/>
  <c r="D196" i="15"/>
  <c r="B197" i="15"/>
  <c r="D197" i="15"/>
  <c r="B198" i="15"/>
  <c r="D198" i="15"/>
  <c r="B199" i="15"/>
  <c r="D199" i="15"/>
  <c r="B200" i="15"/>
  <c r="D200" i="15"/>
  <c r="B201" i="15"/>
  <c r="D201" i="15"/>
  <c r="B202" i="15"/>
  <c r="D202" i="15"/>
  <c r="B203" i="15"/>
  <c r="D203" i="15"/>
  <c r="B204" i="15"/>
  <c r="D204" i="15"/>
  <c r="B205" i="15"/>
  <c r="D205" i="15"/>
  <c r="B206" i="15"/>
  <c r="D206" i="15"/>
  <c r="B207" i="15"/>
  <c r="D207" i="15"/>
  <c r="B208" i="15"/>
  <c r="D208" i="15"/>
  <c r="B209" i="15"/>
  <c r="D209" i="15"/>
  <c r="B210" i="15"/>
  <c r="D210" i="15"/>
  <c r="B211" i="15"/>
  <c r="D211" i="15"/>
  <c r="B212" i="15"/>
  <c r="D212" i="15"/>
  <c r="B213" i="15"/>
  <c r="D213" i="15"/>
  <c r="B214" i="15"/>
  <c r="D214" i="15"/>
  <c r="B215" i="15"/>
  <c r="D215" i="15"/>
  <c r="B216" i="15"/>
  <c r="D216" i="15"/>
  <c r="B217" i="15"/>
  <c r="D217" i="15"/>
  <c r="B218" i="15"/>
  <c r="D218" i="15"/>
  <c r="B219" i="15"/>
  <c r="D219" i="15"/>
  <c r="B220" i="15"/>
  <c r="D220" i="15"/>
  <c r="B221" i="15"/>
  <c r="D221" i="15"/>
  <c r="B222" i="15"/>
  <c r="D222" i="15"/>
  <c r="B223" i="15"/>
  <c r="D223" i="15"/>
  <c r="B224" i="15"/>
  <c r="D224" i="15"/>
  <c r="B225" i="15"/>
  <c r="D225" i="15"/>
  <c r="A226" i="15"/>
  <c r="B226" i="15"/>
  <c r="D226" i="15"/>
  <c r="A227" i="15"/>
  <c r="B227" i="15"/>
  <c r="D227" i="15"/>
  <c r="A228" i="15"/>
  <c r="B228" i="15"/>
  <c r="D228" i="15"/>
  <c r="A229" i="15"/>
  <c r="B229" i="15"/>
  <c r="D229" i="15"/>
  <c r="A230" i="15"/>
  <c r="B230" i="15"/>
  <c r="D230" i="15"/>
  <c r="A231" i="15"/>
  <c r="B231" i="15"/>
  <c r="D231" i="15"/>
  <c r="A232" i="15"/>
  <c r="B232" i="15"/>
  <c r="D232" i="15"/>
  <c r="A233" i="15"/>
  <c r="B233" i="15"/>
  <c r="D233" i="15"/>
  <c r="A234" i="15"/>
  <c r="B234" i="15"/>
  <c r="D234" i="15"/>
  <c r="A235" i="15"/>
  <c r="B235" i="15"/>
  <c r="D235" i="15"/>
  <c r="A236" i="15"/>
  <c r="B236" i="15"/>
  <c r="D236" i="15"/>
  <c r="A237" i="15"/>
  <c r="B237" i="15"/>
  <c r="D237" i="15"/>
  <c r="A238" i="15"/>
  <c r="B238" i="15"/>
  <c r="D238" i="15"/>
  <c r="A239" i="15"/>
  <c r="B239" i="15"/>
  <c r="D239" i="15"/>
  <c r="A240" i="15"/>
  <c r="B240" i="15"/>
  <c r="D240" i="15"/>
  <c r="A241" i="15"/>
  <c r="B241" i="15"/>
  <c r="D241" i="15"/>
  <c r="A242" i="15"/>
  <c r="B242" i="15"/>
  <c r="D242" i="15"/>
  <c r="A243" i="15"/>
  <c r="B243" i="15"/>
  <c r="D243" i="15"/>
  <c r="A244" i="15"/>
  <c r="B244" i="15"/>
  <c r="D244" i="15"/>
  <c r="A245" i="15"/>
  <c r="B245" i="15"/>
  <c r="D245" i="15"/>
  <c r="A246" i="15"/>
  <c r="B246" i="15"/>
  <c r="D246" i="15"/>
  <c r="A247" i="15"/>
  <c r="B247" i="15"/>
  <c r="D247" i="15"/>
  <c r="A248" i="15"/>
  <c r="B248" i="15"/>
  <c r="D248" i="15"/>
  <c r="A249" i="15"/>
  <c r="B249" i="15"/>
  <c r="D249" i="15"/>
  <c r="A250" i="15"/>
  <c r="B250" i="15"/>
  <c r="D250" i="15"/>
  <c r="A251" i="15"/>
  <c r="B251" i="15"/>
  <c r="D251" i="15"/>
  <c r="A252" i="15"/>
  <c r="B252" i="15"/>
  <c r="D252" i="15"/>
  <c r="A253" i="15"/>
  <c r="B253" i="15"/>
  <c r="D253" i="15"/>
  <c r="A254" i="15"/>
  <c r="B254" i="15"/>
  <c r="D254" i="15"/>
  <c r="A255" i="15"/>
  <c r="B255" i="15"/>
  <c r="D255" i="15"/>
  <c r="A256" i="15"/>
  <c r="B256" i="15"/>
  <c r="D256" i="15"/>
  <c r="A257" i="15"/>
  <c r="B257" i="15"/>
  <c r="D257" i="15"/>
  <c r="A258" i="15"/>
  <c r="B258" i="15"/>
  <c r="D258" i="15"/>
  <c r="A259" i="15"/>
  <c r="B259" i="15"/>
  <c r="D259" i="15"/>
  <c r="A260" i="15"/>
  <c r="B260" i="15"/>
  <c r="D260" i="15"/>
  <c r="A261" i="15"/>
  <c r="B261" i="15"/>
  <c r="D261" i="15"/>
  <c r="A262" i="15"/>
  <c r="B262" i="15"/>
  <c r="D262" i="15"/>
  <c r="A263" i="15"/>
  <c r="B263" i="15"/>
  <c r="D263" i="15"/>
  <c r="A264" i="15"/>
  <c r="B264" i="15"/>
  <c r="D264" i="15"/>
  <c r="A265" i="15"/>
  <c r="B265" i="15"/>
  <c r="D265" i="15"/>
  <c r="A266" i="15"/>
  <c r="B266" i="15"/>
  <c r="D266" i="15"/>
  <c r="A267" i="15"/>
  <c r="B267" i="15"/>
  <c r="D267" i="15"/>
  <c r="A268" i="15"/>
  <c r="B268" i="15"/>
  <c r="D268" i="15"/>
  <c r="A269" i="15"/>
  <c r="B269" i="15"/>
  <c r="D269" i="15"/>
  <c r="A270" i="15"/>
  <c r="B270" i="15"/>
  <c r="D270" i="15"/>
  <c r="A271" i="15"/>
  <c r="B271" i="15"/>
  <c r="D271" i="15"/>
  <c r="A272" i="15"/>
  <c r="B272" i="15"/>
  <c r="D272" i="15"/>
  <c r="A273" i="15"/>
  <c r="B273" i="15"/>
  <c r="D273" i="15"/>
  <c r="A274" i="15"/>
  <c r="B274" i="15"/>
  <c r="D274" i="15"/>
  <c r="A275" i="15"/>
  <c r="B275" i="15"/>
  <c r="D275" i="15"/>
  <c r="A276" i="15"/>
  <c r="B276" i="15"/>
  <c r="D276" i="15"/>
  <c r="A277" i="15"/>
  <c r="B277" i="15"/>
  <c r="D277" i="15"/>
  <c r="A278" i="15"/>
  <c r="B278" i="15"/>
  <c r="D278" i="15"/>
  <c r="A279" i="15"/>
  <c r="B279" i="15"/>
  <c r="D279" i="15"/>
  <c r="A280" i="15"/>
  <c r="B280" i="15"/>
  <c r="D280" i="15"/>
  <c r="A281" i="15"/>
  <c r="B281" i="15"/>
  <c r="D281" i="15"/>
  <c r="A282" i="15"/>
  <c r="B282" i="15"/>
  <c r="D282" i="15"/>
  <c r="A283" i="15"/>
  <c r="B283" i="15"/>
  <c r="D283" i="15"/>
  <c r="A284" i="15"/>
  <c r="B284" i="15"/>
  <c r="D284" i="15"/>
  <c r="A285" i="15"/>
  <c r="B285" i="15"/>
  <c r="D285" i="15"/>
  <c r="A286" i="15"/>
  <c r="B286" i="15"/>
  <c r="D286" i="15"/>
  <c r="A287" i="15"/>
  <c r="B287" i="15"/>
  <c r="D287" i="15"/>
  <c r="A288" i="15"/>
  <c r="B288" i="15"/>
  <c r="D288" i="15"/>
  <c r="A289" i="15"/>
  <c r="B289" i="15"/>
  <c r="D289" i="15"/>
  <c r="A290" i="15"/>
  <c r="B290" i="15"/>
  <c r="D290" i="15"/>
  <c r="A291" i="15"/>
  <c r="B291" i="15"/>
  <c r="D291" i="15"/>
  <c r="A292" i="15"/>
  <c r="B292" i="15"/>
  <c r="D292" i="15"/>
  <c r="A293" i="15"/>
  <c r="B293" i="15"/>
  <c r="D293" i="15"/>
  <c r="A294" i="15"/>
  <c r="B294" i="15"/>
  <c r="D294" i="15"/>
  <c r="A295" i="15"/>
  <c r="B295" i="15"/>
  <c r="D295" i="15"/>
  <c r="A296" i="15"/>
  <c r="B296" i="15"/>
  <c r="D296" i="15"/>
  <c r="A297" i="15"/>
  <c r="B297" i="15"/>
  <c r="D297" i="15"/>
  <c r="A298" i="15"/>
  <c r="B298" i="15"/>
  <c r="D298" i="15"/>
  <c r="A299" i="15"/>
  <c r="B299" i="15"/>
  <c r="D299" i="15"/>
  <c r="A300" i="15"/>
  <c r="B300" i="15"/>
  <c r="D300" i="15"/>
  <c r="A301" i="15"/>
  <c r="B301" i="15"/>
  <c r="D301" i="15"/>
  <c r="A302" i="15"/>
  <c r="B302" i="15"/>
  <c r="D302" i="15"/>
  <c r="A303" i="15"/>
  <c r="B303" i="15"/>
  <c r="D303" i="15"/>
  <c r="A304" i="15"/>
  <c r="B304" i="15"/>
  <c r="D304" i="15"/>
  <c r="A305" i="15"/>
  <c r="B305" i="15"/>
  <c r="D305" i="15"/>
  <c r="A306" i="15"/>
  <c r="B306" i="15"/>
  <c r="D306" i="15"/>
  <c r="A307" i="15"/>
  <c r="B307" i="15"/>
  <c r="D307" i="15"/>
  <c r="A308" i="15"/>
  <c r="B308" i="15"/>
  <c r="D308" i="15"/>
  <c r="A309" i="15"/>
  <c r="B309" i="15"/>
  <c r="D309" i="15"/>
  <c r="A310" i="15"/>
  <c r="B310" i="15"/>
  <c r="D310" i="15"/>
  <c r="A311" i="15"/>
  <c r="B311" i="15"/>
  <c r="D311" i="15"/>
  <c r="A312" i="15"/>
  <c r="B312" i="15"/>
  <c r="D312" i="15"/>
  <c r="A313" i="15"/>
  <c r="B313" i="15"/>
  <c r="D313" i="15"/>
  <c r="A314" i="15"/>
  <c r="B314" i="15"/>
  <c r="D314" i="15"/>
  <c r="A315" i="15"/>
  <c r="B315" i="15"/>
  <c r="D315" i="15"/>
  <c r="A316" i="15"/>
  <c r="B316" i="15"/>
  <c r="D316" i="15"/>
  <c r="B116" i="15"/>
  <c r="D116" i="15"/>
  <c r="B117" i="15"/>
  <c r="D117" i="15"/>
  <c r="B118" i="15"/>
  <c r="D118" i="15"/>
  <c r="B119" i="15"/>
  <c r="D119" i="15"/>
  <c r="B120" i="15"/>
  <c r="D120" i="15"/>
  <c r="B121" i="15"/>
  <c r="D121" i="15"/>
  <c r="B122" i="15"/>
  <c r="D122" i="15"/>
  <c r="B123" i="15"/>
  <c r="D123" i="15"/>
  <c r="B124" i="15"/>
  <c r="D124" i="15"/>
  <c r="B125" i="15"/>
  <c r="D125" i="15"/>
  <c r="B126" i="15"/>
  <c r="D126" i="15"/>
  <c r="B127" i="15"/>
  <c r="D127" i="15"/>
  <c r="B128" i="15"/>
  <c r="D128" i="15"/>
  <c r="B129" i="15"/>
  <c r="D129" i="15"/>
  <c r="B130" i="15"/>
  <c r="D130" i="15"/>
  <c r="B131" i="15"/>
  <c r="D131" i="15"/>
  <c r="B132" i="15"/>
  <c r="D132" i="15"/>
  <c r="B133" i="15"/>
  <c r="D133" i="15"/>
  <c r="B134" i="15"/>
  <c r="D134" i="15"/>
  <c r="B135" i="15"/>
  <c r="D135" i="15"/>
  <c r="B136" i="15"/>
  <c r="D136" i="15"/>
  <c r="B137" i="15"/>
  <c r="D137" i="15"/>
  <c r="B138" i="15"/>
  <c r="D138" i="15"/>
  <c r="B139" i="15"/>
  <c r="D139" i="15"/>
  <c r="B140" i="15"/>
  <c r="D140" i="15"/>
  <c r="B141" i="15"/>
  <c r="D141" i="15"/>
  <c r="B142" i="15"/>
  <c r="D142" i="15"/>
  <c r="B143" i="15"/>
  <c r="D143" i="15"/>
  <c r="B144" i="15"/>
  <c r="D144" i="15"/>
  <c r="B145" i="15"/>
  <c r="D145" i="15"/>
  <c r="B146" i="15"/>
  <c r="D146" i="15"/>
  <c r="B147" i="15"/>
  <c r="D147" i="15"/>
  <c r="B148" i="15"/>
  <c r="D148" i="15"/>
  <c r="B149" i="15"/>
  <c r="D149" i="15"/>
  <c r="B150" i="15"/>
  <c r="D150" i="15"/>
  <c r="B151" i="15"/>
  <c r="D151" i="15"/>
  <c r="B152" i="15"/>
  <c r="D152" i="15"/>
  <c r="B153" i="15"/>
  <c r="D153" i="15"/>
  <c r="B154" i="15"/>
  <c r="D154" i="15"/>
  <c r="B155" i="15"/>
  <c r="D155" i="15"/>
  <c r="B156" i="15"/>
  <c r="D156" i="15"/>
  <c r="B157" i="15"/>
  <c r="D157" i="15"/>
  <c r="B158" i="15"/>
  <c r="D158" i="15"/>
  <c r="B159" i="15"/>
  <c r="D159" i="15"/>
  <c r="B160" i="15"/>
  <c r="D160" i="15"/>
  <c r="B161" i="15"/>
  <c r="D161" i="15"/>
  <c r="B162" i="15"/>
  <c r="D162" i="15"/>
  <c r="B163" i="15"/>
  <c r="D163" i="15"/>
  <c r="B164" i="15"/>
  <c r="D164" i="15"/>
  <c r="B165" i="15"/>
  <c r="D165" i="15"/>
  <c r="B166" i="15"/>
  <c r="D166" i="15"/>
  <c r="B167" i="15"/>
  <c r="D167" i="15"/>
  <c r="B168" i="15"/>
  <c r="D168" i="15"/>
  <c r="B169" i="15"/>
  <c r="D169" i="15"/>
  <c r="B170" i="15"/>
  <c r="D170" i="15"/>
  <c r="B171" i="15"/>
  <c r="D171" i="15"/>
  <c r="B172" i="15"/>
  <c r="D172" i="15"/>
  <c r="B173" i="15"/>
  <c r="D173" i="15"/>
  <c r="B174" i="15"/>
  <c r="D174" i="15"/>
  <c r="B175" i="15"/>
  <c r="D175" i="15"/>
  <c r="B176" i="15"/>
  <c r="D176" i="15"/>
  <c r="B177" i="15"/>
  <c r="D177" i="15"/>
  <c r="B178" i="15"/>
  <c r="D178" i="15"/>
  <c r="B179" i="15"/>
  <c r="D179" i="15"/>
  <c r="B180" i="15"/>
  <c r="D180" i="15"/>
  <c r="B181" i="15"/>
  <c r="D181" i="15"/>
  <c r="B182" i="15"/>
  <c r="D182" i="15"/>
  <c r="B50" i="15"/>
  <c r="D50" i="15"/>
  <c r="B51" i="15"/>
  <c r="D51" i="15"/>
  <c r="B52" i="15"/>
  <c r="D52" i="15"/>
  <c r="B53" i="15"/>
  <c r="D53" i="15"/>
  <c r="B54" i="15"/>
  <c r="D54" i="15"/>
  <c r="B55" i="15"/>
  <c r="D55" i="15"/>
  <c r="B56" i="15"/>
  <c r="D56" i="15"/>
  <c r="B57" i="15"/>
  <c r="D57" i="15"/>
  <c r="B58" i="15"/>
  <c r="D58" i="15"/>
  <c r="B59" i="15"/>
  <c r="D59" i="15"/>
  <c r="B60" i="15"/>
  <c r="D60" i="15"/>
  <c r="B61" i="15"/>
  <c r="D61" i="15"/>
  <c r="B62" i="15"/>
  <c r="D62" i="15"/>
  <c r="B63" i="15"/>
  <c r="D63" i="15"/>
  <c r="B64" i="15"/>
  <c r="D64" i="15"/>
  <c r="B65" i="15"/>
  <c r="D65" i="15"/>
  <c r="B66" i="15"/>
  <c r="D66" i="15"/>
  <c r="B67" i="15"/>
  <c r="D67" i="15"/>
  <c r="B68" i="15"/>
  <c r="D68" i="15"/>
  <c r="B69" i="15"/>
  <c r="D69" i="15"/>
  <c r="B70" i="15"/>
  <c r="D70" i="15"/>
  <c r="B71" i="15"/>
  <c r="D71" i="15"/>
  <c r="B72" i="15"/>
  <c r="D72" i="15"/>
  <c r="B73" i="15"/>
  <c r="D73" i="15"/>
  <c r="B74" i="15"/>
  <c r="D74" i="15"/>
  <c r="B75" i="15"/>
  <c r="D75" i="15"/>
  <c r="B76" i="15"/>
  <c r="D76" i="15"/>
  <c r="B77" i="15"/>
  <c r="D77" i="15"/>
  <c r="B78" i="15"/>
  <c r="D78" i="15"/>
  <c r="B79" i="15"/>
  <c r="D79" i="15"/>
  <c r="B80" i="15"/>
  <c r="D80" i="15"/>
  <c r="B81" i="15"/>
  <c r="D81" i="15"/>
  <c r="B82" i="15"/>
  <c r="D82" i="15"/>
  <c r="B83" i="15"/>
  <c r="D83" i="15"/>
  <c r="B84" i="15"/>
  <c r="D84" i="15"/>
  <c r="B85" i="15"/>
  <c r="D85" i="15"/>
  <c r="B86" i="15"/>
  <c r="D86" i="15"/>
  <c r="B87" i="15"/>
  <c r="D87" i="15"/>
  <c r="B88" i="15"/>
  <c r="D88" i="15"/>
  <c r="B89" i="15"/>
  <c r="D89" i="15"/>
  <c r="B90" i="15"/>
  <c r="D90" i="15"/>
  <c r="B91" i="15"/>
  <c r="D91" i="15"/>
  <c r="B92" i="15"/>
  <c r="D92" i="15"/>
  <c r="B93" i="15"/>
  <c r="D93" i="15"/>
  <c r="B94" i="15"/>
  <c r="D94" i="15"/>
  <c r="B95" i="15"/>
  <c r="D95" i="15"/>
  <c r="B96" i="15"/>
  <c r="D96" i="15"/>
  <c r="B97" i="15"/>
  <c r="D97" i="15"/>
  <c r="B98" i="15"/>
  <c r="D98" i="15"/>
  <c r="B99" i="15"/>
  <c r="D99" i="15"/>
  <c r="B100" i="15"/>
  <c r="D100" i="15"/>
  <c r="B101" i="15"/>
  <c r="D101" i="15"/>
  <c r="B102" i="15"/>
  <c r="D102" i="15"/>
  <c r="B103" i="15"/>
  <c r="D103" i="15"/>
  <c r="B104" i="15"/>
  <c r="D104" i="15"/>
  <c r="B105" i="15"/>
  <c r="D105" i="15"/>
  <c r="B106" i="15"/>
  <c r="D106" i="15"/>
  <c r="B107" i="15"/>
  <c r="D107" i="15"/>
  <c r="B108" i="15"/>
  <c r="D108" i="15"/>
  <c r="B109" i="15"/>
  <c r="D109" i="15"/>
  <c r="B110" i="15"/>
  <c r="D110" i="15"/>
  <c r="B111" i="15"/>
  <c r="D111" i="15"/>
  <c r="B112" i="15"/>
  <c r="D112" i="15"/>
  <c r="B113" i="15"/>
  <c r="D113" i="15"/>
  <c r="B114" i="15"/>
  <c r="D114" i="15"/>
  <c r="B115" i="15"/>
  <c r="D115" i="15"/>
  <c r="B49" i="15"/>
  <c r="M3" i="13"/>
  <c r="N3" i="13"/>
  <c r="O3" i="13"/>
  <c r="P3" i="13"/>
  <c r="Q3" i="13"/>
  <c r="R3" i="13"/>
  <c r="M4" i="13"/>
  <c r="N4" i="13"/>
  <c r="O4" i="13"/>
  <c r="P4" i="13"/>
  <c r="Q4" i="13"/>
  <c r="R4" i="13"/>
  <c r="M5" i="13"/>
  <c r="N5" i="13"/>
  <c r="O5" i="13"/>
  <c r="P5" i="13"/>
  <c r="Q5" i="13"/>
  <c r="R5" i="13"/>
  <c r="M7" i="13"/>
  <c r="N7" i="13"/>
  <c r="O7" i="13"/>
  <c r="P7" i="13"/>
  <c r="Q7" i="13"/>
  <c r="R7" i="13"/>
  <c r="M8" i="13"/>
  <c r="N8" i="13"/>
  <c r="O8" i="13"/>
  <c r="P8" i="13"/>
  <c r="Q8" i="13"/>
  <c r="R8" i="13"/>
  <c r="M9" i="13"/>
  <c r="N9" i="13"/>
  <c r="O9" i="13"/>
  <c r="P9" i="13"/>
  <c r="Q9" i="13"/>
  <c r="R9" i="13"/>
  <c r="M10" i="13"/>
  <c r="N10" i="13"/>
  <c r="O10" i="13"/>
  <c r="P10" i="13"/>
  <c r="Q10" i="13"/>
  <c r="R10" i="13"/>
  <c r="M11" i="13"/>
  <c r="N11" i="13"/>
  <c r="O11" i="13"/>
  <c r="P11" i="13"/>
  <c r="Q11" i="13"/>
  <c r="R11" i="13"/>
  <c r="M12" i="13"/>
  <c r="N12" i="13"/>
  <c r="O12" i="13"/>
  <c r="P12" i="13"/>
  <c r="Q12" i="13"/>
  <c r="R12" i="13"/>
  <c r="M13" i="13"/>
  <c r="N13" i="13"/>
  <c r="O13" i="13"/>
  <c r="P13" i="13"/>
  <c r="Q13" i="13"/>
  <c r="R13" i="13"/>
  <c r="M14" i="13"/>
  <c r="N14" i="13"/>
  <c r="O14" i="13"/>
  <c r="P14" i="13"/>
  <c r="Q14" i="13"/>
  <c r="R14" i="13"/>
  <c r="M15" i="13"/>
  <c r="N15" i="13"/>
  <c r="O15" i="13"/>
  <c r="P15" i="13"/>
  <c r="Q15" i="13"/>
  <c r="R15" i="13"/>
  <c r="M22" i="13"/>
  <c r="M24" i="13"/>
  <c r="Q25" i="13"/>
  <c r="O33" i="13"/>
  <c r="Q42" i="13"/>
  <c r="O53" i="13"/>
  <c r="M60" i="13"/>
  <c r="O70" i="13"/>
  <c r="Q77" i="13"/>
  <c r="P85" i="13"/>
  <c r="N88" i="13"/>
  <c r="R90" i="13"/>
  <c r="P92" i="13"/>
  <c r="R94" i="13"/>
  <c r="R96" i="13"/>
  <c r="M99" i="13"/>
  <c r="R100" i="13"/>
  <c r="M103" i="13"/>
  <c r="P104" i="13"/>
  <c r="P106" i="13"/>
  <c r="N108" i="13"/>
  <c r="N110" i="13"/>
  <c r="Q111" i="13"/>
  <c r="N113" i="13"/>
  <c r="R113" i="13"/>
  <c r="R114" i="13"/>
  <c r="P115" i="13"/>
  <c r="Q116" i="13"/>
  <c r="O117" i="13"/>
  <c r="P118" i="13"/>
  <c r="N119" i="13"/>
  <c r="N120" i="13"/>
  <c r="R120" i="13"/>
  <c r="M122" i="13"/>
  <c r="Q122" i="13"/>
  <c r="Q125" i="13"/>
  <c r="O126" i="13"/>
  <c r="O127" i="13"/>
  <c r="N129" i="13"/>
  <c r="R129" i="13"/>
  <c r="M131" i="13"/>
  <c r="Q131" i="13"/>
  <c r="Q132" i="13"/>
  <c r="O133" i="13"/>
  <c r="O134" i="13"/>
  <c r="R134" i="13"/>
  <c r="Q135" i="13"/>
  <c r="N136" i="13"/>
  <c r="M137" i="13"/>
  <c r="P137" i="13"/>
  <c r="O138" i="13"/>
  <c r="R138" i="13"/>
  <c r="Q139" i="13"/>
  <c r="N140" i="13"/>
  <c r="M141" i="13"/>
  <c r="P141" i="13"/>
  <c r="O142" i="13"/>
  <c r="R142" i="13"/>
  <c r="Q143" i="13"/>
  <c r="N144" i="13"/>
  <c r="M145" i="13"/>
  <c r="P145" i="13"/>
  <c r="O146" i="13"/>
  <c r="R146" i="13"/>
  <c r="Q147" i="13"/>
  <c r="N148" i="13"/>
  <c r="M149" i="13"/>
  <c r="P149" i="13"/>
  <c r="O150" i="13"/>
  <c r="R150" i="13"/>
  <c r="Q151" i="13"/>
  <c r="N152" i="13"/>
  <c r="M153" i="13"/>
  <c r="P153" i="13"/>
  <c r="O154" i="13"/>
  <c r="R154" i="13"/>
  <c r="Q155" i="13"/>
  <c r="N156" i="13"/>
  <c r="M157" i="13"/>
  <c r="P157" i="13"/>
  <c r="O158" i="13"/>
  <c r="R158" i="13"/>
  <c r="Q159" i="13"/>
  <c r="N160" i="13"/>
  <c r="M162" i="13"/>
  <c r="P162" i="13"/>
  <c r="O163" i="13"/>
  <c r="R163" i="13"/>
  <c r="Q164" i="13"/>
  <c r="N165" i="13"/>
  <c r="M166" i="13"/>
  <c r="P166" i="13"/>
  <c r="O167" i="13"/>
  <c r="R167" i="13"/>
  <c r="Q168" i="13"/>
  <c r="N169" i="13"/>
  <c r="M170" i="13"/>
  <c r="P170" i="13"/>
  <c r="O171" i="13"/>
  <c r="R171" i="13"/>
  <c r="Q172" i="13"/>
  <c r="N173" i="13"/>
  <c r="M174" i="13"/>
  <c r="P174" i="13"/>
  <c r="O175" i="13"/>
  <c r="R175" i="13"/>
  <c r="Q176" i="13"/>
  <c r="N177" i="13"/>
  <c r="M178" i="13"/>
  <c r="P178" i="13"/>
  <c r="O180" i="13"/>
  <c r="R180" i="13"/>
  <c r="Q181" i="13"/>
  <c r="N182" i="13"/>
  <c r="M183" i="13"/>
  <c r="P183" i="13"/>
  <c r="O184" i="13"/>
  <c r="R184" i="13"/>
  <c r="Q186" i="13"/>
  <c r="N187" i="13"/>
  <c r="M188" i="13"/>
  <c r="P188" i="13"/>
  <c r="O189" i="13"/>
  <c r="R189" i="13"/>
  <c r="Q190" i="13"/>
  <c r="N191" i="13"/>
  <c r="M192" i="13"/>
  <c r="P192" i="13"/>
  <c r="O193" i="13"/>
  <c r="R193" i="13"/>
  <c r="Q194" i="13"/>
  <c r="N195" i="13"/>
  <c r="M196" i="13"/>
  <c r="P196" i="13"/>
  <c r="O198" i="13"/>
  <c r="R198" i="13"/>
  <c r="Q199" i="13"/>
  <c r="N200" i="13"/>
  <c r="M202" i="13"/>
  <c r="P202" i="13"/>
  <c r="O203" i="13"/>
  <c r="R203" i="13"/>
  <c r="Q204" i="13"/>
  <c r="N205" i="13"/>
  <c r="M206" i="13"/>
  <c r="P206" i="13"/>
  <c r="O207" i="13"/>
  <c r="R207" i="13"/>
  <c r="Q208" i="13"/>
  <c r="N210" i="13"/>
  <c r="M212" i="13"/>
  <c r="P212" i="13"/>
  <c r="O213" i="13"/>
  <c r="R213" i="13"/>
  <c r="Q216" i="13"/>
  <c r="M218" i="13"/>
  <c r="Q218" i="13"/>
  <c r="R218" i="13"/>
  <c r="P219" i="13"/>
  <c r="Q219" i="13"/>
  <c r="O220" i="13"/>
  <c r="Q220" i="13"/>
  <c r="O221" i="13"/>
  <c r="P221" i="13"/>
  <c r="N222" i="13"/>
  <c r="O222" i="13"/>
  <c r="M223" i="13"/>
  <c r="O223" i="13"/>
  <c r="M224" i="13"/>
  <c r="N224" i="13"/>
  <c r="R224" i="13"/>
  <c r="M225" i="13"/>
  <c r="P225" i="13"/>
  <c r="Q225" i="13"/>
  <c r="N226" i="13"/>
  <c r="O226" i="13"/>
  <c r="R226" i="13"/>
  <c r="M227" i="13"/>
  <c r="P227" i="13"/>
  <c r="Q227" i="13"/>
  <c r="N228" i="13"/>
  <c r="O228" i="13"/>
  <c r="R228" i="13"/>
  <c r="M229" i="13"/>
  <c r="P229" i="13"/>
  <c r="Q229" i="13"/>
  <c r="N230" i="13"/>
  <c r="O230" i="13"/>
  <c r="R230" i="13"/>
  <c r="M231" i="13"/>
  <c r="P231" i="13"/>
  <c r="Q231" i="13"/>
  <c r="N232" i="13"/>
  <c r="O232" i="13"/>
  <c r="R232" i="13"/>
  <c r="M233" i="13"/>
  <c r="P233" i="13"/>
  <c r="Q233" i="13"/>
  <c r="N234" i="13"/>
  <c r="O234" i="13"/>
  <c r="R234" i="13"/>
  <c r="M235" i="13"/>
  <c r="P235" i="13"/>
  <c r="Q235" i="13"/>
  <c r="N236" i="13"/>
  <c r="O236" i="13"/>
  <c r="R236" i="13"/>
  <c r="M237" i="13"/>
  <c r="P237" i="13"/>
  <c r="Q237" i="13"/>
  <c r="N238" i="13"/>
  <c r="O238" i="13"/>
  <c r="R238" i="13"/>
  <c r="M239" i="13"/>
  <c r="P239" i="13"/>
  <c r="Q239" i="13"/>
  <c r="N240" i="13"/>
  <c r="O240" i="13"/>
  <c r="R240" i="13"/>
  <c r="M242" i="13"/>
  <c r="P242" i="13"/>
  <c r="Q242" i="13"/>
  <c r="N243" i="13"/>
  <c r="O243" i="13"/>
  <c r="R243" i="13"/>
  <c r="M244" i="13"/>
  <c r="P244" i="13"/>
  <c r="Q244" i="13"/>
  <c r="N245" i="13"/>
  <c r="O245" i="13"/>
  <c r="R245" i="13"/>
  <c r="M246" i="13"/>
  <c r="P246" i="13"/>
  <c r="Q246" i="13"/>
  <c r="N247" i="13"/>
  <c r="O247" i="13"/>
  <c r="R247" i="13"/>
  <c r="M248" i="13"/>
  <c r="P248" i="13"/>
  <c r="Q248" i="13"/>
  <c r="N249" i="13"/>
  <c r="O249" i="13"/>
  <c r="R249" i="13"/>
  <c r="M250" i="13"/>
  <c r="P250" i="13"/>
  <c r="Q250" i="13"/>
  <c r="N251" i="13"/>
  <c r="O251" i="13"/>
  <c r="R251" i="13"/>
  <c r="M252" i="13"/>
  <c r="P252" i="13"/>
  <c r="Q252" i="13"/>
  <c r="N253" i="13"/>
  <c r="O253" i="13"/>
  <c r="R253" i="13"/>
  <c r="M254" i="13"/>
  <c r="P254" i="13"/>
  <c r="Q254" i="13"/>
  <c r="N258" i="13"/>
  <c r="O258" i="13"/>
  <c r="R258" i="13"/>
  <c r="M259" i="13"/>
  <c r="P259" i="13"/>
  <c r="Q259" i="13"/>
  <c r="N260" i="13"/>
  <c r="O260" i="13"/>
  <c r="R260" i="13"/>
  <c r="R2" i="13"/>
  <c r="Q2" i="13"/>
  <c r="P2" i="13"/>
  <c r="O2" i="13"/>
  <c r="N2" i="13"/>
  <c r="M2" i="13"/>
  <c r="D174" i="13"/>
  <c r="C138" i="13"/>
  <c r="C134" i="13"/>
  <c r="C100" i="13"/>
  <c r="D91" i="13"/>
  <c r="D76" i="13"/>
  <c r="D62" i="13"/>
  <c r="I35" i="13"/>
  <c r="C25" i="14"/>
  <c r="C24" i="14"/>
  <c r="C23" i="14"/>
  <c r="C22" i="14"/>
  <c r="C21" i="14"/>
  <c r="C20" i="14"/>
  <c r="C19" i="14"/>
  <c r="C18" i="14"/>
  <c r="C16" i="14"/>
  <c r="C15" i="14"/>
  <c r="C14" i="14"/>
  <c r="C13" i="14"/>
  <c r="D230" i="13"/>
  <c r="D190" i="13"/>
  <c r="D181" i="13"/>
  <c r="D149" i="13"/>
  <c r="D137" i="13"/>
  <c r="D101" i="13"/>
  <c r="D78" i="13"/>
  <c r="D38" i="13"/>
  <c r="D27" i="13"/>
  <c r="D25" i="13"/>
  <c r="D24" i="13"/>
  <c r="D23" i="13"/>
  <c r="D22" i="13"/>
  <c r="D21" i="13"/>
  <c r="D15" i="13"/>
  <c r="D14" i="13"/>
  <c r="D13" i="13"/>
  <c r="D12" i="13"/>
  <c r="D11" i="13"/>
  <c r="D10" i="13"/>
  <c r="D9" i="13"/>
  <c r="D8" i="13"/>
  <c r="D7" i="13"/>
  <c r="D5" i="13"/>
  <c r="D4" i="13"/>
  <c r="D3" i="13"/>
  <c r="D2" i="13"/>
  <c r="C245" i="13"/>
  <c r="C224" i="13"/>
  <c r="C198" i="13"/>
  <c r="C191" i="13"/>
  <c r="C171" i="13"/>
  <c r="C166" i="13"/>
  <c r="C149" i="13"/>
  <c r="C142" i="13"/>
  <c r="C121" i="13"/>
  <c r="C117" i="13"/>
  <c r="C101" i="13"/>
  <c r="C93" i="13"/>
  <c r="C66" i="13"/>
  <c r="C58" i="13"/>
  <c r="C47" i="13"/>
  <c r="C42" i="13"/>
  <c r="C30" i="13"/>
  <c r="C27" i="13"/>
  <c r="C25" i="13"/>
  <c r="C24" i="13"/>
  <c r="C23" i="13"/>
  <c r="C22" i="13"/>
  <c r="C21" i="13"/>
  <c r="C15" i="13"/>
  <c r="C14" i="13"/>
  <c r="C13" i="13"/>
  <c r="C12" i="13"/>
  <c r="C11" i="13"/>
  <c r="C10" i="13"/>
  <c r="C9" i="13"/>
  <c r="C8" i="13"/>
  <c r="C7" i="13"/>
  <c r="C5" i="13"/>
  <c r="C4" i="13"/>
  <c r="C3" i="13"/>
  <c r="C2" i="13"/>
  <c r="C229" i="13"/>
  <c r="C233" i="13"/>
  <c r="D223" i="13"/>
  <c r="D227" i="13"/>
  <c r="D258" i="13"/>
  <c r="C261" i="13"/>
  <c r="C234" i="13"/>
  <c r="C238" i="13"/>
  <c r="D228" i="13"/>
  <c r="D232" i="13"/>
  <c r="I257" i="13"/>
  <c r="C255" i="13"/>
  <c r="C244" i="13"/>
  <c r="C248" i="13"/>
  <c r="D237" i="13"/>
  <c r="D242" i="13"/>
  <c r="H220" i="15"/>
  <c r="H222" i="15"/>
  <c r="V16" i="13"/>
  <c r="W16" i="13"/>
  <c r="E27" i="14" s="1"/>
  <c r="W18" i="13"/>
  <c r="E29" i="14" s="1"/>
  <c r="U16" i="13"/>
  <c r="T16" i="13"/>
  <c r="C27" i="14" s="1"/>
  <c r="T18" i="13"/>
  <c r="C29" i="14" s="1"/>
  <c r="T19" i="13"/>
  <c r="C30" i="14" s="1"/>
  <c r="Y16" i="13"/>
  <c r="F27" i="14" s="1"/>
  <c r="Y19" i="13" l="1"/>
  <c r="F30" i="14" s="1"/>
  <c r="I147" i="13"/>
  <c r="C174" i="13"/>
  <c r="I153" i="13"/>
  <c r="C159" i="13"/>
  <c r="I163" i="13"/>
  <c r="C148" i="13"/>
  <c r="C143" i="13"/>
  <c r="I136" i="13"/>
  <c r="D135" i="13"/>
  <c r="D131" i="13"/>
  <c r="C125" i="13"/>
  <c r="C109" i="13"/>
  <c r="C87" i="13"/>
  <c r="C85" i="13"/>
  <c r="D105" i="13"/>
  <c r="D99" i="13"/>
  <c r="I96" i="13"/>
  <c r="C91" i="13"/>
  <c r="C45" i="13"/>
  <c r="I44" i="13"/>
  <c r="D82" i="13"/>
  <c r="D80" i="13"/>
  <c r="D77" i="13"/>
  <c r="C76" i="13"/>
  <c r="I63" i="13"/>
  <c r="I61" i="13"/>
  <c r="C60" i="13"/>
  <c r="C49" i="13"/>
  <c r="D41" i="13"/>
  <c r="D37" i="13"/>
  <c r="D34" i="13"/>
  <c r="I38" i="13"/>
  <c r="D243" i="13"/>
  <c r="D226" i="13"/>
  <c r="D213" i="13"/>
  <c r="D207" i="13"/>
  <c r="D203" i="13"/>
  <c r="D198" i="13"/>
  <c r="D193" i="13"/>
  <c r="D189" i="13"/>
  <c r="D184" i="13"/>
  <c r="D180" i="13"/>
  <c r="D175" i="13"/>
  <c r="D169" i="13"/>
  <c r="D165" i="13"/>
  <c r="D157" i="13"/>
  <c r="D152" i="13"/>
  <c r="D146" i="13"/>
  <c r="D141" i="13"/>
  <c r="D133" i="13"/>
  <c r="D127" i="13"/>
  <c r="D120" i="13"/>
  <c r="D116" i="13"/>
  <c r="D111" i="13"/>
  <c r="D104" i="13"/>
  <c r="D98" i="13"/>
  <c r="D92" i="13"/>
  <c r="D75" i="13"/>
  <c r="D70" i="13"/>
  <c r="D65" i="13"/>
  <c r="D57" i="13"/>
  <c r="D53" i="13"/>
  <c r="D46" i="13"/>
  <c r="D35" i="13"/>
  <c r="D29" i="13"/>
  <c r="I173" i="13"/>
  <c r="D153" i="13"/>
  <c r="I164" i="13"/>
  <c r="D163" i="13"/>
  <c r="D147" i="13"/>
  <c r="I138" i="13"/>
  <c r="D136" i="13"/>
  <c r="C135" i="13"/>
  <c r="C131" i="13"/>
  <c r="D114" i="13"/>
  <c r="D108" i="13"/>
  <c r="D86" i="13"/>
  <c r="D84" i="13"/>
  <c r="C105" i="13"/>
  <c r="C99" i="13"/>
  <c r="D96" i="13"/>
  <c r="D90" i="13"/>
  <c r="I43" i="13"/>
  <c r="I103" i="13"/>
  <c r="C82" i="13"/>
  <c r="C80" i="13"/>
  <c r="C77" i="13"/>
  <c r="D74" i="13"/>
  <c r="D63" i="13"/>
  <c r="D61" i="13"/>
  <c r="D50" i="13"/>
  <c r="D48" i="13"/>
  <c r="C41" i="13"/>
  <c r="C37" i="13"/>
  <c r="C34" i="13"/>
  <c r="D254" i="13"/>
  <c r="D238" i="13"/>
  <c r="D222" i="13"/>
  <c r="D212" i="13"/>
  <c r="D206" i="13"/>
  <c r="D202" i="13"/>
  <c r="D196" i="13"/>
  <c r="D192" i="13"/>
  <c r="D188" i="13"/>
  <c r="D183" i="13"/>
  <c r="D178" i="13"/>
  <c r="D172" i="13"/>
  <c r="D168" i="13"/>
  <c r="D162" i="13"/>
  <c r="D156" i="13"/>
  <c r="D151" i="13"/>
  <c r="D145" i="13"/>
  <c r="D140" i="13"/>
  <c r="D132" i="13"/>
  <c r="D126" i="13"/>
  <c r="D119" i="13"/>
  <c r="D115" i="13"/>
  <c r="D110" i="13"/>
  <c r="D103" i="13"/>
  <c r="D95" i="13"/>
  <c r="D89" i="13"/>
  <c r="D73" i="13"/>
  <c r="D68" i="13"/>
  <c r="D64" i="13"/>
  <c r="D56" i="13"/>
  <c r="D52" i="13"/>
  <c r="D44" i="13"/>
  <c r="D32" i="13"/>
  <c r="C252" i="13"/>
  <c r="C236" i="13"/>
  <c r="C220" i="13"/>
  <c r="C212" i="13"/>
  <c r="C206" i="13"/>
  <c r="C202" i="13"/>
  <c r="C196" i="13"/>
  <c r="C192" i="13"/>
  <c r="C188" i="13"/>
  <c r="C183" i="13"/>
  <c r="C178" i="13"/>
  <c r="C172" i="13"/>
  <c r="C168" i="13"/>
  <c r="I64" i="13"/>
  <c r="J64" i="13" s="1"/>
  <c r="I104" i="13"/>
  <c r="J104" i="13" s="1"/>
  <c r="I134" i="13"/>
  <c r="J134" i="13" s="1"/>
  <c r="I148" i="13"/>
  <c r="J148" i="13" s="1"/>
  <c r="I175" i="13"/>
  <c r="J175" i="13" s="1"/>
  <c r="I192" i="13"/>
  <c r="J192" i="13" s="1"/>
  <c r="L192" i="13" s="1"/>
  <c r="I210" i="13"/>
  <c r="H211" i="13" s="1"/>
  <c r="I215" i="13"/>
  <c r="I110" i="13"/>
  <c r="J110" i="13" s="1"/>
  <c r="I180" i="13"/>
  <c r="J180" i="13" s="1"/>
  <c r="L180" i="13" s="1"/>
  <c r="D201" i="13"/>
  <c r="D173" i="13"/>
  <c r="D164" i="13"/>
  <c r="C147" i="13"/>
  <c r="C136" i="13"/>
  <c r="I125" i="13"/>
  <c r="C108" i="13"/>
  <c r="C84" i="13"/>
  <c r="D97" i="13"/>
  <c r="C90" i="13"/>
  <c r="D83" i="13"/>
  <c r="D79" i="13"/>
  <c r="C74" i="13"/>
  <c r="C61" i="13"/>
  <c r="C48" i="13"/>
  <c r="D36" i="13"/>
  <c r="D250" i="13"/>
  <c r="D218" i="13"/>
  <c r="D205" i="13"/>
  <c r="D195" i="13"/>
  <c r="D187" i="13"/>
  <c r="D177" i="13"/>
  <c r="D167" i="13"/>
  <c r="D155" i="13"/>
  <c r="D144" i="13"/>
  <c r="D130" i="13"/>
  <c r="D118" i="13"/>
  <c r="D107" i="13"/>
  <c r="D94" i="13"/>
  <c r="D72" i="13"/>
  <c r="D59" i="13"/>
  <c r="D51" i="13"/>
  <c r="D31" i="13"/>
  <c r="C240" i="13"/>
  <c r="C218" i="13"/>
  <c r="C208" i="13"/>
  <c r="C203" i="13"/>
  <c r="C195" i="13"/>
  <c r="C190" i="13"/>
  <c r="C184" i="13"/>
  <c r="C177" i="13"/>
  <c r="C170" i="13"/>
  <c r="C165" i="13"/>
  <c r="C157" i="13"/>
  <c r="C152" i="13"/>
  <c r="C146" i="13"/>
  <c r="C141" i="13"/>
  <c r="C133" i="13"/>
  <c r="C127" i="13"/>
  <c r="C120" i="13"/>
  <c r="C116" i="13"/>
  <c r="C111" i="13"/>
  <c r="C104" i="13"/>
  <c r="C98" i="13"/>
  <c r="C92" i="13"/>
  <c r="C75" i="13"/>
  <c r="C70" i="13"/>
  <c r="C65" i="13"/>
  <c r="C57" i="13"/>
  <c r="C53" i="13"/>
  <c r="C46" i="13"/>
  <c r="C35" i="13"/>
  <c r="C29" i="13"/>
  <c r="C221" i="13"/>
  <c r="C237" i="13"/>
  <c r="C260" i="13"/>
  <c r="D231" i="13"/>
  <c r="D248" i="13"/>
  <c r="I241" i="13"/>
  <c r="C226" i="13"/>
  <c r="C243" i="13"/>
  <c r="D220" i="13"/>
  <c r="D236" i="13"/>
  <c r="D252" i="13"/>
  <c r="C219" i="13"/>
  <c r="C235" i="13"/>
  <c r="C251" i="13"/>
  <c r="D229" i="13"/>
  <c r="D246" i="13"/>
  <c r="D257" i="13"/>
  <c r="I256" i="13"/>
  <c r="C94" i="13"/>
  <c r="C67" i="13"/>
  <c r="I196" i="13"/>
  <c r="J196" i="13" s="1"/>
  <c r="L196" i="13" s="1"/>
  <c r="C173" i="13"/>
  <c r="C164" i="13"/>
  <c r="D143" i="13"/>
  <c r="I135" i="13"/>
  <c r="D125" i="13"/>
  <c r="D87" i="13"/>
  <c r="I105" i="13"/>
  <c r="C97" i="13"/>
  <c r="D45" i="13"/>
  <c r="C83" i="13"/>
  <c r="C79" i="13"/>
  <c r="C62" i="13"/>
  <c r="D60" i="13"/>
  <c r="I41" i="13"/>
  <c r="C36" i="13"/>
  <c r="D247" i="13"/>
  <c r="D216" i="13"/>
  <c r="D204" i="13"/>
  <c r="D194" i="13"/>
  <c r="D186" i="13"/>
  <c r="D176" i="13"/>
  <c r="D166" i="13"/>
  <c r="D154" i="13"/>
  <c r="D142" i="13"/>
  <c r="D129" i="13"/>
  <c r="D117" i="13"/>
  <c r="D106" i="13"/>
  <c r="D93" i="13"/>
  <c r="D71" i="13"/>
  <c r="D58" i="13"/>
  <c r="D47" i="13"/>
  <c r="D30" i="13"/>
  <c r="C259" i="13"/>
  <c r="C232" i="13"/>
  <c r="C216" i="13"/>
  <c r="C207" i="13"/>
  <c r="C200" i="13"/>
  <c r="C194" i="13"/>
  <c r="C189" i="13"/>
  <c r="C182" i="13"/>
  <c r="C176" i="13"/>
  <c r="C169" i="13"/>
  <c r="C162" i="13"/>
  <c r="C156" i="13"/>
  <c r="C151" i="13"/>
  <c r="C145" i="13"/>
  <c r="C140" i="13"/>
  <c r="C132" i="13"/>
  <c r="C126" i="13"/>
  <c r="C119" i="13"/>
  <c r="C115" i="13"/>
  <c r="C110" i="13"/>
  <c r="C103" i="13"/>
  <c r="C95" i="13"/>
  <c r="C89" i="13"/>
  <c r="C73" i="13"/>
  <c r="C68" i="13"/>
  <c r="C64" i="13"/>
  <c r="C56" i="13"/>
  <c r="C52" i="13"/>
  <c r="C44" i="13"/>
  <c r="C32" i="13"/>
  <c r="C225" i="13"/>
  <c r="C242" i="13"/>
  <c r="D219" i="13"/>
  <c r="D235" i="13"/>
  <c r="D251" i="13"/>
  <c r="C256" i="13"/>
  <c r="C230" i="13"/>
  <c r="C247" i="13"/>
  <c r="D224" i="13"/>
  <c r="D240" i="13"/>
  <c r="D259" i="13"/>
  <c r="C223" i="13"/>
  <c r="C239" i="13"/>
  <c r="C258" i="13"/>
  <c r="D233" i="13"/>
  <c r="D253" i="13"/>
  <c r="C88" i="13"/>
  <c r="C59" i="13"/>
  <c r="I68" i="13"/>
  <c r="J68" i="13" s="1"/>
  <c r="D241" i="13"/>
  <c r="I37" i="13"/>
  <c r="C153" i="13"/>
  <c r="C163" i="13"/>
  <c r="D138" i="13"/>
  <c r="D134" i="13"/>
  <c r="C114" i="13"/>
  <c r="C86" i="13"/>
  <c r="D100" i="13"/>
  <c r="C96" i="13"/>
  <c r="D43" i="13"/>
  <c r="D81" i="13"/>
  <c r="I76" i="13"/>
  <c r="C63" i="13"/>
  <c r="C50" i="13"/>
  <c r="D39" i="13"/>
  <c r="D33" i="13"/>
  <c r="D234" i="13"/>
  <c r="D210" i="13"/>
  <c r="D200" i="13"/>
  <c r="D191" i="13"/>
  <c r="D182" i="13"/>
  <c r="D171" i="13"/>
  <c r="D160" i="13"/>
  <c r="D150" i="13"/>
  <c r="D139" i="13"/>
  <c r="D122" i="13"/>
  <c r="D113" i="13"/>
  <c r="D102" i="13"/>
  <c r="D88" i="13"/>
  <c r="D67" i="13"/>
  <c r="D55" i="13"/>
  <c r="D42" i="13"/>
  <c r="C249" i="13"/>
  <c r="C228" i="13"/>
  <c r="C213" i="13"/>
  <c r="C205" i="13"/>
  <c r="C199" i="13"/>
  <c r="C193" i="13"/>
  <c r="C187" i="13"/>
  <c r="C181" i="13"/>
  <c r="C175" i="13"/>
  <c r="C167" i="13"/>
  <c r="C160" i="13"/>
  <c r="C155" i="13"/>
  <c r="C150" i="13"/>
  <c r="C144" i="13"/>
  <c r="C139" i="13"/>
  <c r="C130" i="13"/>
  <c r="C122" i="13"/>
  <c r="C118" i="13"/>
  <c r="C113" i="13"/>
  <c r="C107" i="13"/>
  <c r="C102" i="13"/>
  <c r="C72" i="13"/>
  <c r="C55" i="13"/>
  <c r="C241" i="13"/>
  <c r="D225" i="13"/>
  <c r="C231" i="13"/>
  <c r="D249" i="13"/>
  <c r="C254" i="13"/>
  <c r="C222" i="13"/>
  <c r="D244" i="13"/>
  <c r="C253" i="13"/>
  <c r="C31" i="13"/>
  <c r="C51" i="13"/>
  <c r="C71" i="13"/>
  <c r="C106" i="13"/>
  <c r="C129" i="13"/>
  <c r="C154" i="13"/>
  <c r="C180" i="13"/>
  <c r="C204" i="13"/>
  <c r="D54" i="13"/>
  <c r="D112" i="13"/>
  <c r="D158" i="13"/>
  <c r="D199" i="13"/>
  <c r="C39" i="13"/>
  <c r="C81" i="13"/>
  <c r="D85" i="13"/>
  <c r="D148" i="13"/>
  <c r="D260" i="13"/>
  <c r="D221" i="13"/>
  <c r="C227" i="13"/>
  <c r="D245" i="13"/>
  <c r="C250" i="13"/>
  <c r="D255" i="13"/>
  <c r="D239" i="13"/>
  <c r="C246" i="13"/>
  <c r="C38" i="13"/>
  <c r="C54" i="13"/>
  <c r="C78" i="13"/>
  <c r="C112" i="13"/>
  <c r="C137" i="13"/>
  <c r="C158" i="13"/>
  <c r="C186" i="13"/>
  <c r="C210" i="13"/>
  <c r="D66" i="13"/>
  <c r="D121" i="13"/>
  <c r="D170" i="13"/>
  <c r="D208" i="13"/>
  <c r="D49" i="13"/>
  <c r="C43" i="13"/>
  <c r="D109" i="13"/>
  <c r="D159" i="13"/>
  <c r="D261" i="13"/>
  <c r="D161" i="13"/>
  <c r="I161" i="13"/>
  <c r="I205" i="13"/>
  <c r="J205" i="13" s="1"/>
  <c r="L205" i="13" s="1"/>
  <c r="I188" i="13"/>
  <c r="J188" i="13" s="1"/>
  <c r="I168" i="13"/>
  <c r="J168" i="13" s="1"/>
  <c r="I119" i="13"/>
  <c r="J119" i="13" s="1"/>
  <c r="L119" i="13" s="1"/>
  <c r="I209" i="13"/>
  <c r="J209" i="13" s="1"/>
  <c r="I25" i="13"/>
  <c r="I26" i="13" s="1"/>
  <c r="J26" i="13" s="1"/>
  <c r="C185" i="13"/>
  <c r="I131" i="13"/>
  <c r="C33" i="13"/>
  <c r="I200" i="13"/>
  <c r="J200" i="13" s="1"/>
  <c r="I184" i="13"/>
  <c r="J184" i="13" s="1"/>
  <c r="I162" i="13"/>
  <c r="J162" i="13" s="1"/>
  <c r="L162" i="13" s="1"/>
  <c r="I144" i="13"/>
  <c r="J144" i="13" s="1"/>
  <c r="L144" i="13" s="1"/>
  <c r="I115" i="13"/>
  <c r="J115" i="13" s="1"/>
  <c r="I72" i="13"/>
  <c r="J72" i="13" s="1"/>
  <c r="I24" i="13"/>
  <c r="J24" i="13" s="1"/>
  <c r="L24" i="13" s="1"/>
  <c r="I22" i="13"/>
  <c r="J22" i="13" s="1"/>
  <c r="L22" i="13" s="1"/>
  <c r="C214" i="13"/>
  <c r="C20" i="13"/>
  <c r="C19" i="13"/>
  <c r="I18" i="13"/>
  <c r="C17" i="13"/>
  <c r="D26" i="13"/>
  <c r="I207" i="13"/>
  <c r="J207" i="13" s="1"/>
  <c r="L207" i="13" s="1"/>
  <c r="I198" i="13"/>
  <c r="J198" i="13" s="1"/>
  <c r="L198" i="13" s="1"/>
  <c r="I190" i="13"/>
  <c r="J190" i="13" s="1"/>
  <c r="I182" i="13"/>
  <c r="J182" i="13" s="1"/>
  <c r="I171" i="13"/>
  <c r="J171" i="13" s="1"/>
  <c r="I158" i="13"/>
  <c r="J158" i="13" s="1"/>
  <c r="L158" i="13" s="1"/>
  <c r="I121" i="13"/>
  <c r="J121" i="13" s="1"/>
  <c r="I113" i="13"/>
  <c r="J113" i="13" s="1"/>
  <c r="I66" i="13"/>
  <c r="J66" i="13" s="1"/>
  <c r="L66" i="13" s="1"/>
  <c r="I57" i="13"/>
  <c r="J57" i="13" s="1"/>
  <c r="L57" i="13" s="1"/>
  <c r="I133" i="13"/>
  <c r="H134" i="13" s="1"/>
  <c r="K134" i="13" s="1"/>
  <c r="E134" i="13" s="1"/>
  <c r="I112" i="13"/>
  <c r="J112" i="13" s="1"/>
  <c r="I203" i="13"/>
  <c r="J203" i="13" s="1"/>
  <c r="I194" i="13"/>
  <c r="J194" i="13" s="1"/>
  <c r="L194" i="13" s="1"/>
  <c r="I186" i="13"/>
  <c r="J186" i="13" s="1"/>
  <c r="I177" i="13"/>
  <c r="J177" i="13" s="1"/>
  <c r="I166" i="13"/>
  <c r="J166" i="13" s="1"/>
  <c r="L166" i="13" s="1"/>
  <c r="I155" i="13"/>
  <c r="J155" i="13" s="1"/>
  <c r="L155" i="13" s="1"/>
  <c r="I117" i="13"/>
  <c r="J117" i="13" s="1"/>
  <c r="I108" i="13"/>
  <c r="J108" i="13" s="1"/>
  <c r="I70" i="13"/>
  <c r="J70" i="13" s="1"/>
  <c r="L70" i="13" s="1"/>
  <c r="I60" i="13"/>
  <c r="J60" i="13" s="1"/>
  <c r="L60" i="13" s="1"/>
  <c r="J147" i="13"/>
  <c r="L147" i="13" s="1"/>
  <c r="H148" i="13"/>
  <c r="K148" i="13" s="1"/>
  <c r="E148" i="13" s="1"/>
  <c r="C179" i="13"/>
  <c r="D197" i="13"/>
  <c r="C201" i="13"/>
  <c r="D215" i="13"/>
  <c r="I217" i="13"/>
  <c r="I261" i="13"/>
  <c r="C257" i="13"/>
  <c r="C161" i="13"/>
  <c r="I146" i="13"/>
  <c r="C40" i="13"/>
  <c r="I260" i="13"/>
  <c r="J260" i="13" s="1"/>
  <c r="L260" i="13" s="1"/>
  <c r="I258" i="13"/>
  <c r="J258" i="13" s="1"/>
  <c r="L258" i="13" s="1"/>
  <c r="I253" i="13"/>
  <c r="J253" i="13" s="1"/>
  <c r="L253" i="13" s="1"/>
  <c r="I251" i="13"/>
  <c r="J251" i="13" s="1"/>
  <c r="I249" i="13"/>
  <c r="J249" i="13" s="1"/>
  <c r="L249" i="13" s="1"/>
  <c r="I247" i="13"/>
  <c r="J247" i="13" s="1"/>
  <c r="L247" i="13" s="1"/>
  <c r="I245" i="13"/>
  <c r="J245" i="13" s="1"/>
  <c r="L245" i="13" s="1"/>
  <c r="I243" i="13"/>
  <c r="J243" i="13" s="1"/>
  <c r="I240" i="13"/>
  <c r="J240" i="13" s="1"/>
  <c r="L240" i="13" s="1"/>
  <c r="I238" i="13"/>
  <c r="J238" i="13" s="1"/>
  <c r="L238" i="13" s="1"/>
  <c r="I236" i="13"/>
  <c r="J236" i="13" s="1"/>
  <c r="L236" i="13" s="1"/>
  <c r="I234" i="13"/>
  <c r="J234" i="13" s="1"/>
  <c r="I232" i="13"/>
  <c r="J232" i="13" s="1"/>
  <c r="L232" i="13" s="1"/>
  <c r="I230" i="13"/>
  <c r="J230" i="13" s="1"/>
  <c r="L230" i="13" s="1"/>
  <c r="I228" i="13"/>
  <c r="J228" i="13" s="1"/>
  <c r="L228" i="13" s="1"/>
  <c r="I226" i="13"/>
  <c r="J226" i="13" s="1"/>
  <c r="I224" i="13"/>
  <c r="J224" i="13" s="1"/>
  <c r="I222" i="13"/>
  <c r="J222" i="13" s="1"/>
  <c r="L222" i="13" s="1"/>
  <c r="I220" i="13"/>
  <c r="J220" i="13" s="1"/>
  <c r="L220" i="13" s="1"/>
  <c r="I218" i="13"/>
  <c r="J218" i="13" s="1"/>
  <c r="I214" i="13"/>
  <c r="J214" i="13" s="1"/>
  <c r="I212" i="13"/>
  <c r="J212" i="13" s="1"/>
  <c r="L212" i="13" s="1"/>
  <c r="I157" i="13"/>
  <c r="J157" i="13" s="1"/>
  <c r="L157" i="13" s="1"/>
  <c r="I154" i="13"/>
  <c r="J154" i="13" s="1"/>
  <c r="L154" i="13" s="1"/>
  <c r="I150" i="13"/>
  <c r="J150" i="13" s="1"/>
  <c r="I143" i="13"/>
  <c r="J143" i="13" s="1"/>
  <c r="I141" i="13"/>
  <c r="J141" i="13" s="1"/>
  <c r="L141" i="13" s="1"/>
  <c r="I139" i="13"/>
  <c r="J139" i="13" s="1"/>
  <c r="I130" i="13"/>
  <c r="J130" i="13" s="1"/>
  <c r="I100" i="13"/>
  <c r="J100" i="13" s="1"/>
  <c r="L100" i="13" s="1"/>
  <c r="I98" i="13"/>
  <c r="J98" i="13" s="1"/>
  <c r="L98" i="13" s="1"/>
  <c r="I95" i="13"/>
  <c r="J95" i="13" s="1"/>
  <c r="I93" i="13"/>
  <c r="J93" i="13" s="1"/>
  <c r="I91" i="13"/>
  <c r="J91" i="13" s="1"/>
  <c r="L91" i="13" s="1"/>
  <c r="I89" i="13"/>
  <c r="J89" i="13" s="1"/>
  <c r="L89" i="13" s="1"/>
  <c r="I87" i="13"/>
  <c r="J87" i="13" s="1"/>
  <c r="I85" i="13"/>
  <c r="J85" i="13" s="1"/>
  <c r="I83" i="13"/>
  <c r="J83" i="13" s="1"/>
  <c r="L83" i="13" s="1"/>
  <c r="I81" i="13"/>
  <c r="J81" i="13" s="1"/>
  <c r="L81" i="13" s="1"/>
  <c r="I77" i="13"/>
  <c r="J77" i="13" s="1"/>
  <c r="I74" i="13"/>
  <c r="J74" i="13" s="1"/>
  <c r="I59" i="13"/>
  <c r="J59" i="13" s="1"/>
  <c r="I56" i="13"/>
  <c r="J56" i="13" s="1"/>
  <c r="I54" i="13"/>
  <c r="J54" i="13" s="1"/>
  <c r="I52" i="13"/>
  <c r="J52" i="13" s="1"/>
  <c r="I49" i="13"/>
  <c r="J49" i="13" s="1"/>
  <c r="L49" i="13" s="1"/>
  <c r="I47" i="13"/>
  <c r="J47" i="13" s="1"/>
  <c r="L47" i="13" s="1"/>
  <c r="I45" i="13"/>
  <c r="I39" i="13"/>
  <c r="J39" i="13" s="1"/>
  <c r="I34" i="13"/>
  <c r="J34" i="13" s="1"/>
  <c r="I32" i="13"/>
  <c r="J32" i="13" s="1"/>
  <c r="L32" i="13" s="1"/>
  <c r="I30" i="13"/>
  <c r="J30" i="13" s="1"/>
  <c r="I127" i="13"/>
  <c r="I159" i="13"/>
  <c r="J159" i="13" s="1"/>
  <c r="L159" i="13" s="1"/>
  <c r="I50" i="13"/>
  <c r="J50" i="13" s="1"/>
  <c r="L50" i="13" s="1"/>
  <c r="D179" i="13"/>
  <c r="C197" i="13"/>
  <c r="D209" i="13"/>
  <c r="C215" i="13"/>
  <c r="D217" i="13"/>
  <c r="D256" i="13"/>
  <c r="D69" i="13"/>
  <c r="D211" i="13"/>
  <c r="I170" i="13"/>
  <c r="D40" i="13"/>
  <c r="I211" i="13"/>
  <c r="J211" i="13" s="1"/>
  <c r="I208" i="13"/>
  <c r="J208" i="13" s="1"/>
  <c r="I206" i="13"/>
  <c r="J206" i="13" s="1"/>
  <c r="I204" i="13"/>
  <c r="J204" i="13" s="1"/>
  <c r="I202" i="13"/>
  <c r="J202" i="13" s="1"/>
  <c r="L202" i="13" s="1"/>
  <c r="I199" i="13"/>
  <c r="J199" i="13" s="1"/>
  <c r="L199" i="13" s="1"/>
  <c r="I197" i="13"/>
  <c r="J197" i="13" s="1"/>
  <c r="I195" i="13"/>
  <c r="J195" i="13" s="1"/>
  <c r="I193" i="13"/>
  <c r="J193" i="13" s="1"/>
  <c r="L193" i="13" s="1"/>
  <c r="I191" i="13"/>
  <c r="J191" i="13" s="1"/>
  <c r="L191" i="13" s="1"/>
  <c r="I189" i="13"/>
  <c r="J189" i="13" s="1"/>
  <c r="I187" i="13"/>
  <c r="J187" i="13" s="1"/>
  <c r="I185" i="13"/>
  <c r="J185" i="13" s="1"/>
  <c r="L185" i="13" s="1"/>
  <c r="I183" i="13"/>
  <c r="J183" i="13" s="1"/>
  <c r="L183" i="13" s="1"/>
  <c r="I181" i="13"/>
  <c r="J181" i="13" s="1"/>
  <c r="I178" i="13"/>
  <c r="J178" i="13" s="1"/>
  <c r="I176" i="13"/>
  <c r="J176" i="13" s="1"/>
  <c r="L176" i="13" s="1"/>
  <c r="I172" i="13"/>
  <c r="J172" i="13" s="1"/>
  <c r="I169" i="13"/>
  <c r="J169" i="13" s="1"/>
  <c r="I167" i="13"/>
  <c r="J167" i="13" s="1"/>
  <c r="I165" i="13"/>
  <c r="J165" i="13" s="1"/>
  <c r="L165" i="13" s="1"/>
  <c r="I160" i="13"/>
  <c r="J160" i="13" s="1"/>
  <c r="L160" i="13" s="1"/>
  <c r="I152" i="13"/>
  <c r="J152" i="13" s="1"/>
  <c r="L152" i="13" s="1"/>
  <c r="I126" i="13"/>
  <c r="J126" i="13" s="1"/>
  <c r="I120" i="13"/>
  <c r="J120" i="13" s="1"/>
  <c r="L120" i="13" s="1"/>
  <c r="I118" i="13"/>
  <c r="J118" i="13" s="1"/>
  <c r="L118" i="13" s="1"/>
  <c r="I116" i="13"/>
  <c r="J116" i="13" s="1"/>
  <c r="L116" i="13" s="1"/>
  <c r="I114" i="13"/>
  <c r="J114" i="13" s="1"/>
  <c r="L114" i="13" s="1"/>
  <c r="I111" i="13"/>
  <c r="J111" i="13" s="1"/>
  <c r="L111" i="13" s="1"/>
  <c r="I109" i="13"/>
  <c r="J109" i="13" s="1"/>
  <c r="L109" i="13" s="1"/>
  <c r="I106" i="13"/>
  <c r="J106" i="13" s="1"/>
  <c r="L106" i="13" s="1"/>
  <c r="I102" i="13"/>
  <c r="J102" i="13" s="1"/>
  <c r="L102" i="13" s="1"/>
  <c r="I73" i="13"/>
  <c r="J73" i="13" s="1"/>
  <c r="I71" i="13"/>
  <c r="J71" i="13" s="1"/>
  <c r="L71" i="13" s="1"/>
  <c r="I69" i="13"/>
  <c r="J69" i="13" s="1"/>
  <c r="L69" i="13" s="1"/>
  <c r="I67" i="13"/>
  <c r="J67" i="13" s="1"/>
  <c r="L67" i="13" s="1"/>
  <c r="I65" i="13"/>
  <c r="J65" i="13" s="1"/>
  <c r="L65" i="13" s="1"/>
  <c r="I62" i="13"/>
  <c r="J62" i="13" s="1"/>
  <c r="L62" i="13" s="1"/>
  <c r="I58" i="13"/>
  <c r="J58" i="13" s="1"/>
  <c r="I124" i="13"/>
  <c r="J124" i="13" s="1"/>
  <c r="I174" i="13"/>
  <c r="J174" i="13" s="1"/>
  <c r="L174" i="13" s="1"/>
  <c r="B84" i="18"/>
  <c r="D185" i="13"/>
  <c r="I201" i="13"/>
  <c r="C209" i="13"/>
  <c r="D214" i="13"/>
  <c r="C217" i="13"/>
  <c r="I79" i="13"/>
  <c r="I255" i="13"/>
  <c r="C69" i="13"/>
  <c r="C211" i="13"/>
  <c r="I80" i="13"/>
  <c r="I40" i="13"/>
  <c r="I259" i="13"/>
  <c r="J259" i="13" s="1"/>
  <c r="L259" i="13" s="1"/>
  <c r="I254" i="13"/>
  <c r="J254" i="13" s="1"/>
  <c r="L254" i="13" s="1"/>
  <c r="I252" i="13"/>
  <c r="J252" i="13" s="1"/>
  <c r="L252" i="13" s="1"/>
  <c r="I250" i="13"/>
  <c r="J250" i="13" s="1"/>
  <c r="L250" i="13" s="1"/>
  <c r="I248" i="13"/>
  <c r="J248" i="13" s="1"/>
  <c r="L248" i="13" s="1"/>
  <c r="I246" i="13"/>
  <c r="J246" i="13" s="1"/>
  <c r="L246" i="13" s="1"/>
  <c r="I244" i="13"/>
  <c r="J244" i="13" s="1"/>
  <c r="L244" i="13" s="1"/>
  <c r="I242" i="13"/>
  <c r="J242" i="13" s="1"/>
  <c r="L242" i="13" s="1"/>
  <c r="I239" i="13"/>
  <c r="J239" i="13" s="1"/>
  <c r="L239" i="13" s="1"/>
  <c r="I237" i="13"/>
  <c r="J237" i="13" s="1"/>
  <c r="L237" i="13" s="1"/>
  <c r="I235" i="13"/>
  <c r="J235" i="13" s="1"/>
  <c r="L235" i="13" s="1"/>
  <c r="I233" i="13"/>
  <c r="J233" i="13" s="1"/>
  <c r="L233" i="13" s="1"/>
  <c r="I231" i="13"/>
  <c r="J231" i="13" s="1"/>
  <c r="L231" i="13" s="1"/>
  <c r="I229" i="13"/>
  <c r="J229" i="13" s="1"/>
  <c r="L229" i="13" s="1"/>
  <c r="I227" i="13"/>
  <c r="J227" i="13" s="1"/>
  <c r="L227" i="13" s="1"/>
  <c r="I225" i="13"/>
  <c r="J225" i="13" s="1"/>
  <c r="I223" i="13"/>
  <c r="J223" i="13" s="1"/>
  <c r="L223" i="13" s="1"/>
  <c r="I221" i="13"/>
  <c r="J221" i="13" s="1"/>
  <c r="L221" i="13" s="1"/>
  <c r="I219" i="13"/>
  <c r="J219" i="13" s="1"/>
  <c r="I216" i="13"/>
  <c r="J216" i="13" s="1"/>
  <c r="L216" i="13" s="1"/>
  <c r="I213" i="13"/>
  <c r="J213" i="13" s="1"/>
  <c r="L213" i="13" s="1"/>
  <c r="I156" i="13"/>
  <c r="J156" i="13" s="1"/>
  <c r="L156" i="13" s="1"/>
  <c r="I151" i="13"/>
  <c r="J151" i="13" s="1"/>
  <c r="L151" i="13" s="1"/>
  <c r="I149" i="13"/>
  <c r="J149" i="13" s="1"/>
  <c r="L149" i="13" s="1"/>
  <c r="I145" i="13"/>
  <c r="J145" i="13" s="1"/>
  <c r="L145" i="13" s="1"/>
  <c r="I142" i="13"/>
  <c r="H143" i="13" s="1"/>
  <c r="L143" i="13" s="1"/>
  <c r="I140" i="13"/>
  <c r="J140" i="13" s="1"/>
  <c r="L140" i="13" s="1"/>
  <c r="I137" i="13"/>
  <c r="J137" i="13" s="1"/>
  <c r="L137" i="13" s="1"/>
  <c r="I132" i="13"/>
  <c r="J132" i="13" s="1"/>
  <c r="L132" i="13" s="1"/>
  <c r="I129" i="13"/>
  <c r="J129" i="13" s="1"/>
  <c r="L129" i="13" s="1"/>
  <c r="I101" i="13"/>
  <c r="J101" i="13" s="1"/>
  <c r="I99" i="13"/>
  <c r="J99" i="13" s="1"/>
  <c r="I97" i="13"/>
  <c r="J97" i="13" s="1"/>
  <c r="I94" i="13"/>
  <c r="J94" i="13" s="1"/>
  <c r="L94" i="13" s="1"/>
  <c r="I92" i="13"/>
  <c r="J92" i="13" s="1"/>
  <c r="I90" i="13"/>
  <c r="J90" i="13" s="1"/>
  <c r="L90" i="13" s="1"/>
  <c r="I88" i="13"/>
  <c r="J88" i="13" s="1"/>
  <c r="L88" i="13" s="1"/>
  <c r="I86" i="13"/>
  <c r="J86" i="13" s="1"/>
  <c r="L86" i="13" s="1"/>
  <c r="I84" i="13"/>
  <c r="J84" i="13" s="1"/>
  <c r="I82" i="13"/>
  <c r="J82" i="13" s="1"/>
  <c r="I78" i="13"/>
  <c r="J78" i="13" s="1"/>
  <c r="I75" i="13"/>
  <c r="J75" i="13" s="1"/>
  <c r="L75" i="13" s="1"/>
  <c r="I55" i="13"/>
  <c r="J55" i="13" s="1"/>
  <c r="I53" i="13"/>
  <c r="J53" i="13" s="1"/>
  <c r="L53" i="13" s="1"/>
  <c r="I51" i="13"/>
  <c r="J51" i="13" s="1"/>
  <c r="L51" i="13" s="1"/>
  <c r="I48" i="13"/>
  <c r="J48" i="13" s="1"/>
  <c r="I46" i="13"/>
  <c r="J46" i="13" s="1"/>
  <c r="I42" i="13"/>
  <c r="J42" i="13" s="1"/>
  <c r="L42" i="13" s="1"/>
  <c r="I36" i="13"/>
  <c r="J36" i="13" s="1"/>
  <c r="L36" i="13" s="1"/>
  <c r="I33" i="13"/>
  <c r="J33" i="13" s="1"/>
  <c r="I31" i="13"/>
  <c r="J31" i="13" s="1"/>
  <c r="I29" i="13"/>
  <c r="J29" i="13" s="1"/>
  <c r="L29" i="13" s="1"/>
  <c r="I122" i="13"/>
  <c r="H124" i="13" s="1"/>
  <c r="K124" i="13" s="1"/>
  <c r="E124" i="13" s="1"/>
  <c r="I107" i="13"/>
  <c r="J107" i="13" s="1"/>
  <c r="L107" i="13" s="1"/>
  <c r="I179" i="13"/>
  <c r="J179" i="13" s="1"/>
  <c r="J27" i="13"/>
  <c r="L27" i="13" s="1"/>
  <c r="R217" i="13"/>
  <c r="Q215" i="13"/>
  <c r="N197" i="13"/>
  <c r="P21" i="13"/>
  <c r="N22" i="13"/>
  <c r="R22" i="13"/>
  <c r="P23" i="13"/>
  <c r="N24" i="13"/>
  <c r="R24" i="13"/>
  <c r="P25" i="13"/>
  <c r="N27" i="13"/>
  <c r="R27" i="13"/>
  <c r="Q32" i="13"/>
  <c r="O37" i="13"/>
  <c r="O41" i="13"/>
  <c r="M44" i="13"/>
  <c r="M48" i="13"/>
  <c r="M52" i="13"/>
  <c r="Q54" i="13"/>
  <c r="M58" i="13"/>
  <c r="Q60" i="13"/>
  <c r="M64" i="13"/>
  <c r="Q66" i="13"/>
  <c r="M71" i="13"/>
  <c r="O74" i="13"/>
  <c r="M77" i="13"/>
  <c r="O80" i="13"/>
  <c r="M83" i="13"/>
  <c r="M85" i="13"/>
  <c r="P86" i="13"/>
  <c r="Q87" i="13"/>
  <c r="P88" i="13"/>
  <c r="P89" i="13"/>
  <c r="O90" i="13"/>
  <c r="N91" i="13"/>
  <c r="M92" i="13"/>
  <c r="R92" i="13"/>
  <c r="P93" i="13"/>
  <c r="O94" i="13"/>
  <c r="M95" i="13"/>
  <c r="R95" i="13"/>
  <c r="P96" i="13"/>
  <c r="O97" i="13"/>
  <c r="N98" i="13"/>
  <c r="R98" i="13"/>
  <c r="Q99" i="13"/>
  <c r="O100" i="13"/>
  <c r="N101" i="13"/>
  <c r="R101" i="13"/>
  <c r="Q102" i="13"/>
  <c r="O103" i="13"/>
  <c r="M104" i="13"/>
  <c r="Q104" i="13"/>
  <c r="O105" i="13"/>
  <c r="M106" i="13"/>
  <c r="Q106" i="13"/>
  <c r="O107" i="13"/>
  <c r="M108" i="13"/>
  <c r="Q108" i="13"/>
  <c r="O109" i="13"/>
  <c r="M110" i="13"/>
  <c r="Q110" i="13"/>
  <c r="O111" i="13"/>
  <c r="M112" i="13"/>
  <c r="S250" i="13"/>
  <c r="S134" i="13"/>
  <c r="S76" i="13"/>
  <c r="S44" i="13"/>
  <c r="S26" i="13"/>
  <c r="S22" i="13"/>
  <c r="R69" i="13"/>
  <c r="N26" i="13"/>
  <c r="R26" i="13"/>
  <c r="P256" i="13"/>
  <c r="Q20" i="13"/>
  <c r="S84" i="13"/>
  <c r="S27" i="13"/>
  <c r="R161" i="13"/>
  <c r="M209" i="13"/>
  <c r="P201" i="13"/>
  <c r="Q21" i="13"/>
  <c r="P22" i="13"/>
  <c r="O23" i="13"/>
  <c r="O24" i="13"/>
  <c r="N25" i="13"/>
  <c r="M27" i="13"/>
  <c r="O29" i="13"/>
  <c r="Q34" i="13"/>
  <c r="M40" i="13"/>
  <c r="O45" i="13"/>
  <c r="O49" i="13"/>
  <c r="M54" i="13"/>
  <c r="Q58" i="13"/>
  <c r="Q62" i="13"/>
  <c r="M66" i="13"/>
  <c r="Q71" i="13"/>
  <c r="Q75" i="13"/>
  <c r="Q79" i="13"/>
  <c r="Q83" i="13"/>
  <c r="Q85" i="13"/>
  <c r="N87" i="13"/>
  <c r="R88" i="13"/>
  <c r="R89" i="13"/>
  <c r="M91" i="13"/>
  <c r="N92" i="13"/>
  <c r="N93" i="13"/>
  <c r="N94" i="13"/>
  <c r="N95" i="13"/>
  <c r="N96" i="13"/>
  <c r="N97" i="13"/>
  <c r="O98" i="13"/>
  <c r="N99" i="13"/>
  <c r="N100" i="13"/>
  <c r="O101" i="13"/>
  <c r="O102" i="13"/>
  <c r="N103" i="13"/>
  <c r="N104" i="13"/>
  <c r="M105" i="13"/>
  <c r="R105" i="13"/>
  <c r="R106" i="13"/>
  <c r="Q107" i="13"/>
  <c r="P108" i="13"/>
  <c r="P109" i="13"/>
  <c r="O110" i="13"/>
  <c r="N111" i="13"/>
  <c r="N112" i="13"/>
  <c r="S234" i="13"/>
  <c r="S72" i="13"/>
  <c r="S25" i="13"/>
  <c r="M26" i="13"/>
  <c r="N20" i="13"/>
  <c r="R214" i="13"/>
  <c r="M215" i="13"/>
  <c r="O179" i="13"/>
  <c r="M21" i="13"/>
  <c r="R21" i="13"/>
  <c r="Q22" i="13"/>
  <c r="Q23" i="13"/>
  <c r="P24" i="13"/>
  <c r="O25" i="13"/>
  <c r="O27" i="13"/>
  <c r="Q30" i="13"/>
  <c r="M36" i="13"/>
  <c r="M42" i="13"/>
  <c r="Q46" i="13"/>
  <c r="Q50" i="13"/>
  <c r="O55" i="13"/>
  <c r="O59" i="13"/>
  <c r="O63" i="13"/>
  <c r="M68" i="13"/>
  <c r="O72" i="13"/>
  <c r="O76" i="13"/>
  <c r="M81" i="13"/>
  <c r="N84" i="13"/>
  <c r="O86" i="13"/>
  <c r="R87" i="13"/>
  <c r="M89" i="13"/>
  <c r="N90" i="13"/>
  <c r="P91" i="13"/>
  <c r="O92" i="13"/>
  <c r="O93" i="13"/>
  <c r="P94" i="13"/>
  <c r="P95" i="13"/>
  <c r="O96" i="13"/>
  <c r="P97" i="13"/>
  <c r="P98" i="13"/>
  <c r="P99" i="13"/>
  <c r="P100" i="13"/>
  <c r="P101" i="13"/>
  <c r="P102" i="13"/>
  <c r="P103" i="13"/>
  <c r="O104" i="13"/>
  <c r="N105" i="13"/>
  <c r="N106" i="13"/>
  <c r="M107" i="13"/>
  <c r="R107" i="13"/>
  <c r="R108" i="13"/>
  <c r="Q109" i="13"/>
  <c r="P110" i="13"/>
  <c r="P111" i="13"/>
  <c r="O112" i="13"/>
  <c r="M113" i="13"/>
  <c r="Q113" i="13"/>
  <c r="O114" i="13"/>
  <c r="M115" i="13"/>
  <c r="Q115" i="13"/>
  <c r="O116" i="13"/>
  <c r="M117" i="13"/>
  <c r="Q117" i="13"/>
  <c r="O118" i="13"/>
  <c r="M119" i="13"/>
  <c r="Q119" i="13"/>
  <c r="O120" i="13"/>
  <c r="M121" i="13"/>
  <c r="Q121" i="13"/>
  <c r="O122" i="13"/>
  <c r="P124" i="13"/>
  <c r="P125" i="13"/>
  <c r="N126" i="13"/>
  <c r="R126" i="13"/>
  <c r="P127" i="13"/>
  <c r="P129" i="13"/>
  <c r="N130" i="13"/>
  <c r="R130" i="13"/>
  <c r="P131" i="13"/>
  <c r="N132" i="13"/>
  <c r="R132" i="13"/>
  <c r="P133" i="13"/>
  <c r="S40" i="13"/>
  <c r="Q26" i="13"/>
  <c r="P241" i="13"/>
  <c r="N21" i="13"/>
  <c r="M23" i="13"/>
  <c r="Q24" i="13"/>
  <c r="P27" i="13"/>
  <c r="M38" i="13"/>
  <c r="O47" i="13"/>
  <c r="M56" i="13"/>
  <c r="Q64" i="13"/>
  <c r="M73" i="13"/>
  <c r="Q81" i="13"/>
  <c r="R86" i="13"/>
  <c r="N89" i="13"/>
  <c r="Q91" i="13"/>
  <c r="Q93" i="13"/>
  <c r="Q95" i="13"/>
  <c r="Q97" i="13"/>
  <c r="R99" i="13"/>
  <c r="Q101" i="13"/>
  <c r="Q103" i="13"/>
  <c r="P105" i="13"/>
  <c r="N107" i="13"/>
  <c r="M109" i="13"/>
  <c r="R110" i="13"/>
  <c r="P112" i="13"/>
  <c r="O113" i="13"/>
  <c r="N114" i="13"/>
  <c r="N115" i="13"/>
  <c r="M116" i="13"/>
  <c r="R116" i="13"/>
  <c r="R117" i="13"/>
  <c r="Q118" i="13"/>
  <c r="P119" i="13"/>
  <c r="P120" i="13"/>
  <c r="O121" i="13"/>
  <c r="N122" i="13"/>
  <c r="M125" i="13"/>
  <c r="R125" i="13"/>
  <c r="Q126" i="13"/>
  <c r="Q127" i="13"/>
  <c r="O129" i="13"/>
  <c r="O130" i="13"/>
  <c r="N131" i="13"/>
  <c r="M132" i="13"/>
  <c r="M133" i="13"/>
  <c r="R133" i="13"/>
  <c r="P134" i="13"/>
  <c r="N135" i="13"/>
  <c r="R135" i="13"/>
  <c r="P136" i="13"/>
  <c r="N137" i="13"/>
  <c r="R137" i="13"/>
  <c r="P138" i="13"/>
  <c r="N139" i="13"/>
  <c r="R139" i="13"/>
  <c r="P140" i="13"/>
  <c r="N141" i="13"/>
  <c r="R141" i="13"/>
  <c r="P142" i="13"/>
  <c r="N143" i="13"/>
  <c r="R143" i="13"/>
  <c r="P144" i="13"/>
  <c r="N145" i="13"/>
  <c r="R145" i="13"/>
  <c r="P146" i="13"/>
  <c r="N147" i="13"/>
  <c r="R147" i="13"/>
  <c r="P148" i="13"/>
  <c r="N149" i="13"/>
  <c r="R149" i="13"/>
  <c r="P150" i="13"/>
  <c r="N151" i="13"/>
  <c r="R151" i="13"/>
  <c r="P152" i="13"/>
  <c r="N153" i="13"/>
  <c r="R153" i="13"/>
  <c r="P154" i="13"/>
  <c r="N155" i="13"/>
  <c r="R155" i="13"/>
  <c r="P156" i="13"/>
  <c r="N157" i="13"/>
  <c r="R157" i="13"/>
  <c r="P158" i="13"/>
  <c r="N159" i="13"/>
  <c r="R159" i="13"/>
  <c r="P160" i="13"/>
  <c r="N162" i="13"/>
  <c r="R162" i="13"/>
  <c r="P163" i="13"/>
  <c r="N164" i="13"/>
  <c r="R164" i="13"/>
  <c r="P165" i="13"/>
  <c r="N166" i="13"/>
  <c r="R166" i="13"/>
  <c r="P167" i="13"/>
  <c r="N168" i="13"/>
  <c r="R168" i="13"/>
  <c r="P169" i="13"/>
  <c r="N170" i="13"/>
  <c r="R170" i="13"/>
  <c r="P171" i="13"/>
  <c r="N172" i="13"/>
  <c r="R172" i="13"/>
  <c r="P173" i="13"/>
  <c r="N174" i="13"/>
  <c r="R174" i="13"/>
  <c r="P175" i="13"/>
  <c r="N176" i="13"/>
  <c r="R176" i="13"/>
  <c r="P177" i="13"/>
  <c r="N178" i="13"/>
  <c r="R178" i="13"/>
  <c r="P180" i="13"/>
  <c r="N181" i="13"/>
  <c r="R181" i="13"/>
  <c r="P182" i="13"/>
  <c r="N183" i="13"/>
  <c r="R183" i="13"/>
  <c r="P184" i="13"/>
  <c r="N186" i="13"/>
  <c r="R186" i="13"/>
  <c r="P187" i="13"/>
  <c r="N188" i="13"/>
  <c r="R188" i="13"/>
  <c r="P189" i="13"/>
  <c r="N190" i="13"/>
  <c r="R190" i="13"/>
  <c r="P191" i="13"/>
  <c r="N192" i="13"/>
  <c r="R192" i="13"/>
  <c r="P193" i="13"/>
  <c r="N194" i="13"/>
  <c r="R194" i="13"/>
  <c r="P195" i="13"/>
  <c r="N196" i="13"/>
  <c r="R196" i="13"/>
  <c r="P198" i="13"/>
  <c r="N199" i="13"/>
  <c r="R199" i="13"/>
  <c r="P200" i="13"/>
  <c r="N202" i="13"/>
  <c r="R202" i="13"/>
  <c r="P203" i="13"/>
  <c r="N204" i="13"/>
  <c r="R204" i="13"/>
  <c r="P205" i="13"/>
  <c r="N206" i="13"/>
  <c r="R206" i="13"/>
  <c r="P207" i="13"/>
  <c r="N208" i="13"/>
  <c r="R208" i="13"/>
  <c r="P210" i="13"/>
  <c r="N212" i="13"/>
  <c r="R212" i="13"/>
  <c r="P213" i="13"/>
  <c r="N216" i="13"/>
  <c r="R216" i="13"/>
  <c r="P218" i="13"/>
  <c r="N219" i="13"/>
  <c r="R219" i="13"/>
  <c r="P220" i="13"/>
  <c r="N221" i="13"/>
  <c r="R221" i="13"/>
  <c r="P222" i="13"/>
  <c r="N223" i="13"/>
  <c r="R223" i="13"/>
  <c r="P224" i="13"/>
  <c r="S154" i="13"/>
  <c r="S23" i="13"/>
  <c r="O21" i="13"/>
  <c r="N23" i="13"/>
  <c r="M25" i="13"/>
  <c r="Q27" i="13"/>
  <c r="Q38" i="13"/>
  <c r="Q48" i="13"/>
  <c r="O57" i="13"/>
  <c r="O65" i="13"/>
  <c r="M75" i="13"/>
  <c r="O82" i="13"/>
  <c r="M87" i="13"/>
  <c r="Q89" i="13"/>
  <c r="R91" i="13"/>
  <c r="R93" i="13"/>
  <c r="M96" i="13"/>
  <c r="R97" i="13"/>
  <c r="M100" i="13"/>
  <c r="N102" i="13"/>
  <c r="R103" i="13"/>
  <c r="Q105" i="13"/>
  <c r="P107" i="13"/>
  <c r="N109" i="13"/>
  <c r="M111" i="13"/>
  <c r="Q112" i="13"/>
  <c r="P113" i="13"/>
  <c r="P114" i="13"/>
  <c r="O115" i="13"/>
  <c r="N116" i="13"/>
  <c r="N117" i="13"/>
  <c r="M118" i="13"/>
  <c r="R118" i="13"/>
  <c r="R119" i="13"/>
  <c r="Q120" i="13"/>
  <c r="P121" i="13"/>
  <c r="P122" i="13"/>
  <c r="N125" i="13"/>
  <c r="M126" i="13"/>
  <c r="M127" i="13"/>
  <c r="R127" i="13"/>
  <c r="Q129" i="13"/>
  <c r="P130" i="13"/>
  <c r="O131" i="13"/>
  <c r="O132" i="13"/>
  <c r="N133" i="13"/>
  <c r="M134" i="13"/>
  <c r="Q134" i="13"/>
  <c r="O135" i="13"/>
  <c r="M136" i="13"/>
  <c r="Q136" i="13"/>
  <c r="O137" i="13"/>
  <c r="M138" i="13"/>
  <c r="Q138" i="13"/>
  <c r="O139" i="13"/>
  <c r="M140" i="13"/>
  <c r="Q140" i="13"/>
  <c r="O141" i="13"/>
  <c r="M142" i="13"/>
  <c r="Q142" i="13"/>
  <c r="O143" i="13"/>
  <c r="M144" i="13"/>
  <c r="Q144" i="13"/>
  <c r="O145" i="13"/>
  <c r="M146" i="13"/>
  <c r="Q146" i="13"/>
  <c r="O147" i="13"/>
  <c r="M148" i="13"/>
  <c r="Q148" i="13"/>
  <c r="O149" i="13"/>
  <c r="M150" i="13"/>
  <c r="Q150" i="13"/>
  <c r="O151" i="13"/>
  <c r="M152" i="13"/>
  <c r="Q152" i="13"/>
  <c r="O153" i="13"/>
  <c r="M154" i="13"/>
  <c r="Q154" i="13"/>
  <c r="O155" i="13"/>
  <c r="M156" i="13"/>
  <c r="Q156" i="13"/>
  <c r="O157" i="13"/>
  <c r="M158" i="13"/>
  <c r="Q158" i="13"/>
  <c r="O159" i="13"/>
  <c r="M160" i="13"/>
  <c r="Q160" i="13"/>
  <c r="O162" i="13"/>
  <c r="M163" i="13"/>
  <c r="Q163" i="13"/>
  <c r="O164" i="13"/>
  <c r="M165" i="13"/>
  <c r="Q165" i="13"/>
  <c r="O166" i="13"/>
  <c r="M167" i="13"/>
  <c r="Q167" i="13"/>
  <c r="O168" i="13"/>
  <c r="M169" i="13"/>
  <c r="Q169" i="13"/>
  <c r="O170" i="13"/>
  <c r="M171" i="13"/>
  <c r="Q171" i="13"/>
  <c r="O172" i="13"/>
  <c r="M173" i="13"/>
  <c r="Q173" i="13"/>
  <c r="O174" i="13"/>
  <c r="M175" i="13"/>
  <c r="Q175" i="13"/>
  <c r="O176" i="13"/>
  <c r="M177" i="13"/>
  <c r="Q177" i="13"/>
  <c r="O178" i="13"/>
  <c r="M180" i="13"/>
  <c r="Q180" i="13"/>
  <c r="O181" i="13"/>
  <c r="M182" i="13"/>
  <c r="Q182" i="13"/>
  <c r="O183" i="13"/>
  <c r="M184" i="13"/>
  <c r="Q184" i="13"/>
  <c r="O186" i="13"/>
  <c r="M187" i="13"/>
  <c r="Q187" i="13"/>
  <c r="O188" i="13"/>
  <c r="M189" i="13"/>
  <c r="Q189" i="13"/>
  <c r="O190" i="13"/>
  <c r="M191" i="13"/>
  <c r="Q191" i="13"/>
  <c r="O192" i="13"/>
  <c r="M193" i="13"/>
  <c r="Q193" i="13"/>
  <c r="O194" i="13"/>
  <c r="M195" i="13"/>
  <c r="Q195" i="13"/>
  <c r="O196" i="13"/>
  <c r="M198" i="13"/>
  <c r="Q198" i="13"/>
  <c r="O199" i="13"/>
  <c r="M200" i="13"/>
  <c r="Q200" i="13"/>
  <c r="O202" i="13"/>
  <c r="M203" i="13"/>
  <c r="Q203" i="13"/>
  <c r="O204" i="13"/>
  <c r="M205" i="13"/>
  <c r="Q205" i="13"/>
  <c r="O206" i="13"/>
  <c r="M207" i="13"/>
  <c r="Q207" i="13"/>
  <c r="O208" i="13"/>
  <c r="M210" i="13"/>
  <c r="Q210" i="13"/>
  <c r="O212" i="13"/>
  <c r="M213" i="13"/>
  <c r="Q213" i="13"/>
  <c r="O216" i="13"/>
  <c r="Q260" i="13"/>
  <c r="M260" i="13"/>
  <c r="O259" i="13"/>
  <c r="Q258" i="13"/>
  <c r="M258" i="13"/>
  <c r="O254" i="13"/>
  <c r="Q253" i="13"/>
  <c r="M253" i="13"/>
  <c r="O252" i="13"/>
  <c r="Q251" i="13"/>
  <c r="M251" i="13"/>
  <c r="O250" i="13"/>
  <c r="Q249" i="13"/>
  <c r="M249" i="13"/>
  <c r="O248" i="13"/>
  <c r="Q247" i="13"/>
  <c r="M247" i="13"/>
  <c r="O246" i="13"/>
  <c r="Q245" i="13"/>
  <c r="M245" i="13"/>
  <c r="O244" i="13"/>
  <c r="Q243" i="13"/>
  <c r="M243" i="13"/>
  <c r="O242" i="13"/>
  <c r="Q240" i="13"/>
  <c r="M240" i="13"/>
  <c r="O239" i="13"/>
  <c r="Q238" i="13"/>
  <c r="M238" i="13"/>
  <c r="O237" i="13"/>
  <c r="Q236" i="13"/>
  <c r="M236" i="13"/>
  <c r="O235" i="13"/>
  <c r="Q234" i="13"/>
  <c r="M234" i="13"/>
  <c r="O233" i="13"/>
  <c r="Q232" i="13"/>
  <c r="M232" i="13"/>
  <c r="O231" i="13"/>
  <c r="Q230" i="13"/>
  <c r="M230" i="13"/>
  <c r="O229" i="13"/>
  <c r="Q228" i="13"/>
  <c r="M228" i="13"/>
  <c r="O227" i="13"/>
  <c r="Q226" i="13"/>
  <c r="M226" i="13"/>
  <c r="O225" i="13"/>
  <c r="Q224" i="13"/>
  <c r="Q223" i="13"/>
  <c r="R222" i="13"/>
  <c r="M222" i="13"/>
  <c r="M221" i="13"/>
  <c r="N220" i="13"/>
  <c r="O219" i="13"/>
  <c r="O218" i="13"/>
  <c r="P216" i="13"/>
  <c r="N213" i="13"/>
  <c r="R210" i="13"/>
  <c r="P208" i="13"/>
  <c r="N207" i="13"/>
  <c r="R205" i="13"/>
  <c r="P204" i="13"/>
  <c r="N203" i="13"/>
  <c r="R200" i="13"/>
  <c r="P199" i="13"/>
  <c r="N198" i="13"/>
  <c r="R195" i="13"/>
  <c r="P194" i="13"/>
  <c r="N193" i="13"/>
  <c r="R191" i="13"/>
  <c r="P190" i="13"/>
  <c r="N189" i="13"/>
  <c r="R187" i="13"/>
  <c r="P186" i="13"/>
  <c r="N184" i="13"/>
  <c r="R182" i="13"/>
  <c r="P181" i="13"/>
  <c r="N180" i="13"/>
  <c r="R177" i="13"/>
  <c r="P176" i="13"/>
  <c r="N175" i="13"/>
  <c r="R173" i="13"/>
  <c r="P172" i="13"/>
  <c r="N171" i="13"/>
  <c r="R169" i="13"/>
  <c r="P168" i="13"/>
  <c r="N167" i="13"/>
  <c r="R165" i="13"/>
  <c r="P164" i="13"/>
  <c r="N163" i="13"/>
  <c r="R160" i="13"/>
  <c r="P159" i="13"/>
  <c r="N158" i="13"/>
  <c r="R156" i="13"/>
  <c r="P155" i="13"/>
  <c r="N154" i="13"/>
  <c r="R152" i="13"/>
  <c r="P151" i="13"/>
  <c r="N150" i="13"/>
  <c r="R148" i="13"/>
  <c r="P147" i="13"/>
  <c r="N146" i="13"/>
  <c r="R144" i="13"/>
  <c r="P143" i="13"/>
  <c r="N142" i="13"/>
  <c r="R140" i="13"/>
  <c r="P139" i="13"/>
  <c r="N138" i="13"/>
  <c r="R136" i="13"/>
  <c r="P135" i="13"/>
  <c r="N134" i="13"/>
  <c r="P132" i="13"/>
  <c r="Q130" i="13"/>
  <c r="M129" i="13"/>
  <c r="N127" i="13"/>
  <c r="O125" i="13"/>
  <c r="R121" i="13"/>
  <c r="M120" i="13"/>
  <c r="N118" i="13"/>
  <c r="P116" i="13"/>
  <c r="Q114" i="13"/>
  <c r="R112" i="13"/>
  <c r="R109" i="13"/>
  <c r="O106" i="13"/>
  <c r="R102" i="13"/>
  <c r="Q98" i="13"/>
  <c r="Q94" i="13"/>
  <c r="P90" i="13"/>
  <c r="O84" i="13"/>
  <c r="Q68" i="13"/>
  <c r="Q52" i="13"/>
  <c r="M32" i="13"/>
  <c r="R23" i="13"/>
  <c r="P261" i="13"/>
  <c r="P20" i="13"/>
  <c r="S126" i="13"/>
  <c r="P260" i="13"/>
  <c r="R259" i="13"/>
  <c r="N259" i="13"/>
  <c r="P258" i="13"/>
  <c r="R254" i="13"/>
  <c r="N254" i="13"/>
  <c r="P253" i="13"/>
  <c r="R252" i="13"/>
  <c r="N252" i="13"/>
  <c r="P251" i="13"/>
  <c r="N250" i="13"/>
  <c r="P249" i="13"/>
  <c r="R248" i="13"/>
  <c r="N248" i="13"/>
  <c r="P247" i="13"/>
  <c r="R246" i="13"/>
  <c r="N246" i="13"/>
  <c r="P245" i="13"/>
  <c r="R244" i="13"/>
  <c r="N244" i="13"/>
  <c r="P243" i="13"/>
  <c r="R242" i="13"/>
  <c r="N242" i="13"/>
  <c r="P240" i="13"/>
  <c r="R239" i="13"/>
  <c r="N239" i="13"/>
  <c r="P238" i="13"/>
  <c r="R237" i="13"/>
  <c r="N237" i="13"/>
  <c r="P236" i="13"/>
  <c r="R235" i="13"/>
  <c r="N235" i="13"/>
  <c r="P234" i="13"/>
  <c r="R233" i="13"/>
  <c r="N233" i="13"/>
  <c r="P232" i="13"/>
  <c r="R231" i="13"/>
  <c r="N231" i="13"/>
  <c r="P230" i="13"/>
  <c r="R229" i="13"/>
  <c r="N229" i="13"/>
  <c r="P228" i="13"/>
  <c r="R227" i="13"/>
  <c r="N227" i="13"/>
  <c r="P226" i="13"/>
  <c r="R225" i="13"/>
  <c r="N225" i="13"/>
  <c r="O224" i="13"/>
  <c r="P223" i="13"/>
  <c r="Q222" i="13"/>
  <c r="Q221" i="13"/>
  <c r="R220" i="13"/>
  <c r="M220" i="13"/>
  <c r="M219" i="13"/>
  <c r="N218" i="13"/>
  <c r="M216" i="13"/>
  <c r="Q212" i="13"/>
  <c r="O210" i="13"/>
  <c r="M208" i="13"/>
  <c r="Q206" i="13"/>
  <c r="O205" i="13"/>
  <c r="M204" i="13"/>
  <c r="Q202" i="13"/>
  <c r="O200" i="13"/>
  <c r="M199" i="13"/>
  <c r="Q196" i="13"/>
  <c r="O195" i="13"/>
  <c r="M194" i="13"/>
  <c r="Q192" i="13"/>
  <c r="O191" i="13"/>
  <c r="M190" i="13"/>
  <c r="Q188" i="13"/>
  <c r="O187" i="13"/>
  <c r="M186" i="13"/>
  <c r="Q183" i="13"/>
  <c r="O182" i="13"/>
  <c r="M181" i="13"/>
  <c r="Q178" i="13"/>
  <c r="O177" i="13"/>
  <c r="M176" i="13"/>
  <c r="Q174" i="13"/>
  <c r="O173" i="13"/>
  <c r="M172" i="13"/>
  <c r="Q170" i="13"/>
  <c r="O169" i="13"/>
  <c r="M168" i="13"/>
  <c r="Q166" i="13"/>
  <c r="O165" i="13"/>
  <c r="M164" i="13"/>
  <c r="Q162" i="13"/>
  <c r="O160" i="13"/>
  <c r="M159" i="13"/>
  <c r="Q157" i="13"/>
  <c r="O156" i="13"/>
  <c r="M155" i="13"/>
  <c r="Q153" i="13"/>
  <c r="O152" i="13"/>
  <c r="M151" i="13"/>
  <c r="Q149" i="13"/>
  <c r="O148" i="13"/>
  <c r="M147" i="13"/>
  <c r="Q145" i="13"/>
  <c r="O144" i="13"/>
  <c r="M143" i="13"/>
  <c r="Q141" i="13"/>
  <c r="O140" i="13"/>
  <c r="M139" i="13"/>
  <c r="Q137" i="13"/>
  <c r="O136" i="13"/>
  <c r="M135" i="13"/>
  <c r="Q133" i="13"/>
  <c r="R131" i="13"/>
  <c r="M130" i="13"/>
  <c r="P126" i="13"/>
  <c r="R122" i="13"/>
  <c r="N121" i="13"/>
  <c r="O119" i="13"/>
  <c r="P117" i="13"/>
  <c r="R115" i="13"/>
  <c r="M114" i="13"/>
  <c r="R111" i="13"/>
  <c r="O108" i="13"/>
  <c r="R104" i="13"/>
  <c r="M101" i="13"/>
  <c r="M97" i="13"/>
  <c r="M93" i="13"/>
  <c r="O88" i="13"/>
  <c r="O78" i="13"/>
  <c r="O61" i="13"/>
  <c r="O43" i="13"/>
  <c r="R25" i="13"/>
  <c r="O22" i="13"/>
  <c r="O26" i="13"/>
  <c r="S218" i="13"/>
  <c r="L206" i="13"/>
  <c r="L197" i="13"/>
  <c r="L126" i="13"/>
  <c r="L95" i="13"/>
  <c r="L93" i="13"/>
  <c r="L87" i="13"/>
  <c r="L85" i="13"/>
  <c r="L77" i="13"/>
  <c r="L74" i="13"/>
  <c r="L54" i="13"/>
  <c r="L52" i="13"/>
  <c r="L39" i="13"/>
  <c r="L34" i="13"/>
  <c r="L30" i="13"/>
  <c r="L20" i="13"/>
  <c r="L14" i="13"/>
  <c r="L12" i="13"/>
  <c r="L10" i="13"/>
  <c r="L203" i="13"/>
  <c r="L200" i="13"/>
  <c r="L190" i="13"/>
  <c r="L188" i="13"/>
  <c r="L186" i="13"/>
  <c r="L184" i="13"/>
  <c r="L182" i="13"/>
  <c r="L177" i="13"/>
  <c r="L175" i="13"/>
  <c r="L171" i="13"/>
  <c r="L168" i="13"/>
  <c r="L99" i="13"/>
  <c r="L82" i="13"/>
  <c r="L55" i="13"/>
  <c r="L46" i="13"/>
  <c r="L31" i="13"/>
  <c r="L21" i="13"/>
  <c r="L13" i="13"/>
  <c r="H71" i="14"/>
  <c r="P16" i="13"/>
  <c r="O20" i="13"/>
  <c r="M20" i="13"/>
  <c r="O19" i="13"/>
  <c r="P17" i="13"/>
  <c r="O18" i="13"/>
  <c r="M257" i="13"/>
  <c r="O255" i="13"/>
  <c r="P26" i="13"/>
  <c r="R211" i="13"/>
  <c r="S16" i="13"/>
  <c r="S20" i="13"/>
  <c r="S24" i="13"/>
  <c r="S36" i="13"/>
  <c r="S68" i="13"/>
  <c r="S116" i="13"/>
  <c r="S202" i="13"/>
  <c r="H86" i="14"/>
  <c r="H83" i="14"/>
  <c r="T15" i="13"/>
  <c r="C26" i="14" s="1"/>
  <c r="Q36" i="13"/>
  <c r="O31" i="13"/>
  <c r="N217" i="13"/>
  <c r="Q257" i="13"/>
  <c r="N69" i="13"/>
  <c r="N211" i="13"/>
  <c r="S48" i="13"/>
  <c r="S80" i="13"/>
  <c r="S142" i="13"/>
  <c r="M79" i="13"/>
  <c r="Q73" i="13"/>
  <c r="O67" i="13"/>
  <c r="M62" i="13"/>
  <c r="Q56" i="13"/>
  <c r="O51" i="13"/>
  <c r="M46" i="13"/>
  <c r="Q40" i="13"/>
  <c r="O35" i="13"/>
  <c r="M30" i="13"/>
  <c r="Q209" i="13"/>
  <c r="S56" i="13"/>
  <c r="S92" i="13"/>
  <c r="S170" i="13"/>
  <c r="S60" i="13"/>
  <c r="S100" i="13"/>
  <c r="S186" i="13"/>
  <c r="M50" i="13"/>
  <c r="Q44" i="13"/>
  <c r="O39" i="13"/>
  <c r="M34" i="13"/>
  <c r="R197" i="13"/>
  <c r="N214" i="13"/>
  <c r="N161" i="13"/>
  <c r="S32" i="13"/>
  <c r="S64" i="13"/>
  <c r="S108" i="13"/>
  <c r="S261" i="13"/>
  <c r="S242" i="13"/>
  <c r="S210" i="13"/>
  <c r="S178" i="13"/>
  <c r="S146" i="13"/>
  <c r="S130" i="13"/>
  <c r="S112" i="13"/>
  <c r="S96" i="13"/>
  <c r="S82" i="13"/>
  <c r="S74" i="13"/>
  <c r="S66" i="13"/>
  <c r="S58" i="13"/>
  <c r="S50" i="13"/>
  <c r="S42" i="13"/>
  <c r="S34" i="13"/>
  <c r="M255" i="13"/>
  <c r="N256" i="13"/>
  <c r="O257" i="13"/>
  <c r="N241" i="13"/>
  <c r="R261" i="13"/>
  <c r="P217" i="13"/>
  <c r="P214" i="13"/>
  <c r="O215" i="13"/>
  <c r="O209" i="13"/>
  <c r="N201" i="13"/>
  <c r="P197" i="13"/>
  <c r="Q179" i="13"/>
  <c r="M29" i="13"/>
  <c r="O30" i="13"/>
  <c r="Q31" i="13"/>
  <c r="M33" i="13"/>
  <c r="O34" i="13"/>
  <c r="Q35" i="13"/>
  <c r="M37" i="13"/>
  <c r="O38" i="13"/>
  <c r="Q39" i="13"/>
  <c r="M41" i="13"/>
  <c r="O42" i="13"/>
  <c r="Q43" i="13"/>
  <c r="M45" i="13"/>
  <c r="O46" i="13"/>
  <c r="Q47" i="13"/>
  <c r="M49" i="13"/>
  <c r="O50" i="13"/>
  <c r="Q51" i="13"/>
  <c r="M53" i="13"/>
  <c r="O54" i="13"/>
  <c r="Q55" i="13"/>
  <c r="M57" i="13"/>
  <c r="O58" i="13"/>
  <c r="Q59" i="13"/>
  <c r="M61" i="13"/>
  <c r="O62" i="13"/>
  <c r="Q63" i="13"/>
  <c r="M65" i="13"/>
  <c r="O66" i="13"/>
  <c r="Q67" i="13"/>
  <c r="M70" i="13"/>
  <c r="O71" i="13"/>
  <c r="Q72" i="13"/>
  <c r="M74" i="13"/>
  <c r="O75" i="13"/>
  <c r="Q76" i="13"/>
  <c r="M78" i="13"/>
  <c r="O79" i="13"/>
  <c r="Q80" i="13"/>
  <c r="M82" i="13"/>
  <c r="O83" i="13"/>
  <c r="Q84" i="13"/>
  <c r="M86" i="13"/>
  <c r="O87" i="13"/>
  <c r="Q88" i="13"/>
  <c r="M90" i="13"/>
  <c r="O91" i="13"/>
  <c r="Q92" i="13"/>
  <c r="M94" i="13"/>
  <c r="O95" i="13"/>
  <c r="Q96" i="13"/>
  <c r="M98" i="13"/>
  <c r="O99" i="13"/>
  <c r="Q100" i="13"/>
  <c r="M102" i="13"/>
  <c r="S238" i="13"/>
  <c r="S206" i="13"/>
  <c r="S174" i="13"/>
  <c r="S143" i="13"/>
  <c r="S127" i="13"/>
  <c r="S109" i="13"/>
  <c r="S93" i="13"/>
  <c r="S81" i="13"/>
  <c r="S73" i="13"/>
  <c r="S65" i="13"/>
  <c r="S57" i="13"/>
  <c r="S49" i="13"/>
  <c r="S41" i="13"/>
  <c r="S33" i="13"/>
  <c r="M211" i="13"/>
  <c r="M161" i="13"/>
  <c r="M69" i="13"/>
  <c r="N255" i="13"/>
  <c r="O256" i="13"/>
  <c r="P257" i="13"/>
  <c r="M241" i="13"/>
  <c r="Q217" i="13"/>
  <c r="Q214" i="13"/>
  <c r="P215" i="13"/>
  <c r="P209" i="13"/>
  <c r="O201" i="13"/>
  <c r="Q197" i="13"/>
  <c r="R179" i="13"/>
  <c r="N29" i="13"/>
  <c r="P30" i="13"/>
  <c r="R31" i="13"/>
  <c r="N33" i="13"/>
  <c r="P34" i="13"/>
  <c r="R35" i="13"/>
  <c r="N37" i="13"/>
  <c r="P38" i="13"/>
  <c r="R39" i="13"/>
  <c r="N41" i="13"/>
  <c r="P42" i="13"/>
  <c r="R43" i="13"/>
  <c r="N45" i="13"/>
  <c r="P46" i="13"/>
  <c r="R47" i="13"/>
  <c r="N49" i="13"/>
  <c r="P50" i="13"/>
  <c r="R51" i="13"/>
  <c r="N53" i="13"/>
  <c r="P54" i="13"/>
  <c r="R55" i="13"/>
  <c r="N57" i="13"/>
  <c r="P58" i="13"/>
  <c r="R59" i="13"/>
  <c r="N61" i="13"/>
  <c r="P62" i="13"/>
  <c r="R63" i="13"/>
  <c r="N65" i="13"/>
  <c r="P66" i="13"/>
  <c r="R67" i="13"/>
  <c r="N70" i="13"/>
  <c r="P71" i="13"/>
  <c r="R72" i="13"/>
  <c r="N74" i="13"/>
  <c r="P75" i="13"/>
  <c r="R76" i="13"/>
  <c r="N78" i="13"/>
  <c r="P79" i="13"/>
  <c r="R80" i="13"/>
  <c r="N82" i="13"/>
  <c r="P83" i="13"/>
  <c r="R84" i="13"/>
  <c r="N86" i="13"/>
  <c r="P87" i="13"/>
  <c r="S230" i="13"/>
  <c r="S198" i="13"/>
  <c r="S166" i="13"/>
  <c r="S139" i="13"/>
  <c r="S121" i="13"/>
  <c r="S105" i="13"/>
  <c r="S89" i="13"/>
  <c r="S79" i="13"/>
  <c r="S71" i="13"/>
  <c r="S63" i="13"/>
  <c r="S55" i="13"/>
  <c r="S47" i="13"/>
  <c r="S39" i="13"/>
  <c r="S31" i="13"/>
  <c r="O211" i="13"/>
  <c r="O161" i="13"/>
  <c r="O69" i="13"/>
  <c r="P255" i="13"/>
  <c r="Q256" i="13"/>
  <c r="R257" i="13"/>
  <c r="M261" i="13"/>
  <c r="R215" i="13"/>
  <c r="R209" i="13"/>
  <c r="Q201" i="13"/>
  <c r="N179" i="13"/>
  <c r="P29" i="13"/>
  <c r="R30" i="13"/>
  <c r="N32" i="13"/>
  <c r="P33" i="13"/>
  <c r="R34" i="13"/>
  <c r="N36" i="13"/>
  <c r="P37" i="13"/>
  <c r="R38" i="13"/>
  <c r="N40" i="13"/>
  <c r="P41" i="13"/>
  <c r="R42" i="13"/>
  <c r="N44" i="13"/>
  <c r="P45" i="13"/>
  <c r="R46" i="13"/>
  <c r="N48" i="13"/>
  <c r="P49" i="13"/>
  <c r="R50" i="13"/>
  <c r="N52" i="13"/>
  <c r="P53" i="13"/>
  <c r="R54" i="13"/>
  <c r="N56" i="13"/>
  <c r="P57" i="13"/>
  <c r="R58" i="13"/>
  <c r="N60" i="13"/>
  <c r="P61" i="13"/>
  <c r="R62" i="13"/>
  <c r="N64" i="13"/>
  <c r="P65" i="13"/>
  <c r="R66" i="13"/>
  <c r="N68" i="13"/>
  <c r="P70" i="13"/>
  <c r="R71" i="13"/>
  <c r="N73" i="13"/>
  <c r="P74" i="13"/>
  <c r="R75" i="13"/>
  <c r="N77" i="13"/>
  <c r="P78" i="13"/>
  <c r="R79" i="13"/>
  <c r="N81" i="13"/>
  <c r="P82" i="13"/>
  <c r="R83" i="13"/>
  <c r="N85" i="13"/>
  <c r="S258" i="13"/>
  <c r="S226" i="13"/>
  <c r="S194" i="13"/>
  <c r="S162" i="13"/>
  <c r="S138" i="13"/>
  <c r="S120" i="13"/>
  <c r="S104" i="13"/>
  <c r="S88" i="13"/>
  <c r="S78" i="13"/>
  <c r="S70" i="13"/>
  <c r="S62" i="13"/>
  <c r="S54" i="13"/>
  <c r="S46" i="13"/>
  <c r="S38" i="13"/>
  <c r="S30" i="13"/>
  <c r="P211" i="13"/>
  <c r="P161" i="13"/>
  <c r="P69" i="13"/>
  <c r="Q255" i="13"/>
  <c r="R256" i="13"/>
  <c r="R241" i="13"/>
  <c r="N261" i="13"/>
  <c r="R201" i="13"/>
  <c r="M179" i="13"/>
  <c r="Q29" i="13"/>
  <c r="M31" i="13"/>
  <c r="O32" i="13"/>
  <c r="Q33" i="13"/>
  <c r="M35" i="13"/>
  <c r="O36" i="13"/>
  <c r="Q37" i="13"/>
  <c r="M39" i="13"/>
  <c r="O40" i="13"/>
  <c r="Q41" i="13"/>
  <c r="M43" i="13"/>
  <c r="O44" i="13"/>
  <c r="Q45" i="13"/>
  <c r="M47" i="13"/>
  <c r="O48" i="13"/>
  <c r="Q49" i="13"/>
  <c r="M51" i="13"/>
  <c r="O52" i="13"/>
  <c r="Q53" i="13"/>
  <c r="M55" i="13"/>
  <c r="O56" i="13"/>
  <c r="Q57" i="13"/>
  <c r="M59" i="13"/>
  <c r="O60" i="13"/>
  <c r="Q61" i="13"/>
  <c r="M63" i="13"/>
  <c r="O64" i="13"/>
  <c r="Q65" i="13"/>
  <c r="M67" i="13"/>
  <c r="O68" i="13"/>
  <c r="Q70" i="13"/>
  <c r="M72" i="13"/>
  <c r="O73" i="13"/>
  <c r="Q74" i="13"/>
  <c r="M76" i="13"/>
  <c r="O77" i="13"/>
  <c r="Q78" i="13"/>
  <c r="M80" i="13"/>
  <c r="O81" i="13"/>
  <c r="Q82" i="13"/>
  <c r="M84" i="13"/>
  <c r="O85" i="13"/>
  <c r="Q86" i="13"/>
  <c r="M88" i="13"/>
  <c r="O89" i="13"/>
  <c r="Q90" i="13"/>
  <c r="S254" i="13"/>
  <c r="S222" i="13"/>
  <c r="S190" i="13"/>
  <c r="S158" i="13"/>
  <c r="S135" i="13"/>
  <c r="S117" i="13"/>
  <c r="S101" i="13"/>
  <c r="S85" i="13"/>
  <c r="S77" i="13"/>
  <c r="S69" i="13"/>
  <c r="S61" i="13"/>
  <c r="S53" i="13"/>
  <c r="S45" i="13"/>
  <c r="S37" i="13"/>
  <c r="S29" i="13"/>
  <c r="Q211" i="13"/>
  <c r="Q161" i="13"/>
  <c r="Q69" i="13"/>
  <c r="R255" i="13"/>
  <c r="Q241" i="13"/>
  <c r="O261" i="13"/>
  <c r="M217" i="13"/>
  <c r="M214" i="13"/>
  <c r="M197" i="13"/>
  <c r="R29" i="13"/>
  <c r="N31" i="13"/>
  <c r="P32" i="13"/>
  <c r="R33" i="13"/>
  <c r="N35" i="13"/>
  <c r="P36" i="13"/>
  <c r="R37" i="13"/>
  <c r="N39" i="13"/>
  <c r="P40" i="13"/>
  <c r="R41" i="13"/>
  <c r="N43" i="13"/>
  <c r="P44" i="13"/>
  <c r="R45" i="13"/>
  <c r="N47" i="13"/>
  <c r="P48" i="13"/>
  <c r="R49" i="13"/>
  <c r="N51" i="13"/>
  <c r="P52" i="13"/>
  <c r="R53" i="13"/>
  <c r="N55" i="13"/>
  <c r="P56" i="13"/>
  <c r="R57" i="13"/>
  <c r="N59" i="13"/>
  <c r="P60" i="13"/>
  <c r="R61" i="13"/>
  <c r="N63" i="13"/>
  <c r="P64" i="13"/>
  <c r="R65" i="13"/>
  <c r="N67" i="13"/>
  <c r="P68" i="13"/>
  <c r="R70" i="13"/>
  <c r="N72" i="13"/>
  <c r="P73" i="13"/>
  <c r="R74" i="13"/>
  <c r="N76" i="13"/>
  <c r="P77" i="13"/>
  <c r="R78" i="13"/>
  <c r="N80" i="13"/>
  <c r="P81" i="13"/>
  <c r="R82" i="13"/>
  <c r="S246" i="13"/>
  <c r="S214" i="13"/>
  <c r="S182" i="13"/>
  <c r="S150" i="13"/>
  <c r="S131" i="13"/>
  <c r="S113" i="13"/>
  <c r="S97" i="13"/>
  <c r="S83" i="13"/>
  <c r="S75" i="13"/>
  <c r="S67" i="13"/>
  <c r="S59" i="13"/>
  <c r="S51" i="13"/>
  <c r="S43" i="13"/>
  <c r="S35" i="13"/>
  <c r="M256" i="13"/>
  <c r="N257" i="13"/>
  <c r="O241" i="13"/>
  <c r="Q261" i="13"/>
  <c r="O217" i="13"/>
  <c r="O214" i="13"/>
  <c r="N215" i="13"/>
  <c r="N209" i="13"/>
  <c r="M201" i="13"/>
  <c r="O197" i="13"/>
  <c r="P179" i="13"/>
  <c r="N30" i="13"/>
  <c r="P31" i="13"/>
  <c r="R32" i="13"/>
  <c r="N34" i="13"/>
  <c r="P35" i="13"/>
  <c r="R36" i="13"/>
  <c r="N38" i="13"/>
  <c r="P39" i="13"/>
  <c r="R40" i="13"/>
  <c r="N42" i="13"/>
  <c r="P43" i="13"/>
  <c r="R44" i="13"/>
  <c r="N46" i="13"/>
  <c r="P47" i="13"/>
  <c r="R48" i="13"/>
  <c r="N50" i="13"/>
  <c r="P51" i="13"/>
  <c r="R52" i="13"/>
  <c r="N54" i="13"/>
  <c r="P55" i="13"/>
  <c r="R56" i="13"/>
  <c r="N58" i="13"/>
  <c r="P59" i="13"/>
  <c r="R60" i="13"/>
  <c r="N62" i="13"/>
  <c r="P63" i="13"/>
  <c r="R64" i="13"/>
  <c r="N66" i="13"/>
  <c r="P67" i="13"/>
  <c r="R68" i="13"/>
  <c r="N71" i="13"/>
  <c r="P72" i="13"/>
  <c r="R73" i="13"/>
  <c r="N75" i="13"/>
  <c r="P76" i="13"/>
  <c r="R77" i="13"/>
  <c r="N79" i="13"/>
  <c r="P80" i="13"/>
  <c r="R81" i="13"/>
  <c r="N83" i="13"/>
  <c r="P84" i="13"/>
  <c r="R85" i="13"/>
  <c r="S233" i="13"/>
  <c r="L224" i="13"/>
  <c r="L214" i="13"/>
  <c r="S87" i="13"/>
  <c r="L208" i="13"/>
  <c r="L204" i="13"/>
  <c r="L195" i="13"/>
  <c r="L187" i="13"/>
  <c r="L178" i="13"/>
  <c r="L172" i="13"/>
  <c r="L167" i="13"/>
  <c r="L115" i="13"/>
  <c r="L110" i="13"/>
  <c r="L104" i="13"/>
  <c r="B312" i="18"/>
  <c r="B304" i="18"/>
  <c r="B295" i="18"/>
  <c r="B287" i="18"/>
  <c r="B279" i="18"/>
  <c r="B271" i="18"/>
  <c r="B262" i="18"/>
  <c r="B252" i="18"/>
  <c r="B242" i="18"/>
  <c r="B234" i="18"/>
  <c r="B226" i="18"/>
  <c r="B216" i="18"/>
  <c r="B208" i="18"/>
  <c r="B199" i="18"/>
  <c r="B190" i="18"/>
  <c r="B182" i="18"/>
  <c r="B173" i="18"/>
  <c r="B165" i="18"/>
  <c r="B156" i="18"/>
  <c r="B147" i="18"/>
  <c r="B139" i="18"/>
  <c r="B131" i="18"/>
  <c r="B122" i="18"/>
  <c r="B114" i="18"/>
  <c r="B105" i="18"/>
  <c r="B96" i="18"/>
  <c r="B88" i="18"/>
  <c r="B80" i="18"/>
  <c r="B71" i="18"/>
  <c r="B63" i="18"/>
  <c r="B54" i="18"/>
  <c r="B311" i="18"/>
  <c r="B303" i="18"/>
  <c r="B294" i="18"/>
  <c r="B286" i="18"/>
  <c r="B278" i="18"/>
  <c r="B270" i="18"/>
  <c r="B261" i="18"/>
  <c r="B251" i="18"/>
  <c r="B241" i="18"/>
  <c r="B233" i="18"/>
  <c r="B225" i="18"/>
  <c r="B215" i="18"/>
  <c r="B207" i="18"/>
  <c r="B198" i="18"/>
  <c r="B189" i="18"/>
  <c r="B181" i="18"/>
  <c r="B172" i="18"/>
  <c r="B164" i="18"/>
  <c r="B154" i="18"/>
  <c r="B146" i="18"/>
  <c r="B138" i="18"/>
  <c r="B130" i="18"/>
  <c r="B121" i="18"/>
  <c r="B113" i="18"/>
  <c r="B104" i="18"/>
  <c r="B95" i="18"/>
  <c r="B87" i="18"/>
  <c r="B78" i="18"/>
  <c r="B70" i="18"/>
  <c r="B62" i="18"/>
  <c r="B53" i="18"/>
  <c r="B136" i="18"/>
  <c r="B119" i="18"/>
  <c r="B93" i="18"/>
  <c r="B59" i="18"/>
  <c r="B310" i="18"/>
  <c r="B302" i="18"/>
  <c r="B293" i="18"/>
  <c r="B285" i="18"/>
  <c r="B277" i="18"/>
  <c r="B269" i="18"/>
  <c r="B260" i="18"/>
  <c r="B250" i="18"/>
  <c r="B240" i="18"/>
  <c r="B232" i="18"/>
  <c r="B224" i="18"/>
  <c r="B214" i="18"/>
  <c r="B206" i="18"/>
  <c r="B197" i="18"/>
  <c r="B188" i="18"/>
  <c r="B180" i="18"/>
  <c r="B171" i="18"/>
  <c r="B163" i="18"/>
  <c r="B153" i="18"/>
  <c r="B145" i="18"/>
  <c r="B137" i="18"/>
  <c r="B129" i="18"/>
  <c r="B120" i="18"/>
  <c r="B112" i="18"/>
  <c r="B103" i="18"/>
  <c r="B94" i="18"/>
  <c r="B86" i="18"/>
  <c r="B77" i="18"/>
  <c r="B69" i="18"/>
  <c r="B60" i="18"/>
  <c r="B52" i="18"/>
  <c r="B128" i="18"/>
  <c r="B111" i="18"/>
  <c r="B85" i="18"/>
  <c r="B309" i="18"/>
  <c r="B301" i="18"/>
  <c r="B292" i="18"/>
  <c r="B284" i="18"/>
  <c r="B276" i="18"/>
  <c r="B267" i="18"/>
  <c r="B259" i="18"/>
  <c r="B249" i="18"/>
  <c r="B239" i="18"/>
  <c r="B231" i="18"/>
  <c r="B222" i="18"/>
  <c r="B213" i="18"/>
  <c r="B204" i="18"/>
  <c r="B196" i="18"/>
  <c r="B187" i="18"/>
  <c r="B179" i="18"/>
  <c r="B170" i="18"/>
  <c r="B162" i="18"/>
  <c r="B152" i="18"/>
  <c r="B144" i="18"/>
  <c r="B308" i="18"/>
  <c r="B299" i="18"/>
  <c r="B291" i="18"/>
  <c r="B283" i="18"/>
  <c r="B275" i="18"/>
  <c r="B266" i="18"/>
  <c r="B257" i="18"/>
  <c r="B248" i="18"/>
  <c r="B238" i="18"/>
  <c r="B230" i="18"/>
  <c r="B221" i="18"/>
  <c r="B212" i="18"/>
  <c r="B203" i="18"/>
  <c r="B195" i="18"/>
  <c r="B186" i="18"/>
  <c r="B177" i="18"/>
  <c r="B169" i="18"/>
  <c r="B161" i="18"/>
  <c r="B151" i="18"/>
  <c r="B143" i="18"/>
  <c r="B135" i="18"/>
  <c r="B127" i="18"/>
  <c r="B118" i="18"/>
  <c r="B109" i="18"/>
  <c r="B101" i="18"/>
  <c r="B92" i="18"/>
  <c r="B75" i="18"/>
  <c r="B67" i="18"/>
  <c r="B58" i="18"/>
  <c r="B49" i="18"/>
  <c r="B102" i="18"/>
  <c r="B50" i="18"/>
  <c r="B307" i="18"/>
  <c r="B298" i="18"/>
  <c r="B290" i="18"/>
  <c r="B282" i="18"/>
  <c r="B274" i="18"/>
  <c r="B265" i="18"/>
  <c r="B256" i="18"/>
  <c r="B246" i="18"/>
  <c r="B237" i="18"/>
  <c r="B229" i="18"/>
  <c r="B220" i="18"/>
  <c r="B211" i="18"/>
  <c r="B202" i="18"/>
  <c r="B194" i="18"/>
  <c r="B185" i="18"/>
  <c r="B176" i="18"/>
  <c r="B168" i="18"/>
  <c r="B160" i="18"/>
  <c r="B150" i="18"/>
  <c r="B142" i="18"/>
  <c r="B134" i="18"/>
  <c r="B125" i="18"/>
  <c r="B117" i="18"/>
  <c r="B108" i="18"/>
  <c r="B100" i="18"/>
  <c r="B91" i="18"/>
  <c r="B83" i="18"/>
  <c r="B74" i="18"/>
  <c r="B66" i="18"/>
  <c r="B57" i="18"/>
  <c r="B48" i="18"/>
  <c r="B68" i="18"/>
  <c r="B306" i="18"/>
  <c r="B297" i="18"/>
  <c r="B289" i="18"/>
  <c r="B281" i="18"/>
  <c r="B273" i="18"/>
  <c r="B264" i="18"/>
  <c r="B255" i="18"/>
  <c r="B245" i="18"/>
  <c r="B236" i="18"/>
  <c r="B228" i="18"/>
  <c r="B219" i="18"/>
  <c r="B210" i="18"/>
  <c r="B201" i="18"/>
  <c r="B193" i="18"/>
  <c r="B184" i="18"/>
  <c r="B175" i="18"/>
  <c r="B167" i="18"/>
  <c r="B159" i="18"/>
  <c r="B149" i="18"/>
  <c r="B141" i="18"/>
  <c r="B133" i="18"/>
  <c r="B124" i="18"/>
  <c r="B116" i="18"/>
  <c r="B107" i="18"/>
  <c r="B99" i="18"/>
  <c r="B90" i="18"/>
  <c r="B82" i="18"/>
  <c r="B73" i="18"/>
  <c r="B65" i="18"/>
  <c r="B56" i="18"/>
  <c r="B47" i="18"/>
  <c r="B305" i="18"/>
  <c r="B296" i="18"/>
  <c r="B288" i="18"/>
  <c r="B280" i="18"/>
  <c r="B272" i="18"/>
  <c r="B263" i="18"/>
  <c r="B254" i="18"/>
  <c r="B243" i="18"/>
  <c r="B235" i="18"/>
  <c r="B227" i="18"/>
  <c r="B218" i="18"/>
  <c r="B209" i="18"/>
  <c r="B200" i="18"/>
  <c r="B191" i="18"/>
  <c r="B183" i="18"/>
  <c r="B174" i="18"/>
  <c r="B166" i="18"/>
  <c r="B157" i="18"/>
  <c r="B148" i="18"/>
  <c r="B140" i="18"/>
  <c r="B132" i="18"/>
  <c r="B123" i="18"/>
  <c r="B115" i="18"/>
  <c r="B106" i="18"/>
  <c r="B98" i="18"/>
  <c r="B89" i="18"/>
  <c r="B81" i="18"/>
  <c r="B72" i="18"/>
  <c r="B64" i="18"/>
  <c r="B55" i="18"/>
  <c r="B76" i="18"/>
  <c r="B312" i="10"/>
  <c r="B304" i="10"/>
  <c r="B295" i="10"/>
  <c r="B287" i="10"/>
  <c r="B279" i="10"/>
  <c r="B271" i="10"/>
  <c r="B262" i="10"/>
  <c r="B252" i="10"/>
  <c r="B242" i="10"/>
  <c r="B234" i="10"/>
  <c r="B226" i="10"/>
  <c r="B216" i="10"/>
  <c r="B208" i="10"/>
  <c r="B199" i="10"/>
  <c r="B190" i="10"/>
  <c r="B182" i="10"/>
  <c r="B173" i="10"/>
  <c r="B165" i="10"/>
  <c r="B156" i="10"/>
  <c r="B147" i="10"/>
  <c r="B139" i="10"/>
  <c r="B131" i="10"/>
  <c r="B122" i="10"/>
  <c r="B114" i="10"/>
  <c r="B105" i="10"/>
  <c r="B96" i="10"/>
  <c r="B88" i="10"/>
  <c r="B80" i="10"/>
  <c r="B71" i="10"/>
  <c r="B63" i="10"/>
  <c r="B54" i="10"/>
  <c r="B108" i="10"/>
  <c r="B264" i="10"/>
  <c r="B236" i="10"/>
  <c r="B175" i="10"/>
  <c r="B133" i="10"/>
  <c r="B73" i="10"/>
  <c r="B305" i="10"/>
  <c r="B263" i="10"/>
  <c r="B218" i="10"/>
  <c r="B166" i="10"/>
  <c r="B115" i="10"/>
  <c r="B72" i="10"/>
  <c r="B311" i="10"/>
  <c r="B303" i="10"/>
  <c r="B294" i="10"/>
  <c r="B286" i="10"/>
  <c r="B278" i="10"/>
  <c r="B270" i="10"/>
  <c r="B261" i="10"/>
  <c r="B251" i="10"/>
  <c r="B241" i="10"/>
  <c r="B233" i="10"/>
  <c r="B225" i="10"/>
  <c r="B215" i="10"/>
  <c r="B207" i="10"/>
  <c r="B198" i="10"/>
  <c r="B189" i="10"/>
  <c r="B181" i="10"/>
  <c r="B172" i="10"/>
  <c r="B164" i="10"/>
  <c r="B154" i="10"/>
  <c r="B146" i="10"/>
  <c r="B138" i="10"/>
  <c r="B130" i="10"/>
  <c r="B121" i="10"/>
  <c r="B113" i="10"/>
  <c r="B104" i="10"/>
  <c r="B95" i="10"/>
  <c r="B87" i="10"/>
  <c r="B78" i="10"/>
  <c r="B70" i="10"/>
  <c r="B62" i="10"/>
  <c r="B53" i="10"/>
  <c r="B83" i="10"/>
  <c r="B273" i="10"/>
  <c r="B210" i="10"/>
  <c r="B159" i="10"/>
  <c r="B116" i="10"/>
  <c r="B65" i="10"/>
  <c r="B288" i="10"/>
  <c r="B243" i="10"/>
  <c r="B200" i="10"/>
  <c r="B148" i="10"/>
  <c r="B89" i="10"/>
  <c r="B310" i="10"/>
  <c r="B302" i="10"/>
  <c r="B293" i="10"/>
  <c r="B285" i="10"/>
  <c r="B277" i="10"/>
  <c r="B269" i="10"/>
  <c r="B260" i="10"/>
  <c r="B250" i="10"/>
  <c r="B240" i="10"/>
  <c r="B232" i="10"/>
  <c r="B224" i="10"/>
  <c r="B214" i="10"/>
  <c r="B206" i="10"/>
  <c r="B197" i="10"/>
  <c r="B188" i="10"/>
  <c r="B180" i="10"/>
  <c r="B171" i="10"/>
  <c r="B163" i="10"/>
  <c r="B153" i="10"/>
  <c r="B145" i="10"/>
  <c r="B137" i="10"/>
  <c r="B129" i="10"/>
  <c r="B120" i="10"/>
  <c r="B112" i="10"/>
  <c r="B103" i="10"/>
  <c r="B94" i="10"/>
  <c r="B86" i="10"/>
  <c r="B77" i="10"/>
  <c r="B69" i="10"/>
  <c r="B60" i="10"/>
  <c r="B52" i="10"/>
  <c r="B125" i="10"/>
  <c r="B66" i="10"/>
  <c r="B297" i="10"/>
  <c r="B255" i="10"/>
  <c r="B201" i="10"/>
  <c r="B141" i="10"/>
  <c r="B90" i="10"/>
  <c r="B272" i="10"/>
  <c r="B209" i="10"/>
  <c r="B157" i="10"/>
  <c r="B106" i="10"/>
  <c r="B55" i="10"/>
  <c r="B309" i="10"/>
  <c r="B301" i="10"/>
  <c r="B292" i="10"/>
  <c r="B284" i="10"/>
  <c r="B276" i="10"/>
  <c r="B267" i="10"/>
  <c r="B259" i="10"/>
  <c r="B249" i="10"/>
  <c r="B239" i="10"/>
  <c r="B231" i="10"/>
  <c r="B222" i="10"/>
  <c r="B213" i="10"/>
  <c r="B204" i="10"/>
  <c r="B196" i="10"/>
  <c r="B187" i="10"/>
  <c r="B179" i="10"/>
  <c r="B170" i="10"/>
  <c r="B162" i="10"/>
  <c r="B152" i="10"/>
  <c r="B144" i="10"/>
  <c r="B136" i="10"/>
  <c r="B128" i="10"/>
  <c r="B119" i="10"/>
  <c r="B111" i="10"/>
  <c r="B102" i="10"/>
  <c r="B93" i="10"/>
  <c r="B85" i="10"/>
  <c r="B76" i="10"/>
  <c r="B68" i="10"/>
  <c r="B59" i="10"/>
  <c r="B91" i="10"/>
  <c r="B281" i="10"/>
  <c r="B219" i="10"/>
  <c r="B167" i="10"/>
  <c r="B107" i="10"/>
  <c r="B56" i="10"/>
  <c r="B296" i="10"/>
  <c r="B254" i="10"/>
  <c r="B191" i="10"/>
  <c r="B140" i="10"/>
  <c r="B98" i="10"/>
  <c r="B308" i="10"/>
  <c r="B299" i="10"/>
  <c r="B291" i="10"/>
  <c r="B283" i="10"/>
  <c r="B275" i="10"/>
  <c r="B266" i="10"/>
  <c r="B257" i="10"/>
  <c r="B248" i="10"/>
  <c r="B238" i="10"/>
  <c r="B230" i="10"/>
  <c r="B221" i="10"/>
  <c r="B212" i="10"/>
  <c r="B203" i="10"/>
  <c r="B195" i="10"/>
  <c r="B186" i="10"/>
  <c r="B177" i="10"/>
  <c r="B169" i="10"/>
  <c r="B161" i="10"/>
  <c r="B151" i="10"/>
  <c r="B143" i="10"/>
  <c r="B135" i="10"/>
  <c r="B127" i="10"/>
  <c r="B118" i="10"/>
  <c r="B109" i="10"/>
  <c r="B101" i="10"/>
  <c r="B92" i="10"/>
  <c r="B84" i="10"/>
  <c r="B75" i="10"/>
  <c r="B67" i="10"/>
  <c r="B58" i="10"/>
  <c r="B100" i="10"/>
  <c r="B57" i="10"/>
  <c r="B289" i="10"/>
  <c r="B228" i="10"/>
  <c r="B184" i="10"/>
  <c r="B124" i="10"/>
  <c r="B82" i="10"/>
  <c r="B280" i="10"/>
  <c r="B227" i="10"/>
  <c r="B174" i="10"/>
  <c r="B123" i="10"/>
  <c r="B64" i="10"/>
  <c r="B307" i="10"/>
  <c r="B298" i="10"/>
  <c r="B290" i="10"/>
  <c r="B282" i="10"/>
  <c r="B274" i="10"/>
  <c r="B265" i="10"/>
  <c r="B256" i="10"/>
  <c r="B246" i="10"/>
  <c r="B237" i="10"/>
  <c r="B229" i="10"/>
  <c r="B220" i="10"/>
  <c r="B211" i="10"/>
  <c r="B202" i="10"/>
  <c r="B194" i="10"/>
  <c r="B185" i="10"/>
  <c r="B176" i="10"/>
  <c r="B168" i="10"/>
  <c r="B160" i="10"/>
  <c r="B150" i="10"/>
  <c r="B142" i="10"/>
  <c r="B134" i="10"/>
  <c r="B117" i="10"/>
  <c r="B74" i="10"/>
  <c r="B306" i="10"/>
  <c r="B245" i="10"/>
  <c r="B193" i="10"/>
  <c r="B149" i="10"/>
  <c r="B99" i="10"/>
  <c r="B235" i="10"/>
  <c r="B183" i="10"/>
  <c r="B132" i="10"/>
  <c r="B81" i="10"/>
  <c r="L219" i="13"/>
  <c r="L112" i="13"/>
  <c r="J241" i="13"/>
  <c r="L241" i="13" s="1"/>
  <c r="L265" i="13"/>
  <c r="L251" i="13"/>
  <c r="L243" i="13"/>
  <c r="L234" i="13"/>
  <c r="L226" i="13"/>
  <c r="L218" i="13"/>
  <c r="L150" i="13"/>
  <c r="L139" i="13"/>
  <c r="L130" i="13"/>
  <c r="L97" i="13"/>
  <c r="L92" i="13"/>
  <c r="L84" i="13"/>
  <c r="L78" i="13"/>
  <c r="L48" i="13"/>
  <c r="L33" i="13"/>
  <c r="L23" i="13"/>
  <c r="L15" i="13"/>
  <c r="L11" i="13"/>
  <c r="H70" i="14"/>
  <c r="J261" i="13"/>
  <c r="L261" i="13" s="1"/>
  <c r="L189" i="13"/>
  <c r="L181" i="13"/>
  <c r="L169" i="13"/>
  <c r="L121" i="13"/>
  <c r="L117" i="13"/>
  <c r="L113" i="13"/>
  <c r="L108" i="13"/>
  <c r="L72" i="13"/>
  <c r="L68" i="13"/>
  <c r="L64" i="13"/>
  <c r="L225" i="13"/>
  <c r="L179" i="13"/>
  <c r="H87" i="14"/>
  <c r="H128" i="13"/>
  <c r="K128" i="13" s="1"/>
  <c r="E128" i="13" s="1"/>
  <c r="L209" i="13"/>
  <c r="L148" i="13"/>
  <c r="J133" i="13"/>
  <c r="L133" i="13" s="1"/>
  <c r="V18" i="13"/>
  <c r="Y18" i="13"/>
  <c r="F29" i="14" s="1"/>
  <c r="U18" i="13"/>
  <c r="J142" i="13"/>
  <c r="L142" i="13" s="1"/>
  <c r="S147" i="13"/>
  <c r="S151" i="13"/>
  <c r="S155" i="13"/>
  <c r="S159" i="13"/>
  <c r="S163" i="13"/>
  <c r="S167" i="13"/>
  <c r="S171" i="13"/>
  <c r="S175" i="13"/>
  <c r="S179" i="13"/>
  <c r="S183" i="13"/>
  <c r="S187" i="13"/>
  <c r="S191" i="13"/>
  <c r="S195" i="13"/>
  <c r="S199" i="13"/>
  <c r="S203" i="13"/>
  <c r="S207" i="13"/>
  <c r="S211" i="13"/>
  <c r="S215" i="13"/>
  <c r="S219" i="13"/>
  <c r="S223" i="13"/>
  <c r="S227" i="13"/>
  <c r="S231" i="13"/>
  <c r="S235" i="13"/>
  <c r="S239" i="13"/>
  <c r="S243" i="13"/>
  <c r="S247" i="13"/>
  <c r="S251" i="13"/>
  <c r="S255" i="13"/>
  <c r="S259" i="13"/>
  <c r="S86" i="13"/>
  <c r="S90" i="13"/>
  <c r="S94" i="13"/>
  <c r="S98" i="13"/>
  <c r="S102" i="13"/>
  <c r="S106" i="13"/>
  <c r="S110" i="13"/>
  <c r="S114" i="13"/>
  <c r="S118" i="13"/>
  <c r="S122" i="13"/>
  <c r="S132" i="13"/>
  <c r="S136" i="13"/>
  <c r="S140" i="13"/>
  <c r="S144" i="13"/>
  <c r="S148" i="13"/>
  <c r="S152" i="13"/>
  <c r="S156" i="13"/>
  <c r="S160" i="13"/>
  <c r="S164" i="13"/>
  <c r="S168" i="13"/>
  <c r="S172" i="13"/>
  <c r="S176" i="13"/>
  <c r="S180" i="13"/>
  <c r="S184" i="13"/>
  <c r="S188" i="13"/>
  <c r="S192" i="13"/>
  <c r="S196" i="13"/>
  <c r="S200" i="13"/>
  <c r="S204" i="13"/>
  <c r="S208" i="13"/>
  <c r="S212" i="13"/>
  <c r="S216" i="13"/>
  <c r="S220" i="13"/>
  <c r="S224" i="13"/>
  <c r="S228" i="13"/>
  <c r="S232" i="13"/>
  <c r="S236" i="13"/>
  <c r="S240" i="13"/>
  <c r="S244" i="13"/>
  <c r="S248" i="13"/>
  <c r="S252" i="13"/>
  <c r="S256" i="13"/>
  <c r="S260" i="13"/>
  <c r="S91" i="13"/>
  <c r="S95" i="13"/>
  <c r="S99" i="13"/>
  <c r="S103" i="13"/>
  <c r="S107" i="13"/>
  <c r="S111" i="13"/>
  <c r="S115" i="13"/>
  <c r="S119" i="13"/>
  <c r="S125" i="13"/>
  <c r="S129" i="13"/>
  <c r="S133" i="13"/>
  <c r="S137" i="13"/>
  <c r="S141" i="13"/>
  <c r="S145" i="13"/>
  <c r="S149" i="13"/>
  <c r="S153" i="13"/>
  <c r="S157" i="13"/>
  <c r="S161" i="13"/>
  <c r="S165" i="13"/>
  <c r="S169" i="13"/>
  <c r="S173" i="13"/>
  <c r="S177" i="13"/>
  <c r="S181" i="13"/>
  <c r="S185" i="13"/>
  <c r="S189" i="13"/>
  <c r="S193" i="13"/>
  <c r="S197" i="13"/>
  <c r="S201" i="13"/>
  <c r="S205" i="13"/>
  <c r="S209" i="13"/>
  <c r="S213" i="13"/>
  <c r="S217" i="13"/>
  <c r="S221" i="13"/>
  <c r="S225" i="13"/>
  <c r="S229" i="13"/>
  <c r="S237" i="13"/>
  <c r="S241" i="13"/>
  <c r="S245" i="13"/>
  <c r="S249" i="13"/>
  <c r="S253" i="13"/>
  <c r="S257" i="13"/>
  <c r="Y15" i="13"/>
  <c r="F26" i="14" s="1"/>
  <c r="W15" i="13"/>
  <c r="E26" i="14" s="1"/>
  <c r="V19" i="13"/>
  <c r="L134" i="13"/>
  <c r="W19" i="13"/>
  <c r="E30" i="14" s="1"/>
  <c r="X19" i="13"/>
  <c r="D30" i="14" s="1"/>
  <c r="V15" i="13"/>
  <c r="X15" i="13"/>
  <c r="D26" i="14" s="1"/>
  <c r="J210" i="13"/>
  <c r="L210" i="13" s="1"/>
  <c r="J25" i="13"/>
  <c r="L25" i="13" s="1"/>
  <c r="H26" i="13"/>
  <c r="K26" i="13" s="1"/>
  <c r="E26" i="13" s="1"/>
  <c r="J63" i="13"/>
  <c r="L63" i="13" s="1"/>
  <c r="J268" i="13"/>
  <c r="L268" i="13" s="1"/>
  <c r="J146" i="13"/>
  <c r="L146" i="13" s="1"/>
  <c r="J79" i="13"/>
  <c r="L79" i="13" s="1"/>
  <c r="J215" i="13"/>
  <c r="L215" i="13" s="1"/>
  <c r="J263" i="13"/>
  <c r="L263" i="13" s="1"/>
  <c r="H78" i="14"/>
  <c r="J170" i="13"/>
  <c r="L170" i="13" s="1"/>
  <c r="J96" i="13"/>
  <c r="L96" i="13" s="1"/>
  <c r="J45" i="13"/>
  <c r="L45" i="13" s="1"/>
  <c r="J105" i="13"/>
  <c r="L105" i="13" s="1"/>
  <c r="J256" i="13"/>
  <c r="L256" i="13" s="1"/>
  <c r="J16" i="13"/>
  <c r="J18" i="13"/>
  <c r="L18" i="13" s="1"/>
  <c r="J43" i="13"/>
  <c r="L43" i="13" s="1"/>
  <c r="J131" i="13"/>
  <c r="L131" i="13" s="1"/>
  <c r="J163" i="13"/>
  <c r="L163" i="13" s="1"/>
  <c r="J161" i="13"/>
  <c r="J61" i="13"/>
  <c r="L61" i="13" s="1"/>
  <c r="J76" i="13"/>
  <c r="L76" i="13" s="1"/>
  <c r="J80" i="13"/>
  <c r="L80" i="13" s="1"/>
  <c r="J103" i="13"/>
  <c r="L103" i="13" s="1"/>
  <c r="J201" i="13"/>
  <c r="L201" i="13" s="1"/>
  <c r="J217" i="13"/>
  <c r="L217" i="13" s="1"/>
  <c r="J255" i="13"/>
  <c r="L255" i="13" s="1"/>
  <c r="J257" i="13"/>
  <c r="L257" i="13" s="1"/>
  <c r="J262" i="13"/>
  <c r="L262" i="13" s="1"/>
  <c r="J40" i="13"/>
  <c r="L40" i="13" s="1"/>
  <c r="H76" i="14"/>
  <c r="J38" i="13"/>
  <c r="L38" i="13" s="1"/>
  <c r="J136" i="13"/>
  <c r="L136" i="13" s="1"/>
  <c r="H75" i="14"/>
  <c r="J17" i="13"/>
  <c r="L17" i="13" s="1"/>
  <c r="J19" i="13"/>
  <c r="L19" i="13" s="1"/>
  <c r="J37" i="13"/>
  <c r="L37" i="13" s="1"/>
  <c r="J41" i="13"/>
  <c r="L41" i="13" s="1"/>
  <c r="J44" i="13"/>
  <c r="L44" i="13" s="1"/>
  <c r="J125" i="13"/>
  <c r="L125" i="13" s="1"/>
  <c r="J135" i="13"/>
  <c r="L135" i="13" s="1"/>
  <c r="J153" i="13"/>
  <c r="L153" i="13" s="1"/>
  <c r="J164" i="13"/>
  <c r="L164" i="13" s="1"/>
  <c r="J173" i="13"/>
  <c r="L173" i="13" s="1"/>
  <c r="J138" i="13"/>
  <c r="L138" i="13" s="1"/>
  <c r="O123" i="13"/>
  <c r="R123" i="13"/>
  <c r="D123" i="13"/>
  <c r="I123" i="13"/>
  <c r="J123" i="13" s="1"/>
  <c r="S123" i="13"/>
  <c r="P123" i="13"/>
  <c r="C123" i="13"/>
  <c r="M123" i="13"/>
  <c r="Q123" i="13"/>
  <c r="N123" i="13"/>
  <c r="L211" i="13"/>
  <c r="K211" i="13"/>
  <c r="E211" i="13" s="1"/>
  <c r="T17" i="13"/>
  <c r="C28" i="14" s="1"/>
  <c r="U20" i="13"/>
  <c r="D124" i="13"/>
  <c r="O124" i="13"/>
  <c r="Y20" i="13"/>
  <c r="F31" i="14" s="1"/>
  <c r="V20" i="13"/>
  <c r="X20" i="13"/>
  <c r="D31" i="14" s="1"/>
  <c r="R124" i="13"/>
  <c r="N124" i="13"/>
  <c r="T21" i="13"/>
  <c r="C32" i="14" s="1"/>
  <c r="T20" i="13"/>
  <c r="C31" i="14" s="1"/>
  <c r="C124" i="13"/>
  <c r="Q124" i="13"/>
  <c r="M124" i="13"/>
  <c r="S124" i="13"/>
  <c r="H56" i="13"/>
  <c r="H73" i="13"/>
  <c r="L73" i="13" s="1"/>
  <c r="K28" i="13"/>
  <c r="E28" i="13" s="1"/>
  <c r="L28" i="13"/>
  <c r="H101" i="13" l="1"/>
  <c r="K101" i="13" s="1"/>
  <c r="E101" i="13" s="1"/>
  <c r="K143" i="13"/>
  <c r="E143" i="13" s="1"/>
  <c r="H123" i="13"/>
  <c r="H161" i="13"/>
  <c r="L161" i="13" s="1"/>
  <c r="L124" i="13"/>
  <c r="H58" i="13"/>
  <c r="K58" i="13" s="1"/>
  <c r="E58" i="13" s="1"/>
  <c r="J122" i="13"/>
  <c r="L122" i="13" s="1"/>
  <c r="H59" i="13"/>
  <c r="L59" i="13" s="1"/>
  <c r="B128" i="13"/>
  <c r="X14" i="13" s="1"/>
  <c r="D25" i="14" s="1"/>
  <c r="J127" i="13"/>
  <c r="L127" i="13" s="1"/>
  <c r="L16" i="13"/>
  <c r="W17" i="13" s="1"/>
  <c r="U17" i="13"/>
  <c r="L128" i="13"/>
  <c r="L101" i="13"/>
  <c r="W7" i="13" s="1"/>
  <c r="L26" i="13"/>
  <c r="W21" i="13" s="1"/>
  <c r="K161" i="13"/>
  <c r="E161" i="13" s="1"/>
  <c r="L56" i="13"/>
  <c r="K56" i="13"/>
  <c r="E56" i="13" s="1"/>
  <c r="I28" i="13"/>
  <c r="J28" i="13" s="1"/>
  <c r="X6" i="13"/>
  <c r="D17" i="14" s="1"/>
  <c r="O28" i="13"/>
  <c r="V10" i="13"/>
  <c r="P28" i="13"/>
  <c r="V2" i="13"/>
  <c r="W12" i="13"/>
  <c r="C28" i="13"/>
  <c r="S28" i="13"/>
  <c r="X12" i="13"/>
  <c r="D23" i="14" s="1"/>
  <c r="M28" i="13"/>
  <c r="Q28" i="13"/>
  <c r="X11" i="13"/>
  <c r="D22" i="14" s="1"/>
  <c r="N28" i="13"/>
  <c r="R28" i="13"/>
  <c r="U12" i="13"/>
  <c r="V9" i="13"/>
  <c r="U10" i="13"/>
  <c r="V13" i="13"/>
  <c r="D28" i="13"/>
  <c r="W11" i="13"/>
  <c r="K59" i="13" l="1"/>
  <c r="E59" i="13" s="1"/>
  <c r="U9" i="13"/>
  <c r="U14" i="13"/>
  <c r="U2" i="13"/>
  <c r="U6" i="13"/>
  <c r="V5" i="13"/>
  <c r="V11" i="13"/>
  <c r="X13" i="13"/>
  <c r="D24" i="14" s="1"/>
  <c r="X21" i="13"/>
  <c r="D32" i="14" s="1"/>
  <c r="W3" i="13"/>
  <c r="U13" i="13"/>
  <c r="U3" i="13"/>
  <c r="X2" i="13"/>
  <c r="D13" i="14" s="1"/>
  <c r="W6" i="13"/>
  <c r="X3" i="13"/>
  <c r="D14" i="14" s="1"/>
  <c r="V6" i="13"/>
  <c r="V12" i="13"/>
  <c r="W10" i="13"/>
  <c r="V7" i="13"/>
  <c r="V3" i="13"/>
  <c r="X5" i="13"/>
  <c r="D16" i="14" s="1"/>
  <c r="U21" i="13"/>
  <c r="L58" i="13"/>
  <c r="W4" i="13" s="1"/>
  <c r="E15" i="14" s="1"/>
  <c r="U8" i="13"/>
  <c r="U11" i="13"/>
  <c r="W8" i="13"/>
  <c r="W13" i="13"/>
  <c r="E24" i="14" s="1"/>
  <c r="V4" i="13"/>
  <c r="W14" i="13"/>
  <c r="E25" i="14" s="1"/>
  <c r="W2" i="13"/>
  <c r="W5" i="13"/>
  <c r="X7" i="13"/>
  <c r="D18" i="14" s="1"/>
  <c r="U5" i="13"/>
  <c r="X8" i="13"/>
  <c r="D19" i="14" s="1"/>
  <c r="U4" i="13"/>
  <c r="V8" i="13"/>
  <c r="U7" i="13"/>
  <c r="U23" i="13" s="1"/>
  <c r="V14" i="13"/>
  <c r="K123" i="13"/>
  <c r="L123" i="13"/>
  <c r="W9" i="13" s="1"/>
  <c r="E32" i="14"/>
  <c r="X17" i="13"/>
  <c r="D28" i="14" s="1"/>
  <c r="I128" i="13"/>
  <c r="M128" i="13"/>
  <c r="D128" i="13"/>
  <c r="V17" i="13"/>
  <c r="C128" i="13"/>
  <c r="V21" i="13"/>
  <c r="J128" i="13"/>
  <c r="P128" i="13"/>
  <c r="O128" i="13"/>
  <c r="N128" i="13"/>
  <c r="Q128" i="13"/>
  <c r="S128" i="13"/>
  <c r="R128" i="13"/>
  <c r="X10" i="13"/>
  <c r="D21" i="14" s="1"/>
  <c r="E28" i="14"/>
  <c r="Y17" i="13"/>
  <c r="F28" i="14" s="1"/>
  <c r="X4" i="13"/>
  <c r="D15" i="14" s="1"/>
  <c r="E13" i="14"/>
  <c r="Y2" i="13"/>
  <c r="E18" i="14"/>
  <c r="E16" i="14"/>
  <c r="Y5" i="13"/>
  <c r="F16" i="14" s="1"/>
  <c r="Y13" i="13"/>
  <c r="F24" i="14" s="1"/>
  <c r="E23" i="14"/>
  <c r="Y12" i="13"/>
  <c r="F23" i="14" s="1"/>
  <c r="E22" i="14"/>
  <c r="Y11" i="13"/>
  <c r="F22" i="14" s="1"/>
  <c r="Y8" i="13"/>
  <c r="F19" i="14" s="1"/>
  <c r="E19" i="14"/>
  <c r="E14" i="14"/>
  <c r="Y14" i="13"/>
  <c r="F25" i="14" s="1"/>
  <c r="E17" i="14"/>
  <c r="Y6" i="13"/>
  <c r="F17" i="14" s="1"/>
  <c r="E21" i="14"/>
  <c r="V23" i="13" l="1"/>
  <c r="E20" i="14"/>
  <c r="Y7" i="13"/>
  <c r="F18" i="14" s="1"/>
  <c r="E123" i="13"/>
  <c r="X9" i="13"/>
  <c r="D20" i="14" s="1"/>
  <c r="Y3" i="13"/>
  <c r="F14" i="14" s="1"/>
  <c r="Y21" i="13"/>
  <c r="Y23" i="13"/>
  <c r="E33" i="14" s="1"/>
  <c r="Y10" i="13"/>
  <c r="F21" i="14" s="1"/>
  <c r="Y4" i="13"/>
  <c r="F15" i="14" s="1"/>
  <c r="F13" i="14"/>
  <c r="Y9" i="13" l="1"/>
  <c r="F20" i="14" s="1"/>
  <c r="W23" i="13" l="1"/>
  <c r="X23" i="13" s="1"/>
  <c r="D33" i="14" s="1"/>
  <c r="E6" i="15" l="1"/>
  <c r="F33" i="14"/>
  <c r="D6" i="15"/>
</calcChain>
</file>

<file path=xl/comments1.xml><?xml version="1.0" encoding="utf-8"?>
<comments xmlns="http://schemas.openxmlformats.org/spreadsheetml/2006/main">
  <authors>
    <author>Charles Escue</author>
    <author/>
  </authors>
  <commentList>
    <comment ref="B26" authorId="0" shapeId="0">
      <text>
        <r>
          <rPr>
            <b/>
            <sz val="10"/>
            <color rgb="FF000000"/>
            <rFont val="Calibri"/>
            <family val="2"/>
          </rPr>
          <t>The Institution views hosted solutions such as AWS, Rackspace, Azure, and other PaaS/SaaS offerings as third parties. If services such as these are used in your environment, respond "Yes".</t>
        </r>
      </text>
    </comment>
    <comment ref="B32" authorId="1" shapeId="0">
      <text>
        <r>
          <rPr>
            <sz val="12"/>
            <color rgb="FF000000"/>
            <rFont val="Verdana"/>
            <family val="2"/>
          </rPr>
          <t xml:space="preserve">In 2011, Statement on Standards for Attestation Engagements (SSAE) No. 16 took effect and replaced SAS 70 as the authoritative guidance for performing a service auditor's examination.  SSAE 16 established a new attestation standard (AT 801) to contain the professional guidance. 
</t>
        </r>
        <r>
          <rPr>
            <sz val="12"/>
            <color rgb="FF000000"/>
            <rFont val="Verdana"/>
            <family val="2"/>
          </rPr>
          <t>You can learn more about SSAE 16 at www.ssae16.com.</t>
        </r>
      </text>
    </comment>
    <comment ref="B33" authorId="1" shapeId="0">
      <text>
        <r>
          <rPr>
            <sz val="12"/>
            <color rgb="FF000000"/>
            <rFont val="Verdana"/>
            <family val="2"/>
          </rPr>
          <t xml:space="preserve">CSA STAR Self Assessment is free and open to all cloud providers and allows them to submit self assessment reports that document compliance to CSA-published best practices.
</t>
        </r>
        <r>
          <rPr>
            <sz val="12"/>
            <color rgb="FF000000"/>
            <rFont val="Verdana"/>
            <family val="2"/>
          </rPr>
          <t>Website: https://cloudsecurityalliance.org/star/self-assessment/</t>
        </r>
      </text>
    </comment>
    <comment ref="B34" authorId="1" shapeId="0">
      <text>
        <r>
          <rPr>
            <sz val="12"/>
            <color rgb="FF000000"/>
            <rFont val="Verdana"/>
            <family val="2"/>
          </rPr>
          <t xml:space="preserve">The CSA STAR Certification is a rigorous third party independent assessment of the security of a cloud service provider. The technology-neutral certification leverages the requirements of the ISO/IEC 27001 management system standard together with the CSA Cloud Controls Matrix, a specified set of criteria that measures the capability levels of the cloud service.
</t>
        </r>
        <r>
          <rPr>
            <sz val="12"/>
            <color rgb="FF000000"/>
            <rFont val="Verdana"/>
            <family val="2"/>
          </rPr>
          <t>Website: https://cloudsecurityalliance.org/star/certification/</t>
        </r>
      </text>
    </comment>
    <comment ref="B36" authorId="1" shapeId="0">
      <text>
        <r>
          <rPr>
            <sz val="12"/>
            <color rgb="FF000000"/>
            <rFont val="Verdana"/>
            <family val="2"/>
          </rPr>
          <t xml:space="preserve">The Federal Information Security Management Act (FISMA) is United States legislation that defines a comprehensive framework to protect government information, operations and assets against natural or man-made threats.
</t>
        </r>
        <r>
          <rPr>
            <sz val="12"/>
            <color rgb="FF000000"/>
            <rFont val="Verdana"/>
            <family val="2"/>
          </rPr>
          <t xml:space="preserve">Website: http://www.dhs.gov/FISMA
</t>
        </r>
        <r>
          <rPr>
            <sz val="12"/>
            <color rgb="FF000000"/>
            <rFont val="Verdana"/>
            <family val="2"/>
          </rPr>
          <t xml:space="preserve">----
</t>
        </r>
        <r>
          <rPr>
            <sz val="12"/>
            <color rgb="FF000000"/>
            <rFont val="Verdana"/>
            <family val="2"/>
          </rPr>
          <t xml:space="preserve">slight wording change
</t>
        </r>
        <r>
          <rPr>
            <sz val="12"/>
            <color rgb="FF000000"/>
            <rFont val="Verdana"/>
            <family val="2"/>
          </rPr>
          <t xml:space="preserve">	-Josh Callahan</t>
        </r>
      </text>
    </comment>
    <comment ref="B171" authorId="0" shapeId="0">
      <text>
        <r>
          <rPr>
            <sz val="10"/>
            <color rgb="FF000000"/>
            <rFont val="Calibri"/>
            <family val="2"/>
          </rPr>
          <t xml:space="preserve">https://uptimeinstitute.com/tiers
</t>
        </r>
      </text>
    </comment>
  </commentList>
</comments>
</file>

<file path=xl/comments2.xml><?xml version="1.0" encoding="utf-8"?>
<comments xmlns="http://schemas.openxmlformats.org/spreadsheetml/2006/main">
  <authors>
    <author>Charles Escue</author>
    <author/>
  </authors>
  <commentList>
    <comment ref="B26" authorId="0" shapeId="0">
      <text>
        <r>
          <rPr>
            <b/>
            <sz val="10"/>
            <color rgb="FF000000"/>
            <rFont val="Calibri"/>
            <family val="2"/>
          </rPr>
          <t>The Institution views hosted solutions such as AWS, Rackspace, Azure, and other PaaS/SaaS offerings as third parties. If services such as these are used in your environment, respond "Yes".</t>
        </r>
      </text>
    </comment>
    <comment ref="B32" authorId="1" shapeId="0">
      <text>
        <r>
          <rPr>
            <sz val="12"/>
            <color rgb="FF000000"/>
            <rFont val="Verdana"/>
            <family val="2"/>
          </rPr>
          <t xml:space="preserve">In 2011, Statement on Standards for Attestation Engagements (SSAE) No. 16 took effect and replaced SAS 70 as the authoritative guidance for performing a service auditor's examination.  SSAE 16 established a new attestation standard (AT 801) to contain the professional guidance. 
</t>
        </r>
        <r>
          <rPr>
            <sz val="12"/>
            <color rgb="FF000000"/>
            <rFont val="Verdana"/>
            <family val="2"/>
          </rPr>
          <t>You can learn more about SSAE 16 at www.ssae16.com.</t>
        </r>
      </text>
    </comment>
    <comment ref="B33" authorId="1" shapeId="0">
      <text>
        <r>
          <rPr>
            <sz val="12"/>
            <color rgb="FF000000"/>
            <rFont val="Verdana"/>
            <family val="2"/>
          </rPr>
          <t xml:space="preserve">CSA STAR Self Assessment is free and open to all cloud providers and allows them to submit self assessment reports that document compliance to CSA-published best practices.
</t>
        </r>
        <r>
          <rPr>
            <sz val="12"/>
            <color rgb="FF000000"/>
            <rFont val="Verdana"/>
            <family val="2"/>
          </rPr>
          <t>Website: https://cloudsecurityalliance.org/star/self-assessment/</t>
        </r>
      </text>
    </comment>
    <comment ref="B34" authorId="1" shapeId="0">
      <text>
        <r>
          <rPr>
            <sz val="12"/>
            <color rgb="FF000000"/>
            <rFont val="Verdana"/>
            <family val="2"/>
          </rPr>
          <t xml:space="preserve">The CSA STAR Certification is a rigorous third party independent assessment of the security of a cloud service provider. The technology-neutral certification leverages the requirements of the ISO/IEC 27001 management system standard together with the CSA Cloud Controls Matrix, a specified set of criteria that measures the capability levels of the cloud service.
</t>
        </r>
        <r>
          <rPr>
            <sz val="12"/>
            <color rgb="FF000000"/>
            <rFont val="Verdana"/>
            <family val="2"/>
          </rPr>
          <t>Website: https://cloudsecurityalliance.org/star/certification/</t>
        </r>
      </text>
    </comment>
    <comment ref="B36" authorId="1" shapeId="0">
      <text>
        <r>
          <rPr>
            <sz val="12"/>
            <color rgb="FF000000"/>
            <rFont val="Verdana"/>
            <family val="2"/>
          </rPr>
          <t xml:space="preserve">The Federal Information Security Management Act (FISMA) is United States legislation that defines a comprehensive framework to protect government information, operations and assets against natural or man-made threats.
</t>
        </r>
        <r>
          <rPr>
            <sz val="12"/>
            <color rgb="FF000000"/>
            <rFont val="Verdana"/>
            <family val="2"/>
          </rPr>
          <t xml:space="preserve">Website: http://www.dhs.gov/FISMA
</t>
        </r>
        <r>
          <rPr>
            <sz val="12"/>
            <color rgb="FF000000"/>
            <rFont val="Verdana"/>
            <family val="2"/>
          </rPr>
          <t xml:space="preserve">----
</t>
        </r>
        <r>
          <rPr>
            <sz val="12"/>
            <color rgb="FF000000"/>
            <rFont val="Verdana"/>
            <family val="2"/>
          </rPr>
          <t xml:space="preserve">slight wording change
</t>
        </r>
        <r>
          <rPr>
            <sz val="12"/>
            <color rgb="FF000000"/>
            <rFont val="Verdana"/>
            <family val="2"/>
          </rPr>
          <t xml:space="preserve">	-Josh Callahan</t>
        </r>
      </text>
    </comment>
    <comment ref="B171" authorId="0" shapeId="0">
      <text>
        <r>
          <rPr>
            <sz val="10"/>
            <color rgb="FF000000"/>
            <rFont val="Calibri"/>
            <family val="2"/>
          </rPr>
          <t xml:space="preserve">https://uptimeinstitute.com/tiers
</t>
        </r>
      </text>
    </comment>
  </commentList>
</comments>
</file>

<file path=xl/connections.xml><?xml version="1.0" encoding="utf-8"?>
<connections xmlns="http://schemas.openxmlformats.org/spreadsheetml/2006/main">
  <connection id="1"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<sst xmlns="http://schemas.openxmlformats.org/spreadsheetml/2006/main" count="5943" uniqueCount="3069">
  <si>
    <t>Date</t>
  </si>
  <si>
    <t>General Information</t>
  </si>
  <si>
    <t>555-555-5555</t>
  </si>
  <si>
    <t>Vendor Name</t>
  </si>
  <si>
    <t>Product Name</t>
  </si>
  <si>
    <t>Product Description</t>
  </si>
  <si>
    <t>Web Link to Product Privacy Notice</t>
  </si>
  <si>
    <t>Vendor Contact Name</t>
  </si>
  <si>
    <t>Vendor Contact Title</t>
  </si>
  <si>
    <t>Vendor Contact Email</t>
  </si>
  <si>
    <t>Vendor Contact Phone Number</t>
  </si>
  <si>
    <t>Instructions</t>
  </si>
  <si>
    <t>Qualifiers</t>
  </si>
  <si>
    <t>Vendor Answers</t>
  </si>
  <si>
    <t>Additional Information</t>
  </si>
  <si>
    <t>Guidance</t>
  </si>
  <si>
    <t>Will data regulated by PCI DSS reside in the vended product?</t>
  </si>
  <si>
    <t>Yes</t>
  </si>
  <si>
    <t>Documentation</t>
  </si>
  <si>
    <t>Have you received the Cloud Security Alliance STAR certification?</t>
  </si>
  <si>
    <t>No</t>
  </si>
  <si>
    <t>What legal agreements (i.e. contracts) do you have in place with these third parties that address liability in the event of a data breach?</t>
  </si>
  <si>
    <t>Can we restrict that access based on source IP address?</t>
  </si>
  <si>
    <t>How long are data backups stored?</t>
  </si>
  <si>
    <t>Will you handle data in a FERPA compliant manner?</t>
  </si>
  <si>
    <t>Does the database support encryption of specified data elements in storage?</t>
  </si>
  <si>
    <t>Do any of your servers reside in a co-located data center?</t>
  </si>
  <si>
    <t>Are your servers separated from other companies via a physical barrier, such as a cage or hardened walls?</t>
  </si>
  <si>
    <t>Are your primary and secondary data centers geographically diverse?</t>
  </si>
  <si>
    <t>Select the option that best describes the network segment that servers are connected to.</t>
  </si>
  <si>
    <t>Other</t>
  </si>
  <si>
    <t xml:space="preserve">Does the system provide data input validation and error messages? </t>
  </si>
  <si>
    <t>Are you utilizing a web application firewall (WAF)?</t>
  </si>
  <si>
    <t>Are you utilizing a stateful packet inspection (SPI) firewall?</t>
  </si>
  <si>
    <t>Can you enforce password/passphrase aging requirements?</t>
  </si>
  <si>
    <t>Are user account passwords/passphrases visible in administration modules?</t>
  </si>
  <si>
    <t>Are user account passwords/passphrases stored encrypted?</t>
  </si>
  <si>
    <t>Are individuals required to sign in/out for installation and removal of equipment?</t>
  </si>
  <si>
    <t>Do you have a documented patch management process?</t>
  </si>
  <si>
    <t>Can you accommodate encryption requirements using open standards?</t>
  </si>
  <si>
    <t>Have your developers been trained in secure coding techniques?</t>
  </si>
  <si>
    <t>Was your application developed using secure coding techniques?</t>
  </si>
  <si>
    <t>Are information security principles designed into the product lifecycle?</t>
  </si>
  <si>
    <t>Do you have a documented systems development life cycle (SDLC)?</t>
  </si>
  <si>
    <t>Do you have a formal incident response plan?</t>
  </si>
  <si>
    <t xml:space="preserve">Do you require new employees to fill out agreements and review policies?  </t>
  </si>
  <si>
    <t>Do you have an information security awareness program?</t>
  </si>
  <si>
    <t>Do you incorporate customer feedback into security feature requests?</t>
  </si>
  <si>
    <r>
      <t xml:space="preserve">Are your </t>
    </r>
    <r>
      <rPr>
        <i/>
        <sz val="11"/>
        <color theme="1"/>
        <rFont val="Verdana"/>
        <family val="2"/>
      </rPr>
      <t>applications</t>
    </r>
    <r>
      <rPr>
        <sz val="11"/>
        <color theme="1"/>
        <rFont val="Verdana"/>
        <family val="2"/>
      </rPr>
      <t xml:space="preserve"> scanned externally for vulnerabilities?</t>
    </r>
  </si>
  <si>
    <t>Are your applications scanned for vulnerabilities prior to new releases?</t>
  </si>
  <si>
    <r>
      <t xml:space="preserve">Are your </t>
    </r>
    <r>
      <rPr>
        <i/>
        <sz val="11"/>
        <color theme="1"/>
        <rFont val="Verdana"/>
        <family val="2"/>
      </rPr>
      <t>systems</t>
    </r>
    <r>
      <rPr>
        <sz val="11"/>
        <color theme="1"/>
        <rFont val="Verdana"/>
        <family val="2"/>
      </rPr>
      <t xml:space="preserve"> scanned externally for vulnerabilities?</t>
    </r>
  </si>
  <si>
    <t>On which mobile operating systems is your software or service supported?</t>
  </si>
  <si>
    <t>Is the application available from a trusted source (e.g., iTunes App Store, Android Market, BB World)?</t>
  </si>
  <si>
    <t>Does the application store, process, or transmit critical data?</t>
  </si>
  <si>
    <t>Does the mobile application support Kerberos, CAS, or Active Directory authentication?</t>
  </si>
  <si>
    <t>Has the application been tested for vulnerabilities by a third party?</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</si>
  <si>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</si>
  <si>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</si>
  <si>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</si>
  <si>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</si>
  <si>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</si>
  <si>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Does your application provide the ability to define user access levels?</t>
  </si>
  <si>
    <t>Does your application support varying levels of access to records based on user ID?</t>
  </si>
  <si>
    <t>Is there a limit to the number of groups a user can be assigned?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</si>
  <si>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</si>
  <si>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</si>
  <si>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</si>
  <si>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</si>
  <si>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</si>
  <si>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accounts used for vendor supplied remote support abide by the same authentication policies and access logging as the rest of the system?</t>
  </si>
  <si>
    <t>Can you provide a HIPAA compliance attestation document?</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</si>
  <si>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</si>
  <si>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</si>
  <si>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</si>
  <si>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</si>
  <si>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</si>
  <si>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</si>
  <si>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</si>
  <si>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</si>
  <si>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</si>
  <si>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 xml:space="preserve">Include documentation describing the systems' abilities to comply with the PCI DSS and any features or capabilities of the system that must be added or changed in order to operate in compliance with the standards. </t>
  </si>
  <si>
    <t>Campus</t>
  </si>
  <si>
    <t>Answers</t>
  </si>
  <si>
    <t>N/A</t>
  </si>
  <si>
    <t>DRPTestingSchedule</t>
  </si>
  <si>
    <t>Quarterly</t>
  </si>
  <si>
    <t>Semi-annually</t>
  </si>
  <si>
    <t>Annually</t>
  </si>
  <si>
    <t>NetworkTypes</t>
  </si>
  <si>
    <t>Exclusive VLAN</t>
  </si>
  <si>
    <t>Shared VLAN</t>
  </si>
  <si>
    <t>Physically Separate</t>
  </si>
  <si>
    <t>Flat Shared Network</t>
  </si>
  <si>
    <t>Consulting</t>
  </si>
  <si>
    <t>Does the system operate in a mixed authentication mode (i.e. external and local authentication)?</t>
  </si>
  <si>
    <t>Does your product process protected health information (PHI) or any data covered by the Health Insurance Portability and Accountability Act?</t>
  </si>
  <si>
    <t>HEISC Shared Assessments Working Group</t>
  </si>
  <si>
    <t>Assessment Contact</t>
  </si>
  <si>
    <t>Do clients have the option to not participate in or postpone an upgrade to a new release?</t>
  </si>
  <si>
    <t>Are these rights retained even through a provider acquisition or bankruptcy event?</t>
  </si>
  <si>
    <t>In the event of imminent bankruptcy, closing of business, or retirement of service, will you provide 90 days for customers to get their data out of the system and migrate applications?</t>
  </si>
  <si>
    <t xml:space="preserve">Do you have a documented and currently followed change management process (CMP)? </t>
  </si>
  <si>
    <t>Are upgrades or system changes installed during off-peak hours or in a manner that does not impact the customer?</t>
  </si>
  <si>
    <t>Do procedures exist to provide that emergency changes are documented and authorized (including after the fact approval)?</t>
  </si>
  <si>
    <t>What Tier Level is your data center (per levels defined by the Uptime Institute)?</t>
  </si>
  <si>
    <t>Are backup copies made according to pre-defined schedules and securely stored and protected?</t>
  </si>
  <si>
    <t>Is media used for long-term retention of business data and archival purposes stored in a secure, environmentally protected area?</t>
  </si>
  <si>
    <t>Do procedures exist to ensure that retention and destruction of data meets established business and regulatory requirements?</t>
  </si>
  <si>
    <t>Have you implemented an Intrusion Detection System (network-based)?</t>
  </si>
  <si>
    <t>Have you implemented an Intrusion Prevention System (network-based)?</t>
  </si>
  <si>
    <t>Do you monitor for intrusions on a 24x7x365 basis?</t>
  </si>
  <si>
    <t>Is intrusion monitoring performed internally or by a third-party service?</t>
  </si>
  <si>
    <t>Identify the most current version of the software. Detail the percentage of live customers that are utilizing the proposed version of the software as well as each version of the software currently in use.</t>
  </si>
  <si>
    <t xml:space="preserve">Can your system take advantage of mobile and/or GPS enabled mobile devices?  </t>
  </si>
  <si>
    <t>Do the documented test results identify your organizations actual recovery time capabilities for technology and facilities?</t>
  </si>
  <si>
    <t>DR Types</t>
  </si>
  <si>
    <t>Cold</t>
  </si>
  <si>
    <t>Hot</t>
  </si>
  <si>
    <t>Does your organization conduct an annual test of relocating to this site for disaster recovery purposes?</t>
  </si>
  <si>
    <t>Is an owner assigned who is responsible for the maintenance and review of the Business Continuity Plan?</t>
  </si>
  <si>
    <t>Is there a documented communication plan in your DRP for impacted clients?</t>
  </si>
  <si>
    <t>Is there a defined problem/issue escalation plan in your DRP for impacted clients?</t>
  </si>
  <si>
    <t>Is there a defined problem/issue escalation plan in your BCP for impacted clients?</t>
  </si>
  <si>
    <t>Is there a documented communication plan in your BCP for impacted clients?</t>
  </si>
  <si>
    <t>Does your organization conduct training and awareness activities to validate its employees understanding of their roles and responsibilities during a crisis?</t>
  </si>
  <si>
    <t>Are specific crisis management roles and responsibilities defined and documented?</t>
  </si>
  <si>
    <t>Does your organization have an alternative business site or a contracted Business Recovery provider?</t>
  </si>
  <si>
    <t>Do you employ host-based intrusion detection?</t>
  </si>
  <si>
    <t>Do you employ host-based intrusion prevention?</t>
  </si>
  <si>
    <t>Have you completed the Cloud Security Alliance (CSA) self assessment or CAIQ?</t>
  </si>
  <si>
    <t>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t>
  </si>
  <si>
    <r>
      <t xml:space="preserve">Does the </t>
    </r>
    <r>
      <rPr>
        <i/>
        <sz val="11"/>
        <color theme="1"/>
        <rFont val="Verdana"/>
        <family val="2"/>
      </rPr>
      <t>system</t>
    </r>
    <r>
      <rPr>
        <sz val="11"/>
        <color theme="1"/>
        <rFont val="Verdana"/>
        <family val="2"/>
      </rPr>
      <t xml:space="preserve"> (servers/infrastructure) support external authentication services (e.g. Active Directory, LDAP) in place of local authentication?</t>
    </r>
  </si>
  <si>
    <r>
      <t xml:space="preserve">Does your </t>
    </r>
    <r>
      <rPr>
        <i/>
        <sz val="11"/>
        <color theme="1"/>
        <rFont val="Verdana"/>
        <family val="2"/>
      </rPr>
      <t>application</t>
    </r>
    <r>
      <rPr>
        <sz val="11"/>
        <color theme="1"/>
        <rFont val="Verdana"/>
        <family val="2"/>
      </rPr>
      <t xml:space="preserve"> and/or user-frontend/portal support multi-factor authentication? (e.g. Duo, Google Authenticator, OTP, etc.)</t>
    </r>
  </si>
  <si>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</si>
  <si>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</si>
  <si>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</si>
  <si>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</si>
  <si>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Do you have an incident response process and reporting in place to investigate any potential incidents and report actual incidents?</t>
  </si>
  <si>
    <t>Do you have a plan to comply with the Breach Notification requirements if there is a breach of data?</t>
  </si>
  <si>
    <t>Have you conducted a risk analysis as required under the Security Rule?</t>
  </si>
  <si>
    <t>Have you identified areas of risks?</t>
  </si>
  <si>
    <t>Have you taken actions to mitigate the identified risks?</t>
  </si>
  <si>
    <t>Does your data backup and retention policies and practices meet HIPAA requirements?</t>
  </si>
  <si>
    <t>Do you have a disaster recovery plan and emergency mode operation plan?</t>
  </si>
  <si>
    <t>Have the policies/plans mentioned above been tested?</t>
  </si>
  <si>
    <t>Are you willing to enter into a Business Associate Agreement (BAA)?</t>
  </si>
  <si>
    <t>Version</t>
  </si>
  <si>
    <t>Description of Change</t>
  </si>
  <si>
    <t>v0.6</t>
  </si>
  <si>
    <t>Do you comply with ISO 9001?</t>
  </si>
  <si>
    <t>Will your company provide quality and performance metrics in relation to the scope of services and performance expectations for the services you are offering?</t>
  </si>
  <si>
    <t>Do you have a program to keep your customers abreast of higher education and/or industry issues?</t>
  </si>
  <si>
    <t>Company Overview</t>
  </si>
  <si>
    <t>Describe your organization’s business background and ownership structure, including all parent and subsidiary relationships.</t>
  </si>
  <si>
    <t>Describe how long your organization has conducted business in this product area.</t>
  </si>
  <si>
    <t>Do you have a Business Continuity Plan (BCP)?</t>
  </si>
  <si>
    <t>Do you have a Disaster Recovery Plan (DRP)?</t>
  </si>
  <si>
    <t>Provide a general summary of your Quality Assurance program.</t>
  </si>
  <si>
    <t>Are video monitoring feeds retained?</t>
  </si>
  <si>
    <t>v0.7</t>
  </si>
  <si>
    <t>v0.8</t>
  </si>
  <si>
    <t>Are systems that support this service managed via a separate management network?</t>
  </si>
  <si>
    <t>Are employee mobile devices managed by your company's Mobile Device Management (MDM) platform?</t>
  </si>
  <si>
    <t>v0.9</t>
  </si>
  <si>
    <t>QUAL-01</t>
  </si>
  <si>
    <t>QUAL-02</t>
  </si>
  <si>
    <t>QUAL-03</t>
  </si>
  <si>
    <t>QUAL-04</t>
  </si>
  <si>
    <t>QUAL-05</t>
  </si>
  <si>
    <t>QUAL-06</t>
  </si>
  <si>
    <t>QUAL-07</t>
  </si>
  <si>
    <t>DOCU-01</t>
  </si>
  <si>
    <t>DOCU-02</t>
  </si>
  <si>
    <t>DOCU-03</t>
  </si>
  <si>
    <t>DOCU-04</t>
  </si>
  <si>
    <t>DOCU-05</t>
  </si>
  <si>
    <t>DOCU-06</t>
  </si>
  <si>
    <t>COMP-01</t>
  </si>
  <si>
    <t>COMP-02</t>
  </si>
  <si>
    <t>COMP-03</t>
  </si>
  <si>
    <t>COMP-04</t>
  </si>
  <si>
    <t>COMP-05</t>
  </si>
  <si>
    <t>COMP-06</t>
  </si>
  <si>
    <t>THRD-01</t>
  </si>
  <si>
    <t>THRD-02</t>
  </si>
  <si>
    <t>THRD-03</t>
  </si>
  <si>
    <t>CONS-01</t>
  </si>
  <si>
    <t>CONS-02</t>
  </si>
  <si>
    <t>CONS-03</t>
  </si>
  <si>
    <t>CONS-04</t>
  </si>
  <si>
    <t>CONS-05</t>
  </si>
  <si>
    <t>CONS-06</t>
  </si>
  <si>
    <t>CONS-07</t>
  </si>
  <si>
    <t>CONS-08</t>
  </si>
  <si>
    <t>CONS-09</t>
  </si>
  <si>
    <t>APPL-01</t>
  </si>
  <si>
    <t>APPL-02</t>
  </si>
  <si>
    <t>APPL-04</t>
  </si>
  <si>
    <t>APPL-05</t>
  </si>
  <si>
    <t>APPL-06</t>
  </si>
  <si>
    <t>APPL-07</t>
  </si>
  <si>
    <t>APPL-08</t>
  </si>
  <si>
    <t>APPL-09</t>
  </si>
  <si>
    <t>APPL-10</t>
  </si>
  <si>
    <t>APPL-11</t>
  </si>
  <si>
    <t>APPL-12</t>
  </si>
  <si>
    <t>APPL-13</t>
  </si>
  <si>
    <t>APPL-14</t>
  </si>
  <si>
    <t>APPL-16</t>
  </si>
  <si>
    <t>APPL-17</t>
  </si>
  <si>
    <t>BCPL-01</t>
  </si>
  <si>
    <t>AAAI-01</t>
  </si>
  <si>
    <t>AAAI-02</t>
  </si>
  <si>
    <t>AAAI-03</t>
  </si>
  <si>
    <t>AAAI-04</t>
  </si>
  <si>
    <t>AAAI-05</t>
  </si>
  <si>
    <t>AAAI-06</t>
  </si>
  <si>
    <t>AAAI-07</t>
  </si>
  <si>
    <t>AAAI-08</t>
  </si>
  <si>
    <t>AAAI-09</t>
  </si>
  <si>
    <t>AAAI-10</t>
  </si>
  <si>
    <t>AAAI-11</t>
  </si>
  <si>
    <t>AAAI-12</t>
  </si>
  <si>
    <t>AAAI-13</t>
  </si>
  <si>
    <t>AAAI-14</t>
  </si>
  <si>
    <t>AAAI-15</t>
  </si>
  <si>
    <t>AAAI-16</t>
  </si>
  <si>
    <t>AAAI-17</t>
  </si>
  <si>
    <t>BCPL-02</t>
  </si>
  <si>
    <t>BCPL-03</t>
  </si>
  <si>
    <t>BCPL-04</t>
  </si>
  <si>
    <t>BCPL-05</t>
  </si>
  <si>
    <t>BCPL-06</t>
  </si>
  <si>
    <t>BCPL-07</t>
  </si>
  <si>
    <t>BCPL-08</t>
  </si>
  <si>
    <t>BCPL-09</t>
  </si>
  <si>
    <t>BCPL-10</t>
  </si>
  <si>
    <t>BCPL-11</t>
  </si>
  <si>
    <t>BCPL-12</t>
  </si>
  <si>
    <t>CHNG-01</t>
  </si>
  <si>
    <t>CHNG-02</t>
  </si>
  <si>
    <t>CHNG-03</t>
  </si>
  <si>
    <t>CHNG-04</t>
  </si>
  <si>
    <t>CHNG-05</t>
  </si>
  <si>
    <t>CHNG-06</t>
  </si>
  <si>
    <t>CHNG-07</t>
  </si>
  <si>
    <t>CHNG-08</t>
  </si>
  <si>
    <t>CHNG-09</t>
  </si>
  <si>
    <t>CHNG-10</t>
  </si>
  <si>
    <t>CHNG-11</t>
  </si>
  <si>
    <t>CHNG-12</t>
  </si>
  <si>
    <t>CHNG-13</t>
  </si>
  <si>
    <t>CHNG-14</t>
  </si>
  <si>
    <t>CHNG-15</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</si>
  <si>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</si>
  <si>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</si>
  <si>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</si>
  <si>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</si>
  <si>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</si>
  <si>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</si>
  <si>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</si>
  <si>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</si>
  <si>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</si>
  <si>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</si>
  <si>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</si>
  <si>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</si>
  <si>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</si>
  <si>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</si>
  <si>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</si>
  <si>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</si>
  <si>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</si>
  <si>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</si>
  <si>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</si>
  <si>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</si>
  <si>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</si>
  <si>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</si>
  <si>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</si>
  <si>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</si>
  <si>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</si>
  <si>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</si>
  <si>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</si>
  <si>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</si>
  <si>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DBAS-01</t>
  </si>
  <si>
    <t>DBAS-02</t>
  </si>
  <si>
    <t>DCTR-01</t>
  </si>
  <si>
    <t>DCTR-02</t>
  </si>
  <si>
    <t>DCTR-03</t>
  </si>
  <si>
    <t>DCTR-04</t>
  </si>
  <si>
    <t>DCTR-05</t>
  </si>
  <si>
    <t>DCTR-06</t>
  </si>
  <si>
    <t>DCTR-07</t>
  </si>
  <si>
    <t>DCTR-08</t>
  </si>
  <si>
    <t>DCTR-09</t>
  </si>
  <si>
    <t>DCTR-10</t>
  </si>
  <si>
    <t>DCTR-11</t>
  </si>
  <si>
    <t>DCTR-12</t>
  </si>
  <si>
    <t>DCTR-13</t>
  </si>
  <si>
    <t>DCTR-14</t>
  </si>
  <si>
    <t>DCTR-15</t>
  </si>
  <si>
    <t>DCTR-16</t>
  </si>
  <si>
    <t>DCTR-17</t>
  </si>
  <si>
    <t>DCTR-18</t>
  </si>
  <si>
    <t>DCTR-19</t>
  </si>
  <si>
    <t>DRPL-01</t>
  </si>
  <si>
    <t>DRPL-02</t>
  </si>
  <si>
    <t>DRPL-03</t>
  </si>
  <si>
    <t>DRPL-04</t>
  </si>
  <si>
    <t>DRPL-05</t>
  </si>
  <si>
    <t>DRPL-06</t>
  </si>
  <si>
    <t>DRPL-07</t>
  </si>
  <si>
    <t>DRPL-08</t>
  </si>
  <si>
    <t>DRPL-09</t>
  </si>
  <si>
    <t>DRPL-10</t>
  </si>
  <si>
    <t>DRPL-11</t>
  </si>
  <si>
    <t>DRPL-12</t>
  </si>
  <si>
    <t>DRPL-13</t>
  </si>
  <si>
    <t>FIDP-01</t>
  </si>
  <si>
    <t>FIDP-02</t>
  </si>
  <si>
    <t>FIDP-03</t>
  </si>
  <si>
    <t>FIDP-04</t>
  </si>
  <si>
    <t>FIDP-05</t>
  </si>
  <si>
    <t>FIDP-06</t>
  </si>
  <si>
    <t>FIDP-07</t>
  </si>
  <si>
    <t>FIDP-08</t>
  </si>
  <si>
    <t>FIDP-09</t>
  </si>
  <si>
    <t>FIDP-10</t>
  </si>
  <si>
    <t>FIDP-11</t>
  </si>
  <si>
    <t>FIDP-12</t>
  </si>
  <si>
    <t>MAPP-01</t>
  </si>
  <si>
    <t>MAPP-02</t>
  </si>
  <si>
    <t>MAPP-03</t>
  </si>
  <si>
    <t>MAPP-04</t>
  </si>
  <si>
    <t>MAPP-05</t>
  </si>
  <si>
    <t>MAPP-06</t>
  </si>
  <si>
    <t>MAPP-07</t>
  </si>
  <si>
    <t>MAPP-08</t>
  </si>
  <si>
    <t>MAPP-09</t>
  </si>
  <si>
    <t>MAPP-10</t>
  </si>
  <si>
    <t>PHYS-01</t>
  </si>
  <si>
    <t>PHYS-02</t>
  </si>
  <si>
    <t>PHYS-03</t>
  </si>
  <si>
    <t>PHYS-04</t>
  </si>
  <si>
    <t>PHYS-05</t>
  </si>
  <si>
    <t>PPPR-01</t>
  </si>
  <si>
    <t>PPPR-02</t>
  </si>
  <si>
    <t>PPPR-03</t>
  </si>
  <si>
    <t>PPPR-04</t>
  </si>
  <si>
    <t>PPPR-05</t>
  </si>
  <si>
    <t>PPPR-06</t>
  </si>
  <si>
    <t>PPPR-07</t>
  </si>
  <si>
    <t>PPPR-08</t>
  </si>
  <si>
    <t>PPPR-09</t>
  </si>
  <si>
    <t>PPPR-10</t>
  </si>
  <si>
    <t>PPPR-11</t>
  </si>
  <si>
    <t>PPPR-12</t>
  </si>
  <si>
    <t>PPPR-13</t>
  </si>
  <si>
    <t>PPPR-14</t>
  </si>
  <si>
    <t>PPPR-15</t>
  </si>
  <si>
    <t>PPPR-16</t>
  </si>
  <si>
    <t>PPPR-17</t>
  </si>
  <si>
    <t>PPPR-18</t>
  </si>
  <si>
    <t>PPPR-19</t>
  </si>
  <si>
    <t>PPPR-20</t>
  </si>
  <si>
    <t>PROD-01</t>
  </si>
  <si>
    <t>PROD-02</t>
  </si>
  <si>
    <t>QLAS-01</t>
  </si>
  <si>
    <t>QLAS-02</t>
  </si>
  <si>
    <t>QLAS-03</t>
  </si>
  <si>
    <t>QLAS-04</t>
  </si>
  <si>
    <t>QLAS-05</t>
  </si>
  <si>
    <t>SYST-01</t>
  </si>
  <si>
    <t>SYST-02</t>
  </si>
  <si>
    <t>SYST-03</t>
  </si>
  <si>
    <t>SYST-04</t>
  </si>
  <si>
    <t>VULN-01</t>
  </si>
  <si>
    <t>VULN-02</t>
  </si>
  <si>
    <t>VULN-03</t>
  </si>
  <si>
    <t>VULN-04</t>
  </si>
  <si>
    <t>VULN-05</t>
  </si>
  <si>
    <t>VULN-06</t>
  </si>
  <si>
    <t>VULN-07</t>
  </si>
  <si>
    <t>VULN-08</t>
  </si>
  <si>
    <t>VULN-09</t>
  </si>
  <si>
    <t>HIPA-01</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</si>
  <si>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</si>
  <si>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</si>
  <si>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</si>
  <si>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</si>
  <si>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</si>
  <si>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</si>
  <si>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</si>
  <si>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</si>
  <si>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</si>
  <si>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</si>
  <si>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</si>
  <si>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</si>
  <si>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</si>
  <si>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</si>
  <si>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</si>
  <si>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</si>
  <si>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</si>
  <si>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</si>
  <si>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</si>
  <si>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</si>
  <si>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</si>
  <si>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</si>
  <si>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</si>
  <si>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</si>
  <si>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</si>
  <si>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</si>
  <si>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</si>
  <si>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</si>
  <si>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HIPA-30</t>
  </si>
  <si>
    <t>HIPA-31</t>
  </si>
  <si>
    <t>PCID-01</t>
  </si>
  <si>
    <t>PCID-02</t>
  </si>
  <si>
    <t>PCID-03</t>
  </si>
  <si>
    <t>PCID-04</t>
  </si>
  <si>
    <t>PCID-05</t>
  </si>
  <si>
    <t>PCID-06</t>
  </si>
  <si>
    <t>PCID-07</t>
  </si>
  <si>
    <t>PCID-08</t>
  </si>
  <si>
    <t>PCID-09</t>
  </si>
  <si>
    <t>PCID-10</t>
  </si>
  <si>
    <t>PCID-11</t>
  </si>
  <si>
    <t>PCID-12</t>
  </si>
  <si>
    <t>DATE-01</t>
  </si>
  <si>
    <t>v0.91</t>
  </si>
  <si>
    <t>v0.92</t>
  </si>
  <si>
    <t>THRD-04</t>
  </si>
  <si>
    <t>COMP-07</t>
  </si>
  <si>
    <t>GNRL-01</t>
  </si>
  <si>
    <t>GNRL-02</t>
  </si>
  <si>
    <t>GNRL-03</t>
  </si>
  <si>
    <t>GNRL-04</t>
  </si>
  <si>
    <t>GNRL-05</t>
  </si>
  <si>
    <t>GNRL-06</t>
  </si>
  <si>
    <t>GNRL-07</t>
  </si>
  <si>
    <t>GNRL-08</t>
  </si>
  <si>
    <t>GNRL-09</t>
  </si>
  <si>
    <t>GNRL-10</t>
  </si>
  <si>
    <t>Describe or provide references to your third party management strategy or provide additional information that may help analysts better understand your environment and how it relates to third-party solutions.</t>
  </si>
  <si>
    <t xml:space="preserve">Describe or provide a reference to additional software/products necessary to implement a functional system on either the backend or user-interface side of the system. </t>
  </si>
  <si>
    <t xml:space="preserve">Describe or provide a reference to the overall system and/or application architecture(s), including appropriate diagrams. Include a full description of the data communications architecture for all components of the system. </t>
  </si>
  <si>
    <t xml:space="preserve">Describe or provide a reference to all web-enabled features and functionality of the system (i.e. accessed via a web-based interface). </t>
  </si>
  <si>
    <t>Describe or provide a reference to the facilities available in the system to provide separation of duties between security administration and system administration functions.</t>
  </si>
  <si>
    <t>Describe or provide a reference to the retention period for those logs, how logs are protected, and whether they are accessible to the customer (and if so, how).</t>
  </si>
  <si>
    <t xml:space="preserve">Describe or provide a reference to the backup processes for the servers on which the service and/or data resides. </t>
  </si>
  <si>
    <t>Describe or provide a reference to the tool(s) used to scan for vulnerabilities in your applications and systems.</t>
  </si>
  <si>
    <t>Describe or provide a reference to how you monitor for and protect against common web application security vulnerabilities (e.g. SQL injection, XSS, XSRF, etc.).</t>
  </si>
  <si>
    <t>Describe or provide a reference to your solution support strategy in relation to maintaining software currency. (i.e. how many concurrent versions are you willing to run and support?)</t>
  </si>
  <si>
    <t>v0.93</t>
  </si>
  <si>
    <t>Do you employ or allow any cryptographic modules that do not conform to the Federal Information Processing Standards (FIPS PUB 140-2)?</t>
  </si>
  <si>
    <t>Target Audience</t>
  </si>
  <si>
    <t>Document Layout</t>
  </si>
  <si>
    <t>Safeguards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</si>
  <si>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</si>
  <si>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This section is focused on company background, size, and business area experience.</t>
  </si>
  <si>
    <t xml:space="preserve">Figure 1: </t>
  </si>
  <si>
    <t xml:space="preserve">Figure 2: </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</si>
  <si>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</si>
  <si>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Optional Safeguards Based on Qualifiers</t>
  </si>
  <si>
    <t xml:space="preserve">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t>
  </si>
  <si>
    <t>v0.94</t>
  </si>
  <si>
    <t>Added Instructions tab, adjusted question ID background color, updated DRP/BCP copy error.</t>
  </si>
  <si>
    <t>v0.95</t>
  </si>
  <si>
    <t>Changed document title to HECVAT. Integrated KDH input.</t>
  </si>
  <si>
    <t>Is the service hosted in a high availability environment?</t>
  </si>
  <si>
    <t>Has the consultant received training on [sensitive, HIPAA, PCI, etc.] data handling?</t>
  </si>
  <si>
    <t>v0.96</t>
  </si>
  <si>
    <t>Does your organization have a data privacy policy?</t>
  </si>
  <si>
    <t>Will any data be transferred to the consultant's possession?</t>
  </si>
  <si>
    <t>Is it encrypted (at rest) while in the consultant's possession?</t>
  </si>
  <si>
    <t>Is sensitive data encrypted in storage (e.g. disk encryption, at-rest)?</t>
  </si>
  <si>
    <t>Do you carry cyber-risk insurance to protect against unforeseen service outages, data that is lost or stolen, and security incidents?</t>
  </si>
  <si>
    <t>Do you perform background screenings or multi-state background checks on all employees prior to their first day of work?</t>
  </si>
  <si>
    <t>Have you entered into a BAA with all subcontractors who may have access to protected health information (PHI)?</t>
  </si>
  <si>
    <t>v0.97</t>
  </si>
  <si>
    <t>Updated Sharing Read Me tab with final language and options table.</t>
  </si>
  <si>
    <t>Added input from NL, 36 modifications across all sections.</t>
  </si>
  <si>
    <t xml:space="preserve">Merged initial comments and suggestions of sub-group members. </t>
  </si>
  <si>
    <t>Added SOC2T2 question to datacenter section.</t>
  </si>
  <si>
    <t>Added Systems and Configuration Management section, added MDM, sep. management networks, system configuration images, Internal audit processes and procedures.</t>
  </si>
  <si>
    <t>Added input from WG meeting on 8/22, removed RiskMgmt section, added question ID's, and removed dup network question.</t>
  </si>
  <si>
    <t>Added Introduction, Sharing Read Me, and Acknowledgements tabs and content. Also updated report specifics in Documentation.</t>
  </si>
  <si>
    <t>Integrated grammatical corrections set by Karl, fixed a minor formula error in a guidance cell.</t>
  </si>
  <si>
    <t>SharedAssessmentsConfirmation</t>
  </si>
  <si>
    <t>Yes; OK to Share</t>
  </si>
  <si>
    <t>No; Sharing Disallowed</t>
  </si>
  <si>
    <t>SharedAssessmentListingConfirmation</t>
  </si>
  <si>
    <t>Yes; OK to List</t>
  </si>
  <si>
    <t>No; Listing Disallowed</t>
  </si>
  <si>
    <t>v0.98</t>
  </si>
  <si>
    <t>v1.00</t>
  </si>
  <si>
    <t>v1.01</t>
  </si>
  <si>
    <t>Corrections for grammar, conditional formatting, and question clarification.</t>
  </si>
  <si>
    <t>UptimeTiers</t>
  </si>
  <si>
    <t>Tier I</t>
  </si>
  <si>
    <t>Tier II</t>
  </si>
  <si>
    <t>Tier III</t>
  </si>
  <si>
    <t>Tier IV</t>
  </si>
  <si>
    <t>v1.02</t>
  </si>
  <si>
    <t>Are databases used in the system segregated from front-end systems? (e.g. web and application servers)</t>
  </si>
  <si>
    <t>Describe or provide a reference that details how administrator access is handled (e.g. provisioning, principle of least privilege, deprovisioning,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</si>
  <si>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</si>
  <si>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the hosting provider have a SOC 2 Type 2 report available?</t>
  </si>
  <si>
    <t>Describe or provide a reference to how your disaster recovery plan is tested? (i.e. scope of DR tests, end-to-end testing, etc.)</t>
  </si>
  <si>
    <t>State and describe who has the authority to change firewall rules?</t>
  </si>
  <si>
    <t>Do you have a documented policy for firewall change requests?</t>
  </si>
  <si>
    <t>Describe or provide a reference to the application's architecture and functionality.</t>
  </si>
  <si>
    <t>Does your application support varying levels of access to administrative tasks defined individually per user?</t>
  </si>
  <si>
    <t>v1.03</t>
  </si>
  <si>
    <t>Grammar and spelling cleanup.</t>
  </si>
  <si>
    <t>Sharing Confirmation section added, updated instructions, updated Sharing Read Me tab, fixed a ton of conditional formatting issues.</t>
  </si>
  <si>
    <t>Finalized for distribution.</t>
  </si>
  <si>
    <t>Is your company a consulting firm providing only consultation to the Institution?</t>
  </si>
  <si>
    <t>Provide a brief description for why each of these third parties will have access to institution data.</t>
  </si>
  <si>
    <t>Have you or any third party you contract with that may have access or allow access to the institution's data experienced a breach?</t>
  </si>
  <si>
    <t>Can you enforce password/passphrase complexity requirements [provided by the institution]?</t>
  </si>
  <si>
    <t>Will any external authentication or authorization system be utilized by an application with access to the institution's data?</t>
  </si>
  <si>
    <t>Will any external authentication or authorization system be utilized by a system with access to institution data?</t>
  </si>
  <si>
    <t>List all locations (i.e. city + datacenter name) where the institution's data will be stored?</t>
  </si>
  <si>
    <t>At the completion of this contract, will data be returned to the institution?</t>
  </si>
  <si>
    <t>Can the institution extract a full backup of data?</t>
  </si>
  <si>
    <t>Is any institution data visible in system administration modules/tools?</t>
  </si>
  <si>
    <t xml:space="preserve">Is redundant power available for all datacenters where institution data will reside? </t>
  </si>
  <si>
    <t>Describe or provide a reference to the availability of cooling and fire suppression systems in all datacenters where institution data will reside.</t>
  </si>
  <si>
    <t>Can you provide an evaluation site to the institution for testing?</t>
  </si>
  <si>
    <t>Have you supplied products and/or services to the Institution (or its Campuses) in the last five years?</t>
  </si>
  <si>
    <t>Will you allow the institution to perform its own security testing of your systems and/or application provided that testing is performed at a mutually agreed upon time and date?</t>
  </si>
  <si>
    <t>If the application is institution-hosted, can all service level and administrative account passwords be changed by the institution?</t>
  </si>
  <si>
    <t>v1.04</t>
  </si>
  <si>
    <t>Minor layout change in preparation for HECVAT-Lite split</t>
  </si>
  <si>
    <t>v1.05</t>
  </si>
  <si>
    <t>Changed University mentions to Institution; final version before SPC 2017</t>
  </si>
  <si>
    <t>Will the consultant require access to Institution's network resources?</t>
  </si>
  <si>
    <t>Will the consultant require access to hardware in the Institution's data centers?</t>
  </si>
  <si>
    <t>Will the consultant require an account within the Institution's domain (@*.edu)?</t>
  </si>
  <si>
    <t>Will the consultant need remote access to the Institution's network or systems?</t>
  </si>
  <si>
    <t>APPL-03</t>
  </si>
  <si>
    <t>APPL-15</t>
  </si>
  <si>
    <t>Are audit logs available that include AT LEAST all of the following; login, logout, actions performed, and source IP address?</t>
  </si>
  <si>
    <t>Describe or provide a reference to your Business Continuity Plan (BCP).</t>
  </si>
  <si>
    <t xml:space="preserve">Are all components of the BCP reviewed at least annually and updated as needed to reflect change? </t>
  </si>
  <si>
    <t>Will Institution's data be stored on any devices (database servers, file servers, SAN, NAS, …) configured with non-RFC 1918/4193 (i.e. publicly routable) IP addresses?</t>
  </si>
  <si>
    <t>Are data backups encrypted?</t>
  </si>
  <si>
    <t>Do current backups include all operating system software, utilities, security software, application software, and data files necessary for recovery?</t>
  </si>
  <si>
    <t>Are physical backups taken off site? (i.e. physically moved off site)</t>
  </si>
  <si>
    <t>Does your company own the physical data center where the Institution's data will reside?</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</si>
  <si>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</si>
  <si>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</si>
  <si>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Describe or provide a reference to your Disaster Recovery Plan (DRP).</t>
  </si>
  <si>
    <t>Is an owner assigned who is responsible for the maintenance and review of the DRP?</t>
  </si>
  <si>
    <t xml:space="preserve">Are all components of the DRP reviewed at least annually and updated as needed to reflect change? </t>
  </si>
  <si>
    <t>Will any of these systems be implemented on systems hosting the Institution's data?</t>
  </si>
  <si>
    <t>MAPP-11</t>
  </si>
  <si>
    <t>Are employees allowed to take home Institution's data in any form?</t>
  </si>
  <si>
    <t>Will you comply with the Institution's IT policies with regards to user privacy and data protection?</t>
  </si>
  <si>
    <t>Do you have an implemented system configuration management process? (e.g. secure "gold" images, etc.)</t>
  </si>
  <si>
    <t>Do you currently use encryption in your database(s)?</t>
  </si>
  <si>
    <t>What operating system(s) is/are leveraged by the system(s)/application(s) that will have access to institution's data?</t>
  </si>
  <si>
    <t>CIS Critical Security Controls v6.1</t>
  </si>
  <si>
    <t>HIPAA</t>
  </si>
  <si>
    <t>NIST SP 800-53r4</t>
  </si>
  <si>
    <t>NIST SP 800-171r1</t>
  </si>
  <si>
    <t>NIST Cybersecurity Framework</t>
  </si>
  <si>
    <t>Does the vended product host/support a mobile application? (e.g. app)</t>
  </si>
  <si>
    <t>Will institution data be shared with or hosted by any third parties? (e.g. any entity not wholly-owned by your company is considered a third-party)</t>
  </si>
  <si>
    <t>CSC 13</t>
  </si>
  <si>
    <t>CSC 18</t>
  </si>
  <si>
    <t>CSC 10</t>
  </si>
  <si>
    <t>CSC 14</t>
  </si>
  <si>
    <t>CSC16</t>
  </si>
  <si>
    <t>CSC 12</t>
  </si>
  <si>
    <t>CSC 2</t>
  </si>
  <si>
    <t>CSC 7</t>
  </si>
  <si>
    <t>CSC 5</t>
  </si>
  <si>
    <t>CSC 16</t>
  </si>
  <si>
    <t>CSC 2, CSC 3</t>
  </si>
  <si>
    <t>CSC 6</t>
  </si>
  <si>
    <t>CSC 1</t>
  </si>
  <si>
    <t>CAC 13</t>
  </si>
  <si>
    <t>CSC 13, CSC 14</t>
  </si>
  <si>
    <t>CSC 3</t>
  </si>
  <si>
    <t>CSC 9</t>
  </si>
  <si>
    <t>CSC 3, CSC 14</t>
  </si>
  <si>
    <t>CSC 10, CSC 12</t>
  </si>
  <si>
    <t>CSC 19</t>
  </si>
  <si>
    <t>CSC 6, CSC 19</t>
  </si>
  <si>
    <t>CSC 13, CSC 18</t>
  </si>
  <si>
    <t>CSC 4</t>
  </si>
  <si>
    <t>CSC 17</t>
  </si>
  <si>
    <t>CSC 4, CSC 17</t>
  </si>
  <si>
    <t>CSC 20</t>
  </si>
  <si>
    <t>CSC 7, CSC 18</t>
  </si>
  <si>
    <t>CSC 16, 5</t>
  </si>
  <si>
    <t>CSC 6, CSC 16</t>
  </si>
  <si>
    <t>CSC 1, CSC 2</t>
  </si>
  <si>
    <t>CSC 12, CSC 13</t>
  </si>
  <si>
    <t>§164.308(a)(1)(i)</t>
  </si>
  <si>
    <t>§164.308(a)(1)(ii)(B)</t>
  </si>
  <si>
    <t>§164.308(a)(5)(i)</t>
  </si>
  <si>
    <t>§164.316(b)(2)(iii)</t>
  </si>
  <si>
    <t>§164.308(a)(2)</t>
  </si>
  <si>
    <t>§164.308(a)(6)(i)</t>
  </si>
  <si>
    <t>§164.308(a)(5)(ii)(D)</t>
  </si>
  <si>
    <t>§ 164.308(a)(1)(ii)(D)</t>
  </si>
  <si>
    <t>§164.312(b)</t>
  </si>
  <si>
    <t>§164.312(a)(2)(ii)</t>
  </si>
  <si>
    <t>§164.308(a)(7)(i)</t>
  </si>
  <si>
    <t>§164.308(b)(2)</t>
  </si>
  <si>
    <t>§164.308(a)(1)(i), §164.308(a)(1)(ii)(A)</t>
  </si>
  <si>
    <t>§164.308(a)(4), §164.312(a)(2)(ii),  
§164.312(a)(2)(iii)</t>
  </si>
  <si>
    <t>§164.308(a)(4),
§164.312(a)(2)(ii), §164.312(a)(2)(iii)</t>
  </si>
  <si>
    <t>§164.308(b)(1),
§164.308(b)(3), §164.314(a)(1)(i)</t>
  </si>
  <si>
    <t>Discovery</t>
  </si>
  <si>
    <t>18.1.1</t>
  </si>
  <si>
    <t>17.1.2</t>
  </si>
  <si>
    <t>15.2.1</t>
  </si>
  <si>
    <t>18.1.4</t>
  </si>
  <si>
    <t>15.2.2</t>
  </si>
  <si>
    <t>14.2.1</t>
  </si>
  <si>
    <t>15.1.3</t>
  </si>
  <si>
    <t>9.1.2</t>
  </si>
  <si>
    <t>9.2.6</t>
  </si>
  <si>
    <t>11.2.6</t>
  </si>
  <si>
    <t>9.2.2</t>
  </si>
  <si>
    <t>9.1.1</t>
  </si>
  <si>
    <t>12.5.1</t>
  </si>
  <si>
    <t>12.1.1</t>
  </si>
  <si>
    <t>12.1.4</t>
  </si>
  <si>
    <t>14.2.5</t>
  </si>
  <si>
    <t>9.2.3, 12.1.4</t>
  </si>
  <si>
    <t>9.4.3</t>
  </si>
  <si>
    <t>12.4</t>
  </si>
  <si>
    <t>9.2.3, 9.3.1, 9.4.3</t>
  </si>
  <si>
    <t>9.1.1, 9.2.3, 9.3.1, 9.4.3</t>
  </si>
  <si>
    <t>9</t>
  </si>
  <si>
    <t>10</t>
  </si>
  <si>
    <t>13</t>
  </si>
  <si>
    <t>17.1.1</t>
  </si>
  <si>
    <t>17.1.3</t>
  </si>
  <si>
    <t>17.2.1</t>
  </si>
  <si>
    <t>17</t>
  </si>
  <si>
    <t>7.2.2, 16.1.1, 17.1.3</t>
  </si>
  <si>
    <t>7.2.2, 17.1.3</t>
  </si>
  <si>
    <t>12.1.2</t>
  </si>
  <si>
    <t>12.6.1</t>
  </si>
  <si>
    <t>8.2.1</t>
  </si>
  <si>
    <t>10.1.1</t>
  </si>
  <si>
    <t>8.2.3, 10.1.1</t>
  </si>
  <si>
    <t>8.1.4</t>
  </si>
  <si>
    <t>12.3.1</t>
  </si>
  <si>
    <t>8.1.2</t>
  </si>
  <si>
    <t>10.1.2</t>
  </si>
  <si>
    <t>8.3.1</t>
  </si>
  <si>
    <t>13.2</t>
  </si>
  <si>
    <t>8.3.1, 18.1.1</t>
  </si>
  <si>
    <t>11.1.1</t>
  </si>
  <si>
    <t>13.1.2</t>
  </si>
  <si>
    <t>11.2.1</t>
  </si>
  <si>
    <t>11.1.4</t>
  </si>
  <si>
    <t>11.1.1, 11.1.2</t>
  </si>
  <si>
    <t>7.1.3</t>
  </si>
  <si>
    <t>16.1.1, 17.1.1</t>
  </si>
  <si>
    <t>13.1.1</t>
  </si>
  <si>
    <t>12.4.1</t>
  </si>
  <si>
    <t>8.2.1; 8.2.3</t>
  </si>
  <si>
    <t>8.2.3</t>
  </si>
  <si>
    <t>9.4.2</t>
  </si>
  <si>
    <t>12.7.1, 18.2.1</t>
  </si>
  <si>
    <t>11.1.2</t>
  </si>
  <si>
    <t>11.1.2, 11.1.3</t>
  </si>
  <si>
    <t>11.1.2,  11.1.3</t>
  </si>
  <si>
    <t>5.1.1</t>
  </si>
  <si>
    <t>14.2.8</t>
  </si>
  <si>
    <t>16.1.5</t>
  </si>
  <si>
    <t>7.1.1</t>
  </si>
  <si>
    <t>7.1.2</t>
  </si>
  <si>
    <t>7.2.2</t>
  </si>
  <si>
    <t>9.2.5</t>
  </si>
  <si>
    <t>12.7.1</t>
  </si>
  <si>
    <t>10.1.1, 18.1.5</t>
  </si>
  <si>
    <t>14.2.1, 14.2.5, 14.2.8</t>
  </si>
  <si>
    <t>6.2.1</t>
  </si>
  <si>
    <t>18.2.1</t>
  </si>
  <si>
    <t>16.1.1</t>
  </si>
  <si>
    <t>9.2.3</t>
  </si>
  <si>
    <t>18.1.1, 7.2.2</t>
  </si>
  <si>
    <t>16.1.2, 16.1.5, 18.1.1</t>
  </si>
  <si>
    <t>§164.308(a)(6)(ii)</t>
  </si>
  <si>
    <t>§164.308(a)(4),
§164.312(a)(1), §164.312(a)(2)(i), 
§164.312(d)</t>
  </si>
  <si>
    <t>§164.308(a)(4), 
§164.312(a)(1), §164.312(a)(2)(i),
§164.312(d)</t>
  </si>
  <si>
    <t>§164.308(a)(4), 
§164.312(a)(1), §164.312(a)(2)(i), 
§164.312(d)</t>
  </si>
  <si>
    <t>§164.308(a)(3)(i), §164.308(b)(1), 
§164.308(b)(3), §164.314(a)(1)(i)</t>
  </si>
  <si>
    <t>§164.308(a)(4), 
§164.312(a)(1)</t>
  </si>
  <si>
    <t>§164.308(a)(4), 
§164.312(d)</t>
  </si>
  <si>
    <t>ID.GV-3</t>
  </si>
  <si>
    <t>ID.AM-6, PR.AT-3</t>
  </si>
  <si>
    <t>PR.IP-9</t>
  </si>
  <si>
    <t>3.8.2</t>
  </si>
  <si>
    <t>3.1.2, 3.1.3</t>
  </si>
  <si>
    <t>3.1.2</t>
  </si>
  <si>
    <t>3.1.2, 3.1.19, 3.8.2</t>
  </si>
  <si>
    <t>3.1.1, 3.1.2, 3.1.7</t>
  </si>
  <si>
    <t>3.4.9</t>
  </si>
  <si>
    <t>3.1.12, 3.1.13, 3.1.14, 3.1.14, 3.1.15, 3.1.8, 3.1.20, 3.7.5, 3.8.2, 3.13.7</t>
  </si>
  <si>
    <t>3.1.4</t>
  </si>
  <si>
    <t>3.1.1, 3.1.5, 3.1.6, 3.7.1, 3.7.2</t>
  </si>
  <si>
    <t>3.5.6</t>
  </si>
  <si>
    <t>3.5.7</t>
  </si>
  <si>
    <t>3.5.5, 3.5.8</t>
  </si>
  <si>
    <t>3.5.1</t>
  </si>
  <si>
    <t>3.5.10</t>
  </si>
  <si>
    <t>3.5.2, 3.5.3</t>
  </si>
  <si>
    <t>3.1.1</t>
  </si>
  <si>
    <t>3.1.7, 3.3.1</t>
  </si>
  <si>
    <t>3.1.7, 3.3.2, 3.3.3, 3.3.4, 3.3.5, 3.4.3, 3.7.1, 3.7.6, 3.10.4, 3.10.5</t>
  </si>
  <si>
    <t>3.3.8, 3.3.9</t>
  </si>
  <si>
    <t>3.12.2</t>
  </si>
  <si>
    <t>3.2.1, 3.2.2</t>
  </si>
  <si>
    <t>3.4.3, 3.4.4</t>
  </si>
  <si>
    <t>3.4.3, 3.4.4, 3.4.5</t>
  </si>
  <si>
    <t>3.4.4</t>
  </si>
  <si>
    <t>3.14.4</t>
  </si>
  <si>
    <t>3.1.3, 3.8.1</t>
  </si>
  <si>
    <t>3.1.22</t>
  </si>
  <si>
    <t>3.1.19, 3.8.1</t>
  </si>
  <si>
    <t>3.8.1</t>
  </si>
  <si>
    <t>3.8.9</t>
  </si>
  <si>
    <t>3.13.10</t>
  </si>
  <si>
    <t>3.8.1, 3.8.9</t>
  </si>
  <si>
    <t>3.8.1, 3.8.5, 3.8.9</t>
  </si>
  <si>
    <t>3.7.1, 3.7.2, 3.8.3</t>
  </si>
  <si>
    <t>3.7.3, 3.8.3,</t>
  </si>
  <si>
    <t>3.8.1, 3.8.2</t>
  </si>
  <si>
    <t>3.8.6, 3.13.11</t>
  </si>
  <si>
    <t>3.1.3</t>
  </si>
  <si>
    <t>3.6.2</t>
  </si>
  <si>
    <t>3.6.1, 3.14.6, 3.14.7</t>
  </si>
  <si>
    <t>3.3.1</t>
  </si>
  <si>
    <t>3.1.19</t>
  </si>
  <si>
    <t>3.8.2, 3.10.1, 3.10.2, 3.10.5, 3.10.6, 3.12.1</t>
  </si>
  <si>
    <t>3.10.2</t>
  </si>
  <si>
    <t>3.8.1, 3.8.5, 3.8.7</t>
  </si>
  <si>
    <t>3.7.3, 3.8.1, 3.8.5, 3.8.7, 3.10.3</t>
  </si>
  <si>
    <t>3.9.1, 3.9.2</t>
  </si>
  <si>
    <t>3.13.2</t>
  </si>
  <si>
    <t>3.6.1, 3.12.2</t>
  </si>
  <si>
    <t>3.6.2,</t>
  </si>
  <si>
    <t>3.9.1</t>
  </si>
  <si>
    <t>3.2.1</t>
  </si>
  <si>
    <t>3.2.1, 3.2.2, 3.2.3</t>
  </si>
  <si>
    <t>3.1.7</t>
  </si>
  <si>
    <t>3.4.1, 3.4.2, 3.4.3</t>
  </si>
  <si>
    <t>3.13.13</t>
  </si>
  <si>
    <t>3.1.18, 3.7.1, 3.13.13</t>
  </si>
  <si>
    <t>3.11.1, 3.11.2, 3.11.3</t>
  </si>
  <si>
    <t>3.11.1, 3.11.2, 3.11.3, 3.14.2</t>
  </si>
  <si>
    <t>3.2.2</t>
  </si>
  <si>
    <t>3.6.1, 3.14.1</t>
  </si>
  <si>
    <t>3.6.2, 3.12.2</t>
  </si>
  <si>
    <t>3.5.9</t>
  </si>
  <si>
    <t>3.1.8</t>
  </si>
  <si>
    <t>3.1.10, 3.1.11</t>
  </si>
  <si>
    <t>3.1.2, 3.1.5</t>
  </si>
  <si>
    <t>3.3.2</t>
  </si>
  <si>
    <t>3.6.3, 3.12.2</t>
  </si>
  <si>
    <t>ID.AM-6, PR-AT-3</t>
  </si>
  <si>
    <t>ID.AM-5</t>
  </si>
  <si>
    <t>PR.AC-4</t>
  </si>
  <si>
    <t>PR.AC-4, PR.PT-3</t>
  </si>
  <si>
    <t>PR.AC-3, PR.MA-2</t>
  </si>
  <si>
    <t>PR.PT-3</t>
  </si>
  <si>
    <t>ID.AM-2</t>
  </si>
  <si>
    <t>ID.AM-1, ID.AM-2, ID.AM-4</t>
  </si>
  <si>
    <t>PR.DS-6</t>
  </si>
  <si>
    <t>PR.AC-1</t>
  </si>
  <si>
    <t>PR.AC-1, PR.AC-4</t>
  </si>
  <si>
    <t>PR.PT-1</t>
  </si>
  <si>
    <t>PR.IP-3</t>
  </si>
  <si>
    <t>PR.IP-3, PR.DS-7</t>
  </si>
  <si>
    <t>ID.AM-3</t>
  </si>
  <si>
    <t>PR.AC-2, PR.IP-5</t>
  </si>
  <si>
    <t>PR.DS-2</t>
  </si>
  <si>
    <t>PR.DS-1</t>
  </si>
  <si>
    <t>PR.IP-4</t>
  </si>
  <si>
    <t>PR.DS-1, PR.IP-4</t>
  </si>
  <si>
    <t>ID.AM-1, ID.AM-2, PR.IP-9</t>
  </si>
  <si>
    <t>PR.DS-3</t>
  </si>
  <si>
    <t>PR.DS-3, ID.GV-3</t>
  </si>
  <si>
    <t>PR.DS-1, PR.DS-2</t>
  </si>
  <si>
    <t>PR.AC-2</t>
  </si>
  <si>
    <t>PR.AC-5</t>
  </si>
  <si>
    <t>PR.DS-4</t>
  </si>
  <si>
    <t>PR.DS-5</t>
  </si>
  <si>
    <t>DE.CM-1</t>
  </si>
  <si>
    <t>DE.CM-1, DE.CM-2, DE.CM-7</t>
  </si>
  <si>
    <t>DE.AE-1, DE.CM-1, PR.PT-4</t>
  </si>
  <si>
    <t>DE.CM-7</t>
  </si>
  <si>
    <t>DE.CM-7, PR.DS-2</t>
  </si>
  <si>
    <t>DE.CM-7, PR.DS-1</t>
  </si>
  <si>
    <t>DE.CM-7, DE.CM-8, ID.RA-1</t>
  </si>
  <si>
    <t>PR.AC-2, PR.AT-5, PR.IP-5, DE.CM-2</t>
  </si>
  <si>
    <t>PR.AC-2, PR.AC-4, PR.DS-1, PR.DS-3, PR.DS-5</t>
  </si>
  <si>
    <t>DE.CM-2</t>
  </si>
  <si>
    <t>ID.GV-2</t>
  </si>
  <si>
    <t>PR.IP-12</t>
  </si>
  <si>
    <t>DE.CM-8, RS.MI-3</t>
  </si>
  <si>
    <t>PR.DS-7</t>
  </si>
  <si>
    <t>PR.IP-2</t>
  </si>
  <si>
    <t>PR.IP-11</t>
  </si>
  <si>
    <t>PR.AT-1</t>
  </si>
  <si>
    <t>PR.PT-4</t>
  </si>
  <si>
    <t>PR.IP-1</t>
  </si>
  <si>
    <t>PR.IP-1, PR.IP-2</t>
  </si>
  <si>
    <t>DE.CM-8</t>
  </si>
  <si>
    <t>ID.RA-1, DE.CM-8, PR.IP-12</t>
  </si>
  <si>
    <t>RA-2</t>
  </si>
  <si>
    <t>IA-2, IA-3, CM-3, SI-2</t>
  </si>
  <si>
    <t>AU-7, AU-9, IR-4</t>
  </si>
  <si>
    <t>CA-5, PL-2</t>
  </si>
  <si>
    <t>SA-9</t>
  </si>
  <si>
    <t>PE-2, PE-3, PE-5, PE-11, PE-13, PE-14, SA-9</t>
  </si>
  <si>
    <t xml:space="preserve">SA-3, SA-15, SC-2, PM-2, PM-10, SI-5,PM-3 </t>
  </si>
  <si>
    <t>MP-2, RA-3</t>
  </si>
  <si>
    <t>PS-3</t>
  </si>
  <si>
    <t>PS-5</t>
  </si>
  <si>
    <t>AC-4</t>
  </si>
  <si>
    <t>MP-2</t>
  </si>
  <si>
    <t>AC-2, AC-3, AC-6</t>
  </si>
  <si>
    <t>CM-11</t>
  </si>
  <si>
    <t>AC-17; NIST SP 800-46</t>
  </si>
  <si>
    <t>AC-3, CM-7; NIST SP 800-46</t>
  </si>
  <si>
    <t>CA-9, SC-4</t>
  </si>
  <si>
    <t>AC-5</t>
  </si>
  <si>
    <t>AC-2, AC-3, AC-6, MA-2, MA-3</t>
  </si>
  <si>
    <t>IA-4</t>
  </si>
  <si>
    <t>IA-5(1)</t>
  </si>
  <si>
    <t>IA-2, IA-5</t>
  </si>
  <si>
    <t>IA-5</t>
  </si>
  <si>
    <t>AC-6(1,3,9), AU-2, AU-2(3), AU-3, AU-7, AU-9(4), AU-12, NIST 800-92</t>
  </si>
  <si>
    <t>AU-2(3), AU-6, AU-12, AC-6(9), CM-3, MA-2, MA-5, PE-3</t>
  </si>
  <si>
    <t>AU-9</t>
  </si>
  <si>
    <t>AU-7, AU-9, IR-4, AC-5, CP-4, CP-10; NIST SP 800-34</t>
  </si>
  <si>
    <t>AC-5, CP-4, CP-10; NIST SP 800-34</t>
  </si>
  <si>
    <t>AT-3, AC-5, CP-4, CP-10; NIST SP 800-34</t>
  </si>
  <si>
    <t>CM-3, CM-4, CM-5</t>
  </si>
  <si>
    <t>AC-4, MP-2, MP-4</t>
  </si>
  <si>
    <t>AC-22</t>
  </si>
  <si>
    <t>MP-2, AC-19(5)</t>
  </si>
  <si>
    <t>PE-2, PE-3, PE-5, MP-5</t>
  </si>
  <si>
    <t>CP-9</t>
  </si>
  <si>
    <t>CP-9 MP-6, NIST SP 800-60, NIST SP 800-88, AC-2, AC-6, IA-4, PM-2, PM-10, SI-5, MA-2, MA-3, MP-6</t>
  </si>
  <si>
    <t>AC-2, AC-6, IA-4, PM-2, PM-10, SI-5, MA-2</t>
  </si>
  <si>
    <t>SI-12, AC-2, AC-6, IA-4, PM-2, PM-10, SI-5, MA-2</t>
  </si>
  <si>
    <t>AC-2, AC-6, IA-4, PM-2, PM-10, SI-5</t>
  </si>
  <si>
    <t>SC-28, SC-13, FIPS PUB 140-2</t>
  </si>
  <si>
    <t>CP-9, MP-5</t>
  </si>
  <si>
    <t>PE-2, PE-3, PE-5, PE-11, PE-13, PE-14</t>
  </si>
  <si>
    <t>IR-2, IR-4, IR-5</t>
  </si>
  <si>
    <t>IR-2, IR-4, IR-9</t>
  </si>
  <si>
    <t>IR-2, IR-4, IR-10</t>
  </si>
  <si>
    <t>AU-2</t>
  </si>
  <si>
    <t>AC-19(5)</t>
  </si>
  <si>
    <t>MP-4, PE-2, PE-5, PE-6, PE-17</t>
  </si>
  <si>
    <t>MP-2, MP-5, MP-7</t>
  </si>
  <si>
    <t>PE-6</t>
  </si>
  <si>
    <t>PM-2, PM-10, SI-5, CA-5, PM-1</t>
  </si>
  <si>
    <t>CA-5, PM-1</t>
  </si>
  <si>
    <t>CM-3, SA-15, SA-3, SA-8, SC-2, CA-5, PM-1</t>
  </si>
  <si>
    <t>CA-5, PM-1, IR-4, IR-5, IR-7, IR-8</t>
  </si>
  <si>
    <t>CA-5, PM-1, IR-4, IR-5, IR-6, IR-7, IR-8</t>
  </si>
  <si>
    <t>CA-2, SA-15, CA-5, PM-1, IR-4, IR-5, IR-6, R-7, IR-8</t>
  </si>
  <si>
    <t>CA-5, PM-1, PS-3</t>
  </si>
  <si>
    <t>AT-2, CA-5, PM-1</t>
  </si>
  <si>
    <t>AT-2, AT-3, CA-5, PM-1</t>
  </si>
  <si>
    <t>CA-5, PM-1, PS-4, PS-5, PE-2, PE-3, PE-5, AC-6, RA-3, SA-8, CA-2, NIST SP 800-37; NIST SP 800-39; NIST SP 800-115; NIST SP 800-137</t>
  </si>
  <si>
    <t>CM-2, CM-3, CM-6, CM-8</t>
  </si>
  <si>
    <t>CM-2, CM-6, CM-3, AC-19, MA-2</t>
  </si>
  <si>
    <t>SI-2</t>
  </si>
  <si>
    <t>AT-3</t>
  </si>
  <si>
    <t>IR-2, IR-4, IR-5, IR-7</t>
  </si>
  <si>
    <t>IR-6</t>
  </si>
  <si>
    <t>AC-7</t>
  </si>
  <si>
    <t>AC-11, AC-11(1), AC-12</t>
  </si>
  <si>
    <t>AU-2, AU-6, AU-12</t>
  </si>
  <si>
    <t>AU-3</t>
  </si>
  <si>
    <t>ISO 27002:2013</t>
  </si>
  <si>
    <t>v1.06</t>
  </si>
  <si>
    <t>Added standards crosswalk and Cloud Broker Index (CBI) information</t>
  </si>
  <si>
    <t>Are you compliant with FISMA standards?</t>
  </si>
  <si>
    <t>Do you have existing higher education customers?</t>
  </si>
  <si>
    <t>Have you had a significant breach in the last 5 years?</t>
  </si>
  <si>
    <t>Do you have a dedicated Information Security staff or office?</t>
  </si>
  <si>
    <t>Use this area to share information about your environment that will assist those who are assessing your company data security program.</t>
  </si>
  <si>
    <t>Do you support role-based access control (RBAC) for end-users?</t>
  </si>
  <si>
    <t>Do you support role-based access control (RBAC) for system administrators?</t>
  </si>
  <si>
    <t>Can employees access customer data remotely?</t>
  </si>
  <si>
    <t>Can you provide overall system and/or application architecture diagrams including a full description of the data communications architecture for all components of the system?</t>
  </si>
  <si>
    <t xml:space="preserve">Do you employ a single-tenant environment? </t>
  </si>
  <si>
    <t>Will the consulting take place on-premises?</t>
  </si>
  <si>
    <r>
      <t xml:space="preserve">Does your </t>
    </r>
    <r>
      <rPr>
        <i/>
        <sz val="11"/>
        <color theme="1"/>
        <rFont val="Verdana"/>
        <family val="2"/>
      </rPr>
      <t xml:space="preserve">application </t>
    </r>
    <r>
      <rPr>
        <sz val="11"/>
        <color theme="1"/>
        <rFont val="Verdana"/>
        <family val="2"/>
      </rPr>
      <t>support integration with other authentication and authorization systems?  List which ones (such as Active Directory, Kerberos and what version) in Additional Info?</t>
    </r>
  </si>
  <si>
    <t>Has the Disaster Recovery Plan been tested in the last year?  Please provide a summary of the results in Additional Information (including actual recovery time).</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</si>
  <si>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</si>
  <si>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</si>
  <si>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</si>
  <si>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</si>
  <si>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</si>
  <si>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</si>
  <si>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</si>
  <si>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</si>
  <si>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</si>
  <si>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</si>
  <si>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</si>
  <si>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</si>
  <si>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</si>
  <si>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Mobile device policy</t>
  </si>
  <si>
    <t>6.2.2</t>
  </si>
  <si>
    <t>Teleworking</t>
  </si>
  <si>
    <t>Screening</t>
  </si>
  <si>
    <t>Terms and conditions of employment</t>
  </si>
  <si>
    <t>7.2.1</t>
  </si>
  <si>
    <t>Management responsibilities</t>
  </si>
  <si>
    <t>Information security awareness, education and training</t>
  </si>
  <si>
    <t>7.2.3</t>
  </si>
  <si>
    <t>Disciplinary process</t>
  </si>
  <si>
    <t>7.3.1</t>
  </si>
  <si>
    <t>Termination or change of employment responsibilities</t>
  </si>
  <si>
    <t>8.1.1</t>
  </si>
  <si>
    <t>Inventory of assets</t>
  </si>
  <si>
    <t>Ownership of assets</t>
  </si>
  <si>
    <t>8.1.3</t>
  </si>
  <si>
    <t>Acceptable use of assets</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</si>
  <si>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</si>
  <si>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</si>
  <si>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</si>
  <si>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</si>
  <si>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</si>
  <si>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</si>
  <si>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</si>
  <si>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</si>
  <si>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</si>
  <si>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</si>
  <si>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</si>
  <si>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Access to networks and network services</t>
  </si>
  <si>
    <t>9.2.1</t>
  </si>
  <si>
    <t>User registration and de-registration</t>
  </si>
  <si>
    <t>User access provisioning</t>
  </si>
  <si>
    <t>Management of privileged access rights</t>
  </si>
  <si>
    <t>9.2.4</t>
  </si>
  <si>
    <t>Management of secret authentication information of users</t>
  </si>
  <si>
    <t>Review of user access rights</t>
  </si>
  <si>
    <t>Removal or adjustment of access rights</t>
  </si>
  <si>
    <t>9.3.1</t>
  </si>
  <si>
    <t>Use of secret authentication information</t>
  </si>
  <si>
    <t>9.4.1</t>
  </si>
  <si>
    <t>Information access restriction</t>
  </si>
  <si>
    <t>Secure log-on procedures</t>
  </si>
  <si>
    <t>Password management system</t>
  </si>
  <si>
    <t>9.4.4</t>
  </si>
  <si>
    <t>Use of privileged utility programs</t>
  </si>
  <si>
    <t>9.4.5</t>
  </si>
  <si>
    <t>Access control to program source code</t>
  </si>
  <si>
    <t>Policy on the use of cryptographic controls</t>
  </si>
  <si>
    <t>Key management</t>
  </si>
  <si>
    <t>Physical security perimeter</t>
  </si>
  <si>
    <t>Physical entry controls</t>
  </si>
  <si>
    <t>11.1.3</t>
  </si>
  <si>
    <t>Securing offices, rooms and facilities</t>
  </si>
  <si>
    <t>Protecting against external and environmental threats</t>
  </si>
  <si>
    <t>11.1.5</t>
  </si>
  <si>
    <t>Working in secure areas</t>
  </si>
  <si>
    <t>11.1.6</t>
  </si>
  <si>
    <t>Delivery and loading areas</t>
  </si>
  <si>
    <t>Equipment siting and protection</t>
  </si>
  <si>
    <t>11.2.2</t>
  </si>
  <si>
    <t>Supporting utilities</t>
  </si>
  <si>
    <t>11.2.3</t>
  </si>
  <si>
    <t>Cabling security</t>
  </si>
  <si>
    <t>11.2.4</t>
  </si>
  <si>
    <t>Equipment maintenance</t>
  </si>
  <si>
    <t>11.2.5</t>
  </si>
  <si>
    <t>Removal of assets</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</si>
  <si>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</si>
  <si>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</si>
  <si>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</si>
  <si>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</si>
  <si>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</si>
  <si>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</si>
  <si>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</si>
  <si>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</si>
  <si>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</si>
  <si>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</si>
  <si>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</si>
  <si>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</si>
  <si>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</si>
  <si>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</si>
  <si>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</si>
  <si>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</si>
  <si>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</si>
  <si>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</si>
  <si>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</si>
  <si>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</si>
  <si>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</si>
  <si>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</si>
  <si>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Installation of software on operational systems</t>
  </si>
  <si>
    <t>Management of technical vulnerabilities</t>
  </si>
  <si>
    <t>12.6.2</t>
  </si>
  <si>
    <t>Restrictions on software installation</t>
  </si>
  <si>
    <t>Information systems audit controls</t>
  </si>
  <si>
    <t xml:space="preserve">Network controls </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</si>
  <si>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</si>
  <si>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</si>
  <si>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</si>
  <si>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</si>
  <si>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</si>
  <si>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</si>
  <si>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</si>
  <si>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</si>
  <si>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</si>
  <si>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</si>
  <si>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</si>
  <si>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</si>
  <si>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</si>
  <si>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</si>
  <si>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</si>
  <si>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</si>
  <si>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</si>
  <si>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</si>
  <si>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</si>
  <si>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</si>
  <si>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</si>
  <si>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</si>
  <si>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</si>
  <si>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</si>
  <si>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</si>
  <si>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</si>
  <si>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</si>
  <si>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</si>
  <si>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</si>
  <si>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System security testing</t>
  </si>
  <si>
    <t>14.2.9</t>
  </si>
  <si>
    <t>System acceptance testing</t>
  </si>
  <si>
    <t>14.3.1</t>
  </si>
  <si>
    <t>Protection of test data</t>
  </si>
  <si>
    <t>15.1.1</t>
  </si>
  <si>
    <t>Information security policy for supplier relationships</t>
  </si>
  <si>
    <t>15.1.2</t>
  </si>
  <si>
    <t>Addressing security within supplier agreements</t>
  </si>
  <si>
    <t>Information and communication technology supply chain</t>
  </si>
  <si>
    <t>Monitoring and review of supplier services</t>
  </si>
  <si>
    <t>Managing changes to supplier services</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</si>
  <si>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</si>
  <si>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</si>
  <si>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</si>
  <si>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</si>
  <si>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</si>
  <si>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</si>
  <si>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</si>
  <si>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</si>
  <si>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</si>
  <si>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</si>
  <si>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</si>
  <si>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</si>
  <si>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</si>
  <si>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</si>
  <si>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</si>
  <si>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</si>
  <si>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</si>
  <si>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</si>
  <si>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</si>
  <si>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</si>
  <si>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</si>
  <si>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</si>
  <si>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</si>
  <si>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</si>
  <si>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Independent review of information security</t>
  </si>
  <si>
    <t>18.2.2</t>
  </si>
  <si>
    <t>Compliance with security policies and standards</t>
  </si>
  <si>
    <t>18.2.3</t>
  </si>
  <si>
    <t>Technical compliance review</t>
  </si>
  <si>
    <t>Handling of assets; Policy on the use of cryptographic controls</t>
  </si>
  <si>
    <t>11.1.1,11.1.2</t>
  </si>
  <si>
    <t>Physical security perimeter; Physical entry controls</t>
  </si>
  <si>
    <t>Management of privileged access rights; Use of secret authentication information; Password management system</t>
  </si>
  <si>
    <t>Access control policy; Management of privileged access rights; Use of secret authentication information; Password management system</t>
  </si>
  <si>
    <t>Inventory of Authorized and Unauthorized Devices</t>
  </si>
  <si>
    <t>Inventory of Authorized and Unauthorized Software</t>
  </si>
  <si>
    <t>Secure Configurations for Hardware and Software</t>
  </si>
  <si>
    <t>Continuous Vulnerability Assessment and Remediation</t>
  </si>
  <si>
    <t>Malware Defenses</t>
  </si>
  <si>
    <t>Application Software Security</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</si>
  <si>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</si>
  <si>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</si>
  <si>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</si>
  <si>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</si>
  <si>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</si>
  <si>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</si>
  <si>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</si>
  <si>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</si>
  <si>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</si>
  <si>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</si>
  <si>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</si>
  <si>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</si>
  <si>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</si>
  <si>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</si>
  <si>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Incident Response and Management</t>
  </si>
  <si>
    <t>Secure Network Engineering</t>
  </si>
  <si>
    <t>Penetration Tests and Red Team Exercises</t>
  </si>
  <si>
    <t>ID.AM-1</t>
  </si>
  <si>
    <t xml:space="preserve"> Physical devices and systems within the organization are inventoried</t>
  </si>
  <si>
    <t xml:space="preserve"> Software platforms and applications within the organization are inventoried</t>
  </si>
  <si>
    <t xml:space="preserve"> Organizational communication and data flows are mapped</t>
  </si>
  <si>
    <t>ID.AM-4</t>
  </si>
  <si>
    <t xml:space="preserve"> External information systems are catalogued</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</si>
  <si>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</si>
  <si>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</si>
  <si>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</si>
  <si>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</si>
  <si>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</si>
  <si>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</si>
  <si>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</si>
  <si>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</si>
  <si>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</si>
  <si>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</si>
  <si>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</si>
  <si>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</si>
  <si>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</si>
  <si>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</si>
  <si>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</si>
  <si>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</si>
  <si>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</si>
  <si>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</si>
  <si>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</si>
  <si>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</si>
  <si>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</si>
  <si>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</si>
  <si>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</si>
  <si>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</si>
  <si>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</si>
  <si>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</si>
  <si>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</si>
  <si>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</si>
  <si>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</si>
  <si>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</si>
  <si>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</si>
  <si>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</si>
  <si>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</si>
  <si>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</si>
  <si>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</si>
  <si>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</si>
  <si>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</si>
  <si>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</si>
  <si>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</si>
  <si>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</si>
  <si>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</si>
  <si>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</si>
  <si>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</si>
  <si>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</si>
  <si>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</si>
  <si>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</si>
  <si>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</si>
  <si>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</si>
  <si>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</si>
  <si>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</si>
  <si>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</si>
  <si>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</si>
  <si>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</si>
  <si>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 xml:space="preserve"> Data-in-transit is protected</t>
  </si>
  <si>
    <t xml:space="preserve"> Assets are formally managed throughout removal, transfers, and disposition</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</si>
  <si>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</si>
  <si>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</si>
  <si>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</si>
  <si>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 xml:space="preserve"> The development and testing environment(s) are separate from the production environment</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</si>
  <si>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</si>
  <si>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</si>
  <si>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</si>
  <si>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</si>
  <si>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</si>
  <si>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</si>
  <si>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</si>
  <si>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</si>
  <si>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</si>
  <si>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</si>
  <si>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</si>
  <si>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</si>
  <si>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</si>
  <si>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</si>
  <si>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</si>
  <si>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 xml:space="preserve"> Cybersecurity is included in human resources practices (e.g., deprovisioning, personnel screening)</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</si>
  <si>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</si>
  <si>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</si>
  <si>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</si>
  <si>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</si>
  <si>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</si>
  <si>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</si>
  <si>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</si>
  <si>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</si>
  <si>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</si>
  <si>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</si>
  <si>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</si>
  <si>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</si>
  <si>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</si>
  <si>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</si>
  <si>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</si>
  <si>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</si>
  <si>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</si>
  <si>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</si>
  <si>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</si>
  <si>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</si>
  <si>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 xml:space="preserve"> The network is monitored to detect potential cybersecurity events</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</si>
  <si>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</si>
  <si>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</si>
  <si>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</si>
  <si>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</si>
  <si>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</si>
  <si>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</si>
  <si>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</si>
  <si>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</si>
  <si>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</si>
  <si>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</si>
  <si>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</si>
  <si>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</si>
  <si>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</si>
  <si>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</si>
  <si>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</si>
  <si>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</si>
  <si>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</si>
  <si>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</si>
  <si>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</si>
  <si>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</si>
  <si>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</si>
  <si>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</si>
  <si>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</si>
  <si>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</si>
  <si>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</si>
  <si>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</si>
  <si>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</si>
  <si>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</si>
  <si>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</si>
  <si>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</si>
  <si>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</si>
  <si>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</si>
  <si>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</si>
  <si>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</si>
  <si>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</si>
  <si>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</si>
  <si>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</si>
  <si>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</si>
  <si>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</si>
  <si>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</si>
  <si>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</si>
  <si>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</si>
  <si>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</si>
  <si>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</si>
  <si>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</si>
  <si>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</si>
  <si>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</si>
  <si>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</si>
  <si>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</si>
  <si>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</si>
  <si>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</si>
  <si>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</si>
  <si>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</si>
  <si>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</si>
  <si>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</si>
  <si>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</si>
  <si>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</si>
  <si>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</si>
  <si>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</si>
  <si>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</si>
  <si>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</si>
  <si>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</si>
  <si>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</si>
  <si>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 xml:space="preserve"> Access permissions are managed, incorporating the principles of least privilege and separation of duties;  Access to systems and assets is controlled, incorporating the principle of least functionality</t>
  </si>
  <si>
    <t xml:space="preserve"> Physical devices and systems within the organization are inventoried;  Software platforms and applications within the organization are inventoried;  Organizational communication and data flows are mapped</t>
  </si>
  <si>
    <t xml:space="preserve"> Identities and credentials are managed for authorized devices and users;  Access permissions are managed, incorporating the principles of least privilege and separation of duties</t>
  </si>
  <si>
    <t xml:space="preserve"> Physical access to assets is managed and protected;  Policy and regulations regarding the physical operating environment for organizational assets are met</t>
  </si>
  <si>
    <t xml:space="preserve"> Data-at-rest is protected;  Data-in-transit is protected</t>
  </si>
  <si>
    <t xml:space="preserve"> The network is monitored to detect potential cybersecurity events;  The physical environment is monitored to detect potential cybersecurity events;  Monitoring for unauthorized personnel, connections, devices, and software is performed</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</si>
  <si>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</si>
  <si>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</si>
  <si>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 xml:space="preserve"> A baseline configuration of information technology/industrial control systems is created and maintained;  A System Development Life Cycle to manage systems is implemented</t>
  </si>
  <si>
    <t>Limit system access to authorized users, processes acting on behalf of authorized users, and devices (including other systems).</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</si>
  <si>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</si>
  <si>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</si>
  <si>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</si>
  <si>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</si>
  <si>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</si>
  <si>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</si>
  <si>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</si>
  <si>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Prevent non-privileged users from executing privileged functions and capture the execution of such functions in audit logs.</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</si>
  <si>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</si>
  <si>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</si>
  <si>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</si>
  <si>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</si>
  <si>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</si>
  <si>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</si>
  <si>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</si>
  <si>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</si>
  <si>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</si>
  <si>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</si>
  <si>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</si>
  <si>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</si>
  <si>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</si>
  <si>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</si>
  <si>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</si>
  <si>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</si>
  <si>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</si>
  <si>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</si>
  <si>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</si>
  <si>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</si>
  <si>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</si>
  <si>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Encrypt CUI on mobile devices and mobile computing platforms.21</t>
  </si>
  <si>
    <t>3.1.20</t>
  </si>
  <si>
    <t>Verify and control/limit connections to and use of external systems.</t>
  </si>
  <si>
    <t>3.1.21</t>
  </si>
  <si>
    <t>Limit use of portable storage devices on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</si>
  <si>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</si>
  <si>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</si>
  <si>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</si>
  <si>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3.2.3</t>
  </si>
  <si>
    <t>Provide security awareness training on recognizing and reporting potential indicators of insider reat.</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</si>
  <si>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</si>
  <si>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</si>
  <si>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</si>
  <si>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</si>
  <si>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</si>
  <si>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</si>
  <si>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</si>
  <si>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</si>
  <si>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</si>
  <si>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</si>
  <si>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</si>
  <si>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</si>
  <si>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</si>
  <si>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</si>
  <si>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</si>
  <si>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</si>
  <si>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</si>
  <si>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</si>
  <si>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</si>
  <si>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</si>
  <si>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</si>
  <si>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</si>
  <si>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</si>
  <si>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</si>
  <si>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</si>
  <si>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</si>
  <si>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</si>
  <si>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</si>
  <si>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</si>
  <si>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</si>
  <si>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</si>
  <si>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</si>
  <si>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</si>
  <si>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</si>
  <si>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</si>
  <si>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</si>
  <si>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</si>
  <si>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</si>
  <si>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</si>
  <si>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</si>
  <si>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</si>
  <si>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Disable identifiers after a defined period of inactivity.</t>
  </si>
  <si>
    <t>Enforce a minimum password complexity and change of characters when new passwords are created.</t>
  </si>
  <si>
    <t>3.5.8</t>
  </si>
  <si>
    <t>Prohibit password reuse for a specified number of generations.</t>
  </si>
  <si>
    <t>Allow temporary password use for system logons with an immediate change to a permanent password.</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</si>
  <si>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</si>
  <si>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</si>
  <si>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</si>
  <si>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</si>
  <si>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</si>
  <si>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</si>
  <si>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</si>
  <si>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</si>
  <si>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</si>
  <si>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</si>
  <si>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</si>
  <si>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</si>
  <si>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</si>
  <si>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</si>
  <si>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</si>
  <si>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</si>
  <si>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</si>
  <si>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</si>
  <si>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</si>
  <si>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</si>
  <si>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Protect (i.e., physically control and securely store) system media containing CUI, both paper and digital.</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</si>
  <si>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</si>
  <si>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</si>
  <si>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</si>
  <si>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</si>
  <si>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</si>
  <si>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</si>
  <si>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</si>
  <si>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</si>
  <si>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</si>
  <si>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</si>
  <si>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</si>
  <si>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</si>
  <si>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</si>
  <si>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</si>
  <si>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</si>
  <si>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</si>
  <si>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</si>
  <si>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</si>
  <si>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</si>
  <si>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</si>
  <si>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</si>
  <si>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</si>
  <si>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</si>
  <si>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</si>
  <si>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</si>
  <si>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</si>
  <si>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</si>
  <si>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</si>
  <si>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</si>
  <si>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</si>
  <si>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</si>
  <si>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</si>
  <si>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</si>
  <si>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</si>
  <si>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</si>
  <si>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</si>
  <si>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</si>
  <si>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</si>
  <si>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</si>
  <si>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</si>
  <si>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</si>
  <si>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</si>
  <si>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</si>
  <si>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</si>
  <si>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</si>
  <si>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</si>
  <si>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</si>
  <si>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</si>
  <si>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</si>
  <si>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</si>
  <si>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</si>
  <si>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</si>
  <si>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</si>
  <si>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</si>
  <si>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</si>
  <si>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</si>
  <si>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</si>
  <si>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</si>
  <si>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</si>
  <si>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</si>
  <si>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</si>
  <si>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</si>
  <si>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</si>
  <si>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</si>
  <si>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</si>
  <si>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</si>
  <si>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</si>
  <si>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</si>
  <si>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</si>
  <si>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</si>
  <si>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</si>
  <si>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</si>
  <si>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</si>
  <si>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</si>
  <si>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</si>
  <si>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</si>
  <si>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</si>
  <si>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</si>
  <si>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</si>
  <si>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</si>
  <si>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</si>
  <si>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</si>
  <si>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</si>
  <si>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</si>
  <si>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</si>
  <si>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</si>
  <si>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Track, review, approve or disapprove, and log changes to organizational systems.; Analyze the security impact of changes prior to implementation.</t>
  </si>
  <si>
    <t>Control the flow of CUI in accordance with approved authorizations.;Protect (i.e., physically control and securely store) system media containing CUI, both paper and digital.</t>
  </si>
  <si>
    <t>Encrypt CUI on mobile devices and mobile computing platforms.21;Protect (i.e., physically control and securely store) system media containing CUI, both paper and digital.</t>
  </si>
  <si>
    <t>Perform maintenance on organizational systems.;Provide controls on the tools, techniques, mechanisms, and personnel used to conduct system maintenance.;Sanitize or destroy system media containing CUI before disposal or release for reuse.</t>
  </si>
  <si>
    <t>Protect (i.e., physically control and securely store) system media containing CUI, both paper and digital.;Limit access to CUI on system media to authorized users.</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</si>
  <si>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</si>
  <si>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</si>
  <si>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</si>
  <si>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Screen individuals prior to authorizing access to organizational systems containing CUI.;Ensure that organizational systems containing CUI are protected during and after personnel actions such as terminations and transfers.</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</si>
  <si>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</si>
  <si>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Control connection of mobile devices.;Perform maintenance on organizational systems.;Separate user functionality from system management functionality.</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</si>
  <si>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</si>
  <si>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</si>
  <si>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</si>
  <si>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</si>
  <si>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</si>
  <si>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</si>
  <si>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</si>
  <si>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</si>
  <si>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</si>
  <si>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</si>
  <si>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</si>
  <si>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</si>
  <si>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</si>
  <si>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</si>
  <si>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</si>
  <si>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</si>
  <si>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</si>
  <si>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</si>
  <si>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</si>
  <si>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</si>
  <si>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</si>
  <si>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</si>
  <si>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</si>
  <si>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</si>
  <si>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</si>
  <si>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</si>
  <si>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</si>
  <si>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</si>
  <si>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</si>
  <si>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</si>
  <si>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</si>
  <si>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</si>
  <si>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</si>
  <si>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</si>
  <si>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</si>
  <si>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</si>
  <si>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</si>
  <si>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</si>
  <si>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</si>
  <si>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</si>
  <si>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</si>
  <si>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</si>
  <si>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</si>
  <si>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</si>
  <si>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</si>
  <si>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</si>
  <si>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</si>
  <si>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</si>
  <si>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</si>
  <si>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</si>
  <si>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</si>
  <si>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</si>
  <si>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</si>
  <si>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</si>
  <si>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</si>
  <si>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</si>
  <si>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</si>
  <si>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</si>
  <si>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</si>
  <si>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</si>
  <si>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</si>
  <si>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</si>
  <si>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</si>
  <si>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</si>
  <si>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</si>
  <si>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</si>
  <si>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</si>
  <si>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</si>
  <si>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</si>
  <si>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</si>
  <si>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</si>
  <si>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</si>
  <si>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</si>
  <si>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</si>
  <si>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</si>
  <si>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</si>
  <si>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</si>
  <si>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</si>
  <si>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</si>
  <si>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</si>
  <si>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</si>
  <si>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</si>
  <si>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</si>
  <si>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</si>
  <si>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</si>
  <si>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</si>
  <si>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</si>
  <si>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</si>
  <si>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</si>
  <si>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</si>
  <si>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</si>
  <si>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</si>
  <si>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</si>
  <si>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</si>
  <si>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</si>
  <si>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</si>
  <si>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</si>
  <si>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</si>
  <si>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</si>
  <si>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</si>
  <si>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</si>
  <si>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</si>
  <si>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</si>
  <si>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</si>
  <si>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</si>
  <si>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</si>
  <si>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</si>
  <si>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</si>
  <si>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</si>
  <si>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</si>
  <si>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</si>
  <si>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</si>
  <si>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</si>
  <si>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</si>
  <si>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</si>
  <si>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</si>
  <si>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</si>
  <si>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</si>
  <si>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</si>
  <si>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</si>
  <si>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</si>
  <si>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</si>
  <si>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</si>
  <si>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</si>
  <si>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</si>
  <si>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</si>
  <si>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</si>
  <si>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</si>
  <si>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</si>
  <si>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</si>
  <si>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</si>
  <si>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</si>
  <si>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</si>
  <si>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</si>
  <si>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</si>
  <si>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</si>
  <si>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</si>
  <si>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</si>
  <si>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</si>
  <si>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</si>
  <si>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</si>
  <si>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</si>
  <si>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</si>
  <si>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</si>
  <si>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</si>
  <si>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</si>
  <si>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</si>
  <si>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</si>
  <si>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</si>
  <si>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</si>
  <si>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</si>
  <si>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</si>
  <si>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</si>
  <si>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</si>
  <si>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</si>
  <si>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</si>
  <si>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</si>
  <si>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</si>
  <si>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</si>
  <si>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</si>
  <si>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</si>
  <si>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</si>
  <si>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</si>
  <si>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</si>
  <si>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</si>
  <si>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</si>
  <si>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</si>
  <si>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</si>
  <si>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</si>
  <si>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</si>
  <si>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</si>
  <si>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</si>
  <si>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</si>
  <si>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</si>
  <si>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</si>
  <si>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</si>
  <si>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</si>
  <si>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</si>
  <si>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</si>
  <si>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</si>
  <si>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</si>
  <si>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</si>
  <si>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</si>
  <si>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</si>
  <si>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</si>
  <si>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</si>
  <si>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</si>
  <si>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</si>
  <si>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</si>
  <si>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</si>
  <si>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</si>
  <si>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</si>
  <si>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</si>
  <si>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</si>
  <si>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</si>
  <si>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</si>
  <si>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</si>
  <si>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</si>
  <si>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</si>
  <si>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</si>
  <si>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</si>
  <si>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</si>
  <si>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</si>
  <si>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</si>
  <si>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</si>
  <si>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</si>
  <si>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</si>
  <si>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</si>
  <si>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</si>
  <si>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</si>
  <si>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</si>
  <si>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</si>
  <si>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</si>
  <si>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</si>
  <si>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</si>
  <si>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</si>
  <si>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</si>
  <si>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</si>
  <si>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</si>
  <si>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</si>
  <si>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</si>
  <si>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</si>
  <si>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</si>
  <si>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</si>
  <si>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</si>
  <si>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</si>
  <si>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</si>
  <si>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</si>
  <si>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</si>
  <si>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</si>
  <si>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</si>
  <si>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</si>
  <si>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</si>
  <si>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</si>
  <si>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</si>
  <si>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</si>
  <si>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</si>
  <si>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</si>
  <si>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</si>
  <si>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</si>
  <si>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</si>
  <si>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</si>
  <si>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</si>
  <si>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</si>
  <si>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</si>
  <si>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</si>
  <si>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</si>
  <si>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</si>
  <si>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</si>
  <si>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</si>
  <si>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</si>
  <si>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</si>
  <si>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</si>
  <si>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</si>
  <si>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</si>
  <si>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</si>
  <si>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</si>
  <si>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</si>
  <si>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</si>
  <si>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</si>
  <si>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</si>
  <si>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</si>
  <si>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</si>
  <si>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</si>
  <si>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</si>
  <si>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</si>
  <si>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</si>
  <si>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</si>
  <si>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</si>
  <si>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</si>
  <si>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</si>
  <si>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</si>
  <si>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</si>
  <si>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</si>
  <si>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</si>
  <si>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</si>
  <si>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</si>
  <si>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</si>
  <si>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</si>
  <si>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</si>
  <si>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</si>
  <si>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</si>
  <si>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</si>
  <si>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</si>
  <si>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</si>
  <si>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</si>
  <si>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</si>
  <si>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</si>
  <si>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</si>
  <si>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</si>
  <si>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</si>
  <si>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</si>
  <si>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</si>
  <si>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</si>
  <si>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</si>
  <si>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</si>
  <si>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</si>
  <si>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</si>
  <si>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</si>
  <si>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</si>
  <si>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</si>
  <si>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</si>
  <si>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</si>
  <si>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</si>
  <si>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</si>
  <si>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</si>
  <si>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</si>
  <si>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</si>
  <si>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</si>
  <si>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</si>
  <si>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</si>
  <si>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</si>
  <si>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</si>
  <si>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</si>
  <si>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</si>
  <si>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</si>
  <si>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</si>
  <si>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</si>
  <si>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</si>
  <si>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</si>
  <si>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</si>
  <si>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</si>
  <si>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</si>
  <si>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</si>
  <si>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</si>
  <si>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</si>
  <si>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</si>
  <si>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</si>
  <si>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</si>
  <si>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</si>
  <si>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</si>
  <si>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</si>
  <si>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</si>
  <si>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</si>
  <si>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</si>
  <si>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</si>
  <si>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</si>
  <si>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</si>
  <si>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</si>
  <si>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</si>
  <si>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</si>
  <si>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</si>
  <si>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</si>
  <si>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</si>
  <si>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</si>
  <si>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</si>
  <si>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</si>
  <si>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</si>
  <si>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</si>
  <si>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</si>
  <si>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</si>
  <si>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</si>
  <si>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</si>
  <si>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</si>
  <si>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</si>
  <si>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</si>
  <si>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</si>
  <si>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</si>
  <si>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</si>
  <si>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</si>
  <si>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</si>
  <si>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</si>
  <si>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</si>
  <si>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</si>
  <si>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</si>
  <si>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</si>
  <si>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</si>
  <si>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</si>
  <si>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</si>
  <si>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</si>
  <si>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</si>
  <si>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</si>
  <si>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</si>
  <si>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</si>
  <si>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</si>
  <si>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</si>
  <si>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</si>
  <si>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</si>
  <si>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</si>
  <si>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</si>
  <si>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</si>
  <si>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</si>
  <si>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</si>
  <si>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</si>
  <si>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</si>
  <si>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</si>
  <si>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</si>
  <si>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</si>
  <si>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</si>
  <si>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</si>
  <si>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</si>
  <si>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</si>
  <si>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</si>
  <si>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</si>
  <si>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</si>
  <si>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</si>
  <si>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</si>
  <si>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</si>
  <si>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</si>
  <si>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</si>
  <si>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</si>
  <si>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</si>
  <si>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</si>
  <si>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</si>
  <si>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</si>
  <si>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</si>
  <si>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</si>
  <si>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</si>
  <si>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</si>
  <si>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</si>
  <si>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</si>
  <si>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</si>
  <si>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</si>
  <si>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</si>
  <si>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</si>
  <si>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</si>
  <si>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</si>
  <si>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</si>
  <si>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</si>
  <si>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</si>
  <si>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</si>
  <si>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</si>
  <si>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</si>
  <si>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</si>
  <si>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</si>
  <si>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</si>
  <si>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</si>
  <si>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</si>
  <si>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</si>
  <si>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</si>
  <si>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</si>
  <si>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</si>
  <si>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</si>
  <si>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</si>
  <si>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</si>
  <si>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</si>
  <si>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</si>
  <si>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</si>
  <si>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</si>
  <si>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</si>
  <si>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</si>
  <si>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</si>
  <si>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</si>
  <si>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</si>
  <si>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</si>
  <si>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</si>
  <si>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</si>
  <si>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</si>
  <si>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</si>
  <si>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</si>
  <si>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</si>
  <si>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</si>
  <si>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</si>
  <si>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</si>
  <si>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</si>
  <si>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</si>
  <si>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</si>
  <si>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</si>
  <si>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</si>
  <si>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</si>
  <si>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</si>
  <si>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</si>
  <si>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</si>
  <si>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</si>
  <si>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</si>
  <si>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</si>
  <si>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</si>
  <si>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</si>
  <si>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</si>
  <si>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</si>
  <si>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</si>
  <si>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</si>
  <si>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</si>
  <si>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</si>
  <si>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</si>
  <si>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</si>
  <si>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</si>
  <si>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</si>
  <si>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</si>
  <si>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</si>
  <si>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</si>
  <si>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</si>
  <si>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</si>
  <si>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</si>
  <si>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</si>
  <si>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</si>
  <si>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</si>
  <si>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</si>
  <si>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</si>
  <si>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</si>
  <si>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</si>
  <si>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</si>
  <si>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</si>
  <si>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</si>
  <si>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</si>
  <si>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</si>
  <si>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</si>
  <si>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</si>
  <si>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</si>
  <si>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</si>
  <si>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</si>
  <si>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</si>
  <si>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</si>
  <si>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</si>
  <si>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</si>
  <si>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</si>
  <si>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</si>
  <si>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</si>
  <si>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</si>
  <si>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</si>
  <si>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</si>
  <si>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Physical Access Authorizations; Physical Access Control; Access Control for Transmission Medium; Emergency Power; Fire Protection; Temperature and Humidity Controls; External Information System Services</t>
  </si>
  <si>
    <t>System Development Life Cycle; Development Process, Standards, and Tools; Application Partitioning; Senior Information Security Officer; Security Authorization Process; Security Alerts, Advisories, and Directives; Information Security Resources</t>
  </si>
  <si>
    <t>Account Management; Access Enforcement; Least Privilege</t>
  </si>
  <si>
    <t>Access Enforcement; Least Functionality; Guide to Enterprise Telework, Remote Access, and Bring Your Own Device (BYOD) Security</t>
  </si>
  <si>
    <t>Internal System Connections; Information in Shared Resources</t>
  </si>
  <si>
    <t>Identification and Authentication (Organizational Users); Authenticator Management</t>
  </si>
  <si>
    <t>Audit and Accountability: reviews and updates; Audit Review, Analysis, and Reporting; Audit Generation; Access Control: Auditing use of privileged functions; Configuration Change Control; Controlled Maintenance; Maintenance Personnel; Physical Access Control</t>
  </si>
  <si>
    <t>Audit Reduction and Report Generation; Protection of Audit Information; Incident Handling; Separation of Duties; Contingency Plan Testing; Information System Recovery and Reconstitution; Contingency Planning Guide for Federal Information Systems</t>
  </si>
  <si>
    <t>Separation of Duties; Contingency Plan Testing; Information System Recovery and Reconstitution; Contingency Planning Guide for Federal Information Systems</t>
  </si>
  <si>
    <t>Configuration Change Control; Security Impact Analysis; Access Restrictions for Change</t>
  </si>
  <si>
    <t>Information Flow Enforcement; Media Access; Media Storage</t>
  </si>
  <si>
    <t>Media Access; Access Control: Full device / container based encryption</t>
  </si>
  <si>
    <t>Information System Backup; Media Transport</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</si>
  <si>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</si>
  <si>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Incident Response Training; Incident Handling; Information Spillage Response</t>
  </si>
  <si>
    <t>Incident Response Training; Incident Handling; Integrated Information Security Analysis Team</t>
  </si>
  <si>
    <t>Media Storage; Physical Access Authorizations; Access Control for Output Devices; Monitoring Physical Access; Alternate Work Site</t>
  </si>
  <si>
    <t>Media Access; Media Transport; Media Use</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</si>
  <si>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</si>
  <si>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</si>
  <si>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</si>
  <si>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Plan of Action and Milestones; Information Security Program Plan; Identifier Management; Authenticator Management; Cryptographic Module Authentication; Identification and Authentication (Non- Organizational Users)</t>
  </si>
  <si>
    <t>Plan of Action and Milestones; Information Security Program Plan</t>
  </si>
  <si>
    <t>Baseline Configuration; Configuration Settings; Configuration Change Control; Access Control for Mobile Devices; Controlled Maintenance</t>
  </si>
  <si>
    <t>Security management process: Implement policies and procedures to prevent, detect, contain, and correct security violations.</t>
  </si>
  <si>
    <t>Has the risk management process been completed using IAW NIST Guidelines?</t>
  </si>
  <si>
    <t>ID</t>
  </si>
  <si>
    <t>Question</t>
  </si>
  <si>
    <t>Additional Info</t>
  </si>
  <si>
    <t>High Risk</t>
  </si>
  <si>
    <t>Application/Service Security</t>
  </si>
  <si>
    <t>Authentication, Authorization, and Accounting</t>
  </si>
  <si>
    <t>Business Continuity Plan</t>
  </si>
  <si>
    <t>Change Management</t>
  </si>
  <si>
    <t>Data</t>
  </si>
  <si>
    <t>Database</t>
  </si>
  <si>
    <t>Datacenter</t>
  </si>
  <si>
    <t>Disaster Recovery Plan</t>
  </si>
  <si>
    <t>Firewalls, IDS, IPS, and Networking</t>
  </si>
  <si>
    <t>Mobile Applications</t>
  </si>
  <si>
    <t>Physical Security</t>
  </si>
  <si>
    <t>Policies, Procedures, and Processes</t>
  </si>
  <si>
    <t>Product Evaluation</t>
  </si>
  <si>
    <t>Quality Assurance</t>
  </si>
  <si>
    <t>Systems Management &amp; Configuration</t>
  </si>
  <si>
    <t>Vulnerability Scanning</t>
  </si>
  <si>
    <t>PCI DSS</t>
  </si>
  <si>
    <t>Category</t>
  </si>
  <si>
    <t>C_Answer</t>
  </si>
  <si>
    <t>Required</t>
  </si>
  <si>
    <t>V_Answer</t>
  </si>
  <si>
    <t>Category_Total</t>
  </si>
  <si>
    <t>Category_divisor</t>
  </si>
  <si>
    <t>Score</t>
  </si>
  <si>
    <t>Max_Score</t>
  </si>
  <si>
    <t>Score %</t>
  </si>
  <si>
    <t>Application Security</t>
  </si>
  <si>
    <t>Compliant</t>
  </si>
  <si>
    <t>Weight</t>
  </si>
  <si>
    <t>HECVAT Version</t>
  </si>
  <si>
    <t>Full</t>
  </si>
  <si>
    <t>Date Prepared</t>
  </si>
  <si>
    <t>Report Sections</t>
  </si>
  <si>
    <t>Overall Score:</t>
  </si>
  <si>
    <t>Qualitative Questions</t>
  </si>
  <si>
    <t>Vendor Answer</t>
  </si>
  <si>
    <t>Compliant?</t>
  </si>
  <si>
    <t>Does the system have password complexity or length limitations and/or restrictions?</t>
  </si>
  <si>
    <t>Do you have documented password/passphrase reset procedures that are currently implemented in the system and/or customer support?</t>
  </si>
  <si>
    <r>
      <t xml:space="preserve">Describe or provide a reference to the a) system capability to </t>
    </r>
    <r>
      <rPr>
        <b/>
        <sz val="11"/>
        <color rgb="FF000000"/>
        <rFont val="Verdana"/>
        <family val="2"/>
      </rPr>
      <t>log</t>
    </r>
    <r>
      <rPr>
        <sz val="11"/>
        <color rgb="FF000000"/>
        <rFont val="Verdana"/>
        <family val="2"/>
      </rPr>
      <t xml:space="preserve"> </t>
    </r>
    <r>
      <rPr>
        <u/>
        <sz val="11"/>
        <color rgb="FF000000"/>
        <rFont val="Verdana"/>
        <family val="2"/>
      </rPr>
      <t>security/authorization changes</t>
    </r>
    <r>
      <rPr>
        <sz val="11"/>
        <color rgb="FF000000"/>
        <rFont val="Verdana"/>
        <family val="2"/>
      </rPr>
      <t xml:space="preserve"> as well as </t>
    </r>
    <r>
      <rPr>
        <u/>
        <sz val="11"/>
        <color rgb="FF000000"/>
        <rFont val="Verdana"/>
        <family val="2"/>
      </rPr>
      <t>user and administrator security events</t>
    </r>
    <r>
      <rPr>
        <sz val="11"/>
        <color rgb="FF000000"/>
        <rFont val="Verdana"/>
        <family val="2"/>
      </rPr>
      <t xml:space="preserve"> (i.e. physical or electronic)(e.g. login failures, access denied, changes accepted), and b) all requirements necessary to implement logging and monitoring on the system. Include c) information about SIEM/log collector usage.</t>
    </r>
  </si>
  <si>
    <t xml:space="preserve">Has your BCP been tested in the last year? </t>
  </si>
  <si>
    <t>Is this product a core service of your organization, and as such, the top priority during business continuity planning?</t>
  </si>
  <si>
    <t>Will the Institution be notified of major changes to your environment that could impact the Institution's security posture?</t>
  </si>
  <si>
    <t>Does the system support client customizations from one release to another?</t>
  </si>
  <si>
    <t>List all operating systems and the roles that are fulfilled by each.</t>
  </si>
  <si>
    <t>Describe the products and how they will be implemented.</t>
  </si>
  <si>
    <r>
      <t xml:space="preserve">Are there any OS and/or web-browser combinations that are </t>
    </r>
    <r>
      <rPr>
        <u/>
        <sz val="11"/>
        <color rgb="FF000000"/>
        <rFont val="Verdana"/>
        <family val="2"/>
      </rPr>
      <t>not</t>
    </r>
    <r>
      <rPr>
        <sz val="11"/>
        <color rgb="FF000000"/>
        <rFont val="Verdana"/>
        <family val="2"/>
      </rPr>
      <t xml:space="preserve"> currently supported?</t>
    </r>
  </si>
  <si>
    <r>
      <t xml:space="preserve">Does your organization ensure through policy and procedure (that is currently implemented) that </t>
    </r>
    <r>
      <rPr>
        <u/>
        <sz val="11"/>
        <color rgb="FF000000"/>
        <rFont val="Verdana"/>
        <family val="2"/>
      </rPr>
      <t>only application software verifiable as authorized, tested, and approved for production</t>
    </r>
    <r>
      <rPr>
        <sz val="11"/>
        <color rgb="FF000000"/>
        <rFont val="Verdana"/>
        <family val="2"/>
      </rPr>
      <t>, and having met all other requirements and reviews necessary for commissioning, is placed into production?</t>
    </r>
  </si>
  <si>
    <t>Do you have a release schedule for product updates?</t>
  </si>
  <si>
    <t>Do you have a technology roadmap, for the next 2 years, for enhancements and bug fixes for the product/service being assessed?</t>
  </si>
  <si>
    <t>Is Institution involvement (i.e. technically or organizationally) required during product updates?</t>
  </si>
  <si>
    <t>Do you have policy and procedure, currently implemented, managing how critical patches are applied to all systems and applications?</t>
  </si>
  <si>
    <t>Do you have policy and procedure, currently implemented, guiding how security risks are mitigated until patches can be applied?</t>
  </si>
  <si>
    <t>Do you physically and logically separate Institution's data from that of other customers?</t>
  </si>
  <si>
    <t>Order</t>
  </si>
  <si>
    <t>CIS</t>
  </si>
  <si>
    <t>ISO 27002:27013</t>
  </si>
  <si>
    <t>Row Labels</t>
  </si>
  <si>
    <t>TRUE</t>
  </si>
  <si>
    <t>Non-Compliant Responses</t>
  </si>
  <si>
    <t>Third-Parties</t>
  </si>
  <si>
    <t>Mobile App Section Required</t>
  </si>
  <si>
    <t>Third  Party  Section Required</t>
  </si>
  <si>
    <t>Business Continuity  Section Required</t>
  </si>
  <si>
    <t>PCI DSS  Section Required</t>
  </si>
  <si>
    <t>HIPAA Section Required</t>
  </si>
  <si>
    <t>Disaster Recovery Section Required</t>
  </si>
  <si>
    <t>Does this data center operate outside of the Institution's Data Zone?</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</si>
  <si>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</si>
  <si>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Are your applications scanned externally for vulnerabilities?</t>
  </si>
  <si>
    <t>Are your systems scanned externally for vulnerabilities?</t>
  </si>
  <si>
    <t>Ave Percent</t>
  </si>
  <si>
    <t>Total Points</t>
  </si>
  <si>
    <t>Overall Score</t>
  </si>
  <si>
    <t>Product Name and Version Information</t>
  </si>
  <si>
    <t>http://www.vendor.domain/privacynotice</t>
  </si>
  <si>
    <t>Vendor Contact E-mail Address</t>
  </si>
  <si>
    <t>ticket#@yourdomain.edu</t>
  </si>
  <si>
    <t>Insider Threat Program</t>
  </si>
  <si>
    <t>PCI Scope, Discovery</t>
  </si>
  <si>
    <t>PCI Scope</t>
  </si>
  <si>
    <t>12.1, Scope</t>
  </si>
  <si>
    <t>12.8, 12.5</t>
  </si>
  <si>
    <t>7.x</t>
  </si>
  <si>
    <t>12.8, 4.2</t>
  </si>
  <si>
    <t>12.x</t>
  </si>
  <si>
    <t>7.x, 8.x</t>
  </si>
  <si>
    <t>Scope</t>
  </si>
  <si>
    <t>8.x</t>
  </si>
  <si>
    <t>2.1, 8.x</t>
  </si>
  <si>
    <t>10.1, 10.2, 10.3, 10.5, 10.6, 10.7</t>
  </si>
  <si>
    <t>10.1, 10.2, 10.3, 10.5, 10.6, 10.7, 9.x</t>
  </si>
  <si>
    <t>8.x, 4.2</t>
  </si>
  <si>
    <t>6.4, 6.4.5, 6.4.5.1, 6.4.5.2</t>
  </si>
  <si>
    <t>6.4, 12.8, 12.9</t>
  </si>
  <si>
    <t>12.1, 12.8</t>
  </si>
  <si>
    <t>12.1, 12.8, 6.2</t>
  </si>
  <si>
    <t>12.2, 12.8</t>
  </si>
  <si>
    <t>12.1, 12.2, 12.8</t>
  </si>
  <si>
    <t>12.10, 12.8, 6.4</t>
  </si>
  <si>
    <t>12.8, 9.x</t>
  </si>
  <si>
    <t>12.8, 4.1</t>
  </si>
  <si>
    <t>9.x</t>
  </si>
  <si>
    <t>11.4, 12.8</t>
  </si>
  <si>
    <t>1.1, 10.8, 10.6, 10.3, 10.2, 11.4</t>
  </si>
  <si>
    <t>12.1, 9.x</t>
  </si>
  <si>
    <t>12.4, 12.5</t>
  </si>
  <si>
    <t>6.4.5</t>
  </si>
  <si>
    <t>12.6, 6.5</t>
  </si>
  <si>
    <t>6.3.2</t>
  </si>
  <si>
    <t>6.3.2, 6.4.5.3</t>
  </si>
  <si>
    <t>6.3, 6.3.1</t>
  </si>
  <si>
    <t>12.10, 12.8, 12.9</t>
  </si>
  <si>
    <t>12.6, 7.x, 8.x, 9.x</t>
  </si>
  <si>
    <t>7.x, 8.x, 9.x</t>
  </si>
  <si>
    <t>12.1, 5.4 (?)</t>
  </si>
  <si>
    <t>12.1, 12.5, 12.6</t>
  </si>
  <si>
    <t>11.2, 11.3</t>
  </si>
  <si>
    <t>11.2, 12.8</t>
  </si>
  <si>
    <t>12.10, 10.10</t>
  </si>
  <si>
    <t>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</si>
  <si>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</si>
  <si>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</si>
  <si>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</si>
  <si>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</si>
  <si>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</si>
  <si>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</si>
  <si>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</si>
  <si>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</si>
  <si>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</si>
  <si>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</si>
  <si>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</si>
  <si>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</si>
  <si>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</si>
  <si>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</si>
  <si>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</si>
  <si>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</si>
  <si>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</si>
  <si>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</si>
  <si>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</si>
  <si>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</si>
  <si>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</si>
  <si>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</si>
  <si>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</si>
  <si>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</si>
  <si>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</si>
  <si>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</si>
  <si>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</si>
  <si>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</si>
  <si>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</si>
  <si>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</si>
  <si>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</si>
  <si>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</si>
  <si>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</si>
  <si>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</si>
  <si>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</si>
  <si>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</si>
  <si>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</si>
  <si>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</si>
  <si>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</si>
  <si>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</si>
  <si>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</si>
  <si>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</si>
  <si>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</si>
  <si>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</si>
  <si>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</si>
  <si>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</si>
  <si>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</si>
  <si>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</si>
  <si>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</si>
  <si>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</si>
  <si>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</si>
  <si>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</si>
  <si>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</si>
  <si>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</si>
  <si>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</si>
  <si>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</si>
  <si>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</si>
  <si>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</si>
  <si>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</si>
  <si>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</si>
  <si>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</si>
  <si>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</si>
  <si>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</si>
  <si>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</si>
  <si>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</si>
  <si>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</si>
  <si>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</si>
  <si>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</si>
  <si>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</si>
  <si>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</si>
  <si>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</si>
  <si>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</si>
  <si>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</si>
  <si>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</si>
  <si>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</si>
  <si>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</si>
  <si>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</si>
  <si>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</si>
  <si>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</si>
  <si>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</si>
  <si>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</si>
  <si>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</si>
  <si>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</si>
  <si>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</si>
  <si>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</si>
  <si>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</si>
  <si>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</si>
  <si>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</si>
  <si>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</si>
  <si>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</si>
  <si>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</si>
  <si>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</si>
  <si>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</si>
  <si>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</si>
  <si>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</si>
  <si>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</si>
  <si>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</si>
  <si>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</si>
  <si>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</si>
  <si>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</si>
  <si>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</si>
  <si>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</si>
  <si>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</si>
  <si>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</si>
  <si>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</si>
  <si>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</si>
  <si>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</si>
  <si>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</si>
  <si>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</si>
  <si>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</si>
  <si>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</si>
  <si>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</si>
  <si>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</si>
  <si>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</si>
  <si>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</si>
  <si>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</si>
  <si>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</si>
  <si>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</si>
  <si>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</si>
  <si>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</si>
  <si>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</si>
  <si>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</si>
  <si>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</si>
  <si>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</si>
  <si>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</si>
  <si>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</si>
  <si>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</si>
  <si>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</si>
  <si>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</si>
  <si>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</si>
  <si>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</si>
  <si>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</si>
  <si>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</si>
  <si>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</si>
  <si>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</si>
  <si>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</si>
  <si>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</si>
  <si>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</si>
  <si>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</si>
  <si>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</si>
  <si>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</si>
  <si>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</si>
  <si>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</si>
  <si>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</si>
  <si>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</si>
  <si>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</si>
  <si>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</si>
  <si>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</si>
  <si>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</si>
  <si>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</si>
  <si>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</si>
  <si>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</si>
  <si>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</si>
  <si>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</si>
  <si>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</si>
  <si>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</si>
  <si>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</si>
  <si>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</si>
  <si>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</si>
  <si>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</si>
  <si>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</si>
  <si>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</si>
  <si>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</si>
  <si>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</si>
  <si>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</si>
  <si>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</si>
  <si>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</si>
  <si>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</si>
  <si>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</si>
  <si>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</si>
  <si>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</si>
  <si>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</si>
  <si>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</si>
  <si>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</si>
  <si>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</si>
  <si>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</si>
  <si>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</si>
  <si>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</si>
  <si>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</si>
  <si>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</si>
  <si>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</si>
  <si>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</si>
  <si>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</si>
  <si>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</si>
  <si>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</si>
  <si>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</si>
  <si>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</si>
  <si>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</si>
  <si>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</si>
  <si>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</si>
  <si>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</si>
  <si>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</si>
  <si>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</si>
  <si>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</si>
  <si>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</si>
  <si>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</si>
  <si>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</si>
  <si>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</si>
  <si>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</si>
  <si>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</si>
  <si>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</si>
  <si>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</si>
  <si>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</si>
  <si>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</si>
  <si>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</si>
  <si>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</si>
  <si>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</si>
  <si>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</si>
  <si>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</si>
  <si>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</si>
  <si>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</si>
  <si>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</si>
  <si>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</si>
  <si>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</si>
  <si>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</si>
  <si>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</si>
  <si>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</si>
  <si>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</si>
  <si>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</si>
  <si>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</si>
  <si>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</si>
  <si>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</si>
  <si>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</si>
  <si>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</si>
  <si>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</si>
  <si>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</si>
  <si>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</si>
  <si>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</si>
  <si>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</si>
  <si>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</si>
  <si>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</si>
  <si>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</si>
  <si>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</si>
  <si>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</si>
  <si>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</si>
  <si>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</si>
  <si>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</si>
  <si>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</si>
  <si>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</si>
  <si>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</si>
  <si>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</si>
  <si>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</si>
  <si>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</si>
  <si>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</si>
  <si>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</si>
  <si>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</si>
  <si>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</si>
  <si>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</si>
  <si>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</si>
  <si>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</si>
  <si>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</si>
  <si>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</si>
  <si>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</si>
  <si>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</si>
  <si>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</si>
  <si>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</si>
  <si>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</si>
  <si>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</si>
  <si>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</si>
  <si>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</si>
  <si>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</si>
  <si>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</si>
  <si>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</si>
  <si>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</si>
  <si>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</si>
  <si>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</si>
  <si>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</si>
  <si>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</si>
  <si>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</si>
  <si>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</si>
  <si>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</si>
  <si>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</si>
  <si>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</si>
  <si>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</si>
  <si>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</si>
  <si>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</si>
  <si>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</si>
  <si>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</si>
  <si>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</si>
  <si>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</si>
  <si>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</si>
  <si>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</si>
  <si>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</si>
  <si>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</si>
  <si>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</si>
  <si>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</si>
  <si>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</si>
  <si>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</si>
  <si>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</si>
  <si>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</si>
  <si>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</si>
  <si>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</si>
  <si>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</si>
  <si>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</si>
  <si>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</si>
  <si>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</si>
  <si>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</si>
  <si>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</si>
  <si>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</si>
  <si>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</si>
  <si>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</si>
  <si>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</si>
  <si>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</si>
  <si>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</si>
  <si>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</si>
  <si>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</si>
  <si>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</si>
  <si>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</si>
  <si>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</si>
  <si>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</si>
  <si>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</si>
  <si>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</si>
  <si>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</si>
  <si>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</si>
  <si>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</si>
  <si>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</si>
  <si>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</si>
  <si>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</si>
  <si>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</si>
  <si>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</si>
  <si>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</si>
  <si>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</si>
  <si>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</si>
  <si>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</si>
  <si>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</si>
  <si>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</si>
  <si>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</si>
  <si>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</si>
  <si>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</si>
  <si>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</si>
  <si>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</si>
  <si>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</si>
  <si>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</si>
  <si>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</si>
  <si>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</si>
  <si>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</si>
  <si>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</si>
  <si>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</si>
  <si>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</si>
  <si>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</si>
  <si>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</si>
  <si>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</si>
  <si>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</si>
  <si>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</si>
  <si>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</si>
  <si>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</si>
  <si>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</si>
  <si>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</si>
  <si>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</si>
  <si>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</si>
  <si>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</si>
  <si>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</si>
  <si>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</si>
  <si>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</si>
  <si>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</si>
  <si>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</si>
  <si>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</si>
  <si>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</si>
  <si>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</si>
  <si>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</si>
  <si>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</si>
  <si>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</si>
  <si>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</si>
  <si>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</si>
  <si>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</si>
  <si>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</si>
  <si>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</si>
  <si>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</si>
  <si>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</si>
  <si>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</si>
  <si>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</si>
  <si>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</si>
  <si>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</si>
  <si>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</si>
  <si>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</si>
  <si>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</si>
  <si>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</si>
  <si>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</si>
  <si>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</si>
  <si>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</si>
  <si>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</si>
  <si>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</si>
  <si>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</si>
  <si>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</si>
  <si>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</si>
  <si>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</si>
  <si>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</si>
  <si>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</si>
  <si>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</si>
  <si>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</si>
  <si>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</si>
  <si>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</si>
  <si>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</si>
  <si>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</si>
  <si>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</si>
  <si>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</si>
  <si>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All system components included in or connected to the cardholder data environment (CDE)</t>
  </si>
  <si>
    <t>The process of determining the CDE and subsequent PCI scope</t>
  </si>
  <si>
    <t>12.7, 4.2</t>
  </si>
  <si>
    <t>12.1, 5.4</t>
  </si>
  <si>
    <t>12.10</t>
  </si>
  <si>
    <t>9.10</t>
  </si>
  <si>
    <t>GNRL-01 through GNRL-08; populated by the Vendor</t>
  </si>
  <si>
    <t>Institution's Security Analyst/Engineer</t>
  </si>
  <si>
    <t>Institution's Security Analyst/Engineer Name</t>
  </si>
  <si>
    <t>Do you have a dedicated Software and System Development team(s)? (e.g. Customer Support, Implementation, Product Management, etc.)</t>
  </si>
  <si>
    <t>Include circumstances that may involve off-shoring or multi-national agreements.</t>
  </si>
  <si>
    <t>Include the number of years and in what capacity.</t>
  </si>
  <si>
    <t>Share any details that would help information security analysts assess your product.</t>
  </si>
  <si>
    <t>Company</t>
  </si>
  <si>
    <t>Ensure that all parts of APPL-10 are clearly stated in your response. Submit architecture diagrams along with this fully-populated HECVAT.</t>
  </si>
  <si>
    <t>Include a detailed description of how security administration and system administration authority is separated, controls are verified, and logs are reviewed regularly to ensure appropriate use.</t>
  </si>
  <si>
    <t xml:space="preserve">Ensure that all parts of APPL-16 are clearly stated in your response. </t>
  </si>
  <si>
    <t>Ensure that all parts of APPL-18 are clearly stated in your response. The examples given are not exhaustive - elaborate as necessary.</t>
  </si>
  <si>
    <t>Are there any passwords/passphrases hard coded into your systems or products?</t>
  </si>
  <si>
    <t>Ensure that all elements of AAAI-16 are clearly stated in your response.</t>
  </si>
  <si>
    <t>Ensure that all elements of AAAI-17 are clearly stated in your response.</t>
  </si>
  <si>
    <t>May the Institution review your BCP and supporting documentation?</t>
  </si>
  <si>
    <t>Provide a valid URL to your current BCP or submit it along with this fully-populated HECVAT.</t>
  </si>
  <si>
    <t>Ensure that all parts of CHNG-02 are clearly stated in your response.</t>
  </si>
  <si>
    <t>Ensure that all relevant details pertaining to CHNG-05 are clearly stated in your response.</t>
  </si>
  <si>
    <t>Ensure that all parts of CHNG-06 are clearly stated in your response.</t>
  </si>
  <si>
    <t>Ensure that all parts of DATA-07 are clearly stated in your response.</t>
  </si>
  <si>
    <t>If your strategy uses different processes for services and data, ensure that all strategies are clearly stated and supported.</t>
  </si>
  <si>
    <t>If your backup strategy uses varying periods, ensure that each strategy is clearly stated and supported.</t>
  </si>
  <si>
    <t>Is sensitive data encrypted in transport? (e.g. system-to-client)</t>
  </si>
  <si>
    <t>Does your system employ encryption technologies when transmitting sensitive information over TCP/IP networks (e.g., SSH, SSL/TLS, VPN)? (e.g. system-to-system and system-to-client)</t>
  </si>
  <si>
    <t>Will the institution's data be available within the system for a period of time at the completion of this contract?</t>
  </si>
  <si>
    <t>Are ownership rights to all data, inputs, outputs, and metadata retained by the institution?</t>
  </si>
  <si>
    <t>Are you performing off site backups? (i.e. digitally moved off site)</t>
  </si>
  <si>
    <t>Provide a general summary of the implemented networking strategy.</t>
  </si>
  <si>
    <t>Ensure that all parts of DCTR-10 are clearly stated in your response.</t>
  </si>
  <si>
    <t>Review the Uptime Institute's level/tier direction provided on their website if you need addition information to answer DCTR-13.</t>
  </si>
  <si>
    <t>Ensure that all parts of DCTR-17 are clearly stated in your response.</t>
  </si>
  <si>
    <t>Are redundant power strategies tested?</t>
  </si>
  <si>
    <t>Can the Institution review your DRP and supporting documentation?</t>
  </si>
  <si>
    <t>Provide a valid URL to your current DRP or submit it along with this fully-populated HECVAT.</t>
  </si>
  <si>
    <t>Ensure that all elements of DRPL-09 are clearly stated in your response.</t>
  </si>
  <si>
    <t>Does your organization have a disaster recovery site or a contracted Disaster Recovery provider?</t>
  </si>
  <si>
    <t>Are audit logs available for all changes to the network, firewall, IDS, and IPS systems?</t>
  </si>
  <si>
    <t>Ensure that all parts of FIDP-03 are clearly stated in your response.</t>
  </si>
  <si>
    <t xml:space="preserve">Ensure that all supported operating systems are listed - be sure to provide version number, where relevant. </t>
  </si>
  <si>
    <t>Ensure that all elements of MAPP-02  are clearly stated in your response. (i.e. (architecture AND functionality are defined)</t>
  </si>
  <si>
    <t>Is Institution's data encrypted in transport?</t>
  </si>
  <si>
    <t>Is Institution's data encrypted in storage? (e.g. disk encryption, at-rest)</t>
  </si>
  <si>
    <t>Does the application adhere to secure coding practices (e.g. OWASP, etc.)?</t>
  </si>
  <si>
    <t>Are video feeds monitored by datacenter staff?</t>
  </si>
  <si>
    <t>Provide a valid URL to your Quality Assurance program or submit it along with this fully-populated HECVAT.</t>
  </si>
  <si>
    <t>Ensure that all elements of VULN-06 are clearly stated in your response.</t>
  </si>
  <si>
    <t>Ensure that all elements of VULN-08 are clearly stated in your response.</t>
  </si>
  <si>
    <t>Will you provide results of security scans to the Institution?</t>
  </si>
  <si>
    <t>Refer to HIPAA regulations documentation for supplemental guidance in this section.</t>
  </si>
  <si>
    <t>Refer to PCI DSS Security Standards for supplemental guidance in this section</t>
  </si>
  <si>
    <t>Do you subject your code to static code analysis and/or static application security testing prior to release?</t>
  </si>
  <si>
    <t>Do you have software testing processes (dynamic or static) that are established and followed?</t>
  </si>
  <si>
    <t>Will you comply with applicable breach notification laws?</t>
  </si>
  <si>
    <t>Do you have documented information security policy?</t>
  </si>
  <si>
    <t>Is security awareness training mandatory for all employees?</t>
  </si>
  <si>
    <t>Do you have process and procedure(s) documented, and currently followed, that require a review and update of the access-list(s) for privileged accounts?</t>
  </si>
  <si>
    <t>Do you have documented, and currently implemented, internal audit processes and procedures?</t>
  </si>
  <si>
    <t>Will any institution data leave the Institution's Data Zone?</t>
  </si>
  <si>
    <t>If outsourced or co-located, is there a contract in place to prevent data from leaving the Institution's Data Zone?</t>
  </si>
  <si>
    <t>Are any disaster recovery locations outside the Institution's Data Zone?</t>
  </si>
  <si>
    <t>Do your systems or products store, process, or transmit cardholder (payment/credit/debt card) data?</t>
  </si>
  <si>
    <t>Does the system or products use a third party to collect, store, process, or transmit cardholder (payment/credit/debt card) data?</t>
  </si>
  <si>
    <t>The remainder of the document consists of various safeguards, grouped generally by section.</t>
  </si>
  <si>
    <t>Vendor Email Address</t>
  </si>
  <si>
    <t>Vendor</t>
  </si>
  <si>
    <t>Description</t>
  </si>
  <si>
    <t>Product</t>
  </si>
  <si>
    <t>Institution's Security Framework</t>
  </si>
  <si>
    <t>For Institution's Security Analysts</t>
  </si>
  <si>
    <t>Ensure that all elements of MAPP-11  are clearly stated in your response.</t>
  </si>
  <si>
    <t>Ensure that all elements of THRD-01 are clearly stated in your response.</t>
  </si>
  <si>
    <t>If more space is needed to sufficiently answer this question, provide reference to the document or add it as an appendix.</t>
  </si>
  <si>
    <t>Provide sufficient detail for each legal agreement in place.</t>
  </si>
  <si>
    <t>Robust answers from the vendor improve the quality and efficiency of the security assessment process.</t>
  </si>
  <si>
    <t>State the ISP provider(s) in addition to the number of ISPs that provide connectivity.</t>
  </si>
  <si>
    <t>State the party that performed the vulnerability test and the date it was conducted?</t>
  </si>
  <si>
    <t>Have your applications had an external vulnerability assessment in the last year?</t>
  </si>
  <si>
    <t>Have your systems had an external vulnerability assessment in the last year?</t>
  </si>
  <si>
    <t>Brief Description of the Product</t>
  </si>
  <si>
    <t>Institution</t>
  </si>
  <si>
    <t>Proceed to the next tab, Instructions.</t>
  </si>
  <si>
    <t>Do you conform with a specific industry standard security framework? (e.g. NIST Cybersecurity Framework, ISO 27001, etc.)</t>
  </si>
  <si>
    <t>Do backups containing the institution's data ever leave the Institution's Data Zone either physically or via network routing?</t>
  </si>
  <si>
    <t>Is your company subject to Institution's Data Zone laws and regulations?</t>
  </si>
  <si>
    <t xml:space="preserve">List all datacenters and the cities, states (provinces), and countries where the Institution's data will be stored (including within the Institution's Data Zone).   </t>
  </si>
  <si>
    <t>mm/dd/yyyy</t>
  </si>
  <si>
    <t>v2.00</t>
  </si>
  <si>
    <t>Data Reporting</t>
  </si>
  <si>
    <t>Vendor Data Zone</t>
  </si>
  <si>
    <t>Institution Data Zone</t>
  </si>
  <si>
    <t>The country/region in which a vendor is headquartered and/or serves its products/services, including all laws and regulations in-scope within that country/region.</t>
  </si>
  <si>
    <t>Definitions and Data Zones</t>
  </si>
  <si>
    <t>GNRL-11 and GNRL-12; populated by the Institution's Security Office</t>
  </si>
  <si>
    <t>GNRL-11</t>
  </si>
  <si>
    <t>GNRL-12</t>
  </si>
  <si>
    <t>See Instructions tab for guidance</t>
  </si>
  <si>
    <t>Does your organization conduct an annual test of relocating to an alternate site for business recovery purposes?</t>
  </si>
  <si>
    <t>Do you have a media handling process, that is documented and currently implemented, including end-of-life, repurposing, and data sanitization procedures?</t>
  </si>
  <si>
    <t>Do you have a cryptographic key management process (generation, exchange, storage, safeguards, use, vetting, and replacement), that is documented and currently implemented, for all system components? (e.g. database, system, web, etc.)</t>
  </si>
  <si>
    <t>Does a physical barrier fully enclose the physical space preventing unauthorized physical contact with any of your devices?</t>
  </si>
  <si>
    <t>Are you employing any next-generation persistent threat (NGPT) monitoring?</t>
  </si>
  <si>
    <t>Does your organization have physical security controls and policies in place?</t>
  </si>
  <si>
    <t>Can you share the organization chart, mission statement, and policies for your information security unit?</t>
  </si>
  <si>
    <t>Do you have a systems management and configuration strategy that encompasses servers, appliances, and mobile devices (company and employee owned)?</t>
  </si>
  <si>
    <t>Does your web-based interface support authentication, including standards-based single-sign-on? (e.g. InCommon)</t>
  </si>
  <si>
    <t>Does the process described in DATA-23 adhere to DoD 5220.22-M and/or NIST SP 800-88 standards?</t>
  </si>
  <si>
    <t>Major revision. Visit https://www.educause.edu/hecvat for details.</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</si>
  <si>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</si>
  <si>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This section is self-explanatory; product specifics and contact information. GNRL-01 through GNRL-10 should be populated by the Vendor. GNRL-11 and GNRL-12 are for institution use only.</t>
  </si>
  <si>
    <t>Focused on external documentation, the institution is interested in the frameworks that guide your security strategy and what has been done to certify these implementations.</t>
  </si>
  <si>
    <t>The country/region in which an institution is located, including all laws and regulations in-scope within that country/region.</t>
  </si>
  <si>
    <t>Customers from different regions may expect vary protections of data (e.g. GDPR), this is the institution Data Zone. Vendors may handle data differently depending on the country or region where data is stored, this is the Vendor Data Zone.
As a vendor, if your security practices vary based on your region of operation, you may want to populate a HECVAT in the context for each security zone (strategy). That said, institutions from different data zones may still use vendor responses from other state Data Zones. If your security practices are the same across all regions of operations, indicate "All" in your Vendor Data Zone.</t>
  </si>
  <si>
    <t>Example A: If vendor ABC is headquartered and stores data in Canada, and provides services to only customers in Canada, ABC should state "Canada" in both Data Zone fields.
Example B: If vendor ABC is headquartered and stores data in Canada, and additionally provides services to customers in the United Kingdom, ABC may want to assure customers in the United Kingdom that their data is handled properly for their region. In that case, ABC should state "Canada" in the Vendor Data Zone and "United Kingdom" in the institution Data Zone.
Example C: If your security strategy is broad and doesn't fit this statement model, provide a brief summary in each field and the institution's Security Analyst can assess your response.</t>
  </si>
  <si>
    <t>To update data in the Report tabs, click Refresh All in the Menu tab. Input provided in the HECVAT tab is assessed a preliminary score pending institution's Security Analyst review.</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</si>
  <si>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</si>
  <si>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</si>
  <si>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v2.01</t>
  </si>
  <si>
    <t>Minor calculation revision in Summary Report scoring.</t>
  </si>
  <si>
    <t>Cleaned up old question references, added Excel backwards compatibility through named ranges, and fixed analyst report view.</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</si>
  <si>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</si>
  <si>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Repaired versioning issues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</si>
  <si>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</si>
  <si>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Higher Education Community Vendor Assessment Toolkit - Change Log</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</si>
  <si>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</si>
  <si>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</si>
  <si>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</si>
  <si>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</si>
  <si>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This qualifier determines the presence of PHI in the solution and sets the HIPAA section as required appropriately.</t>
  </si>
  <si>
    <t>Reference the HIPAA section for follow-up review.</t>
  </si>
  <si>
    <t>Reference the Third Parties section for follow-up review.</t>
  </si>
  <si>
    <t>This qualifier determines the existence of a complete, fully-populated BCP, maintained by the vendor, and sets the Business Continuity Plan  section as required appropriately.</t>
  </si>
  <si>
    <t>Reference the Business Continuity Plan section for follow-up review.</t>
  </si>
  <si>
    <t>This qualifier determines the existence of a complete, fully-populated DRP, maintained by the vendor, and sets the Business Continuity Plan  section as required appropriately.</t>
  </si>
  <si>
    <t>Reference the Disaster Recovery Plan section for follow-up review.</t>
  </si>
  <si>
    <t>This qualifier determines the presence of PCI DSS in the solution and sets the PCI DSS section as required appropriately.</t>
  </si>
  <si>
    <t>Reference the PCI DSS section for follow-up review.</t>
  </si>
  <si>
    <t>Reference the Consulting section for follow-up review.</t>
  </si>
  <si>
    <t>Standard documentation, relevant to institutions requiring a vendor to undergo SSAE 16 audits.</t>
  </si>
  <si>
    <t xml:space="preserve">Follow-up inquiries for SSAE 16 content will be institution/implementation specific. </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</si>
  <si>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</si>
  <si>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</si>
  <si>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</si>
  <si>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</si>
  <si>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</si>
  <si>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 xml:space="preserve">For institutions that collaborate with the United States government, FISMA compliance may be required. </t>
  </si>
  <si>
    <t xml:space="preserve">Follow-up inquiries for FISMA compliance will be institution/implementation specific. </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</si>
  <si>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</si>
  <si>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</si>
  <si>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</si>
  <si>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We want to establish longevity of a solution and whether or not a vendor is new to the HE space.</t>
  </si>
  <si>
    <t>Higher Ed is a unique vertical. A vendor's response to this question can help an analyst set the context for all vendor responses. Established and/or mature software/product/services are more likely to have current Higher Ed customers, and therefore understand the environment that we operate in.</t>
  </si>
  <si>
    <t>A simple "Yes" without any references or supporting information should be questioned. Question the size of institutions that are using the software/product/service and the scope of their implementations.</t>
  </si>
  <si>
    <t xml:space="preserve">We want transparency from the vendor and an honest answer to this question, regardless of the response, is a good step in building trust. </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</si>
  <si>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</si>
  <si>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</si>
  <si>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</si>
  <si>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</si>
  <si>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</si>
  <si>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</si>
  <si>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 xml:space="preserve">Vague responses to this question should be investigated further. Vendors without documentation in relation to how they deal with other vendors is alarming. </t>
  </si>
  <si>
    <t>Who, what, why - that simple. If a vendor is sharing institutional data with another party, it is expected that the vendor performs their due diligence when assessing their vendors.</t>
  </si>
  <si>
    <t>Insight into legal protections for the institution and its data are the focus of this question. Understanding all stakeholder's contractual responsibilities should be clearly stated by the vendor.</t>
  </si>
  <si>
    <t>Follow-up inquiries in regards to contracts will be institution/implementation specific.</t>
  </si>
  <si>
    <t>This is an open-ended question to allow the vendor to state the actions of their due diligence, as it pertains to safeguarding institutional data.</t>
  </si>
  <si>
    <t>Vague responses to this question should be investigated further. If the vendor's effort to ensure transparency falls short, there may be a reason.</t>
  </si>
  <si>
    <t>Follow-up inquiries for on-premise consulting details will be institution/implementation specific.</t>
  </si>
  <si>
    <t>This question is very much about what level of network access is needed by these external consultants as it is anything else.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consultant may need to be given access to a data center's network. Again, the purpose here is to determine what level of access is enough and what controls to put in place to secure that access.</t>
  </si>
  <si>
    <t>Follow-up inquiries for on-premise consultant resource requirements will be institution/implementation specific.</t>
  </si>
  <si>
    <t xml:space="preserve">This normally is interpreted as "Does the consultant need to connect to our servers in our machine room(s)?". But, it can mean other things too. The real deeper question is, what protected resources does this consultant need to access? And why? For example: It would be unusual for an application developer to need access to a router or switch, so if that is requested, it should be questioned to see if it's reasonable. </t>
  </si>
  <si>
    <t xml:space="preserve">The consultant(s) should be asked for specifics. Example: Do you need access to only the database, or also the front-end? Do you need firewall adjustments? The goal is to ask questions designed around determining what the least level of access is that will allow the consultants to complete their work. </t>
  </si>
  <si>
    <t xml:space="preserve">There are occasions where a consultant needs to access a system in the same way the institution's users access it. This is most often seen in cases where code is being developed, but other scenarios exist. The answer to this question lets the institution know whether they need to alert their identity management team to provision an account for this consultant. </t>
  </si>
  <si>
    <t>Ask the vendor for the reasoning for this requirement. Establish the length (time) of account use. Establish clear expectations for account use. Confirm the sponsor arrangement and ensure protections are in-place for this authorization.</t>
  </si>
  <si>
    <t xml:space="preserve">Certain types of data are subject to either industry or regulatory standards. This question is designed to ensure that the contracted consultants do understand the requirements for handling those classes of data. Or, if they do not, then to give the institution time to implement another control or mitigation (for example: A training course assembled by the institution. Or contract terms designed to protect the institution by requiring that a contractor follow a specific standard). </t>
  </si>
  <si>
    <t>Follow-up inquiries for consultant training will be institution/implementation specific.</t>
  </si>
  <si>
    <t>The need for encryption at-rest is unique to your institution's implementation of a system. In particular, system components, architectures, and data flows, all factor into the need for this control.</t>
  </si>
  <si>
    <t>Follow-up inquiries for consultant possessed data encryption at-rest will be institution/implementation specific.</t>
  </si>
  <si>
    <t>Telecommuting in the IT world is common - an institution should know that proper safeguards are in place, if remote access is allowed. Vendor responses vary greatly on this so confirm the context of the response if it is not clear. Many cloud services can only be managed remotely so there is often a gray area to interpret for this response.</t>
  </si>
  <si>
    <t>Ask the vendor to summarize the reasoning behind this business process and request additional documentation that outlines the security controls implemented to safeguard institutional data.</t>
  </si>
  <si>
    <t>Restricting access to the least number of sources is a best-practice at the focus of this question. If consultants will access institution's data from a static location, ideally the access is restricted to that static location. Based on the institution's environment, data sensitivity, and detective/preventive capabilities, the response to this question may or may not be relevant.</t>
  </si>
  <si>
    <t>Follow-up inquiries for firewall rules and access control lists will be institution/implementation specific.</t>
  </si>
  <si>
    <t>Ask the vendor to summarize the best practices to restrict/control the access given to the institution's end-users without the use of RBAC. Make sure to understand the administrative requirements/overhead introduced in the vendor's environment.</t>
  </si>
  <si>
    <t>Ask the vendor to summarize the best practices for securing their system(s) administratively without the use of RBAC. Make sure to understand the administrative requirements/overhead introduced in the vendor's environment.</t>
  </si>
  <si>
    <t>Many systems can be used a variety of ways. We want these implementation type diagrams so that we can understand the "real" use of the product.</t>
  </si>
  <si>
    <t xml:space="preserve">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t>
  </si>
  <si>
    <t>Inquire about any planned improvements to these capabilities. Ask about their product(s) roadmap and try to understand how they prioritize security concerns in their environment.</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</si>
  <si>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etc.). A vendor's response here will influence potential follow-up inquiries for other HECVAT questions.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</si>
  <si>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</si>
  <si>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</si>
  <si>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Follow-up inquiries concerning supplemental software/products will be institution/implementation specific.</t>
  </si>
  <si>
    <t xml:space="preserve">A picture is worth a thousand words. Diagrams improve transparency of the vendor's infrastructure and allows the institution to more accurately assess potential risks in a vendor's environment. Vendor's with mature infrastructures are expected to have detailed diagrams for all components of their system(s). </t>
  </si>
  <si>
    <t>The use of n-tier architectures is best-practice, providing additional options to strength security controls. Segregating institutional data from front-end (public) systems in expected.</t>
  </si>
  <si>
    <t>Follow-up inquiries for n-tier infrastructure details will be institution/implementation specific.</t>
  </si>
  <si>
    <t>The vendor's response to this question may reveal the need to ask additional follow-up questions to other responses.</t>
  </si>
  <si>
    <t>Verify if the vendor's infrastructure is constrained by a technology or if it is a best practice that is not adopted. Ask about the vendor's future support roadmap.</t>
  </si>
  <si>
    <t>User location data is a significant privacy and safety concern for individuals. Understanding a systems use and storage of user geolocation data is important.</t>
  </si>
  <si>
    <t xml:space="preserve">Vague responses to this question should be met with concern. Repeat the question if first answer insufficiently - ask pointedly to ensure the vendor is not misunderstood. </t>
  </si>
  <si>
    <t xml:space="preserve">The focus of this question is privilege creep, a situation where employees gain access privileges as they move within an organization, but privileges that they were given in previous roles are not removed. This can lead to situations were an individual has concurrent access to systems that should not be allowed. </t>
  </si>
  <si>
    <t xml:space="preserve">Ask the vendor how administrator accounts are protected. Ask for documentation for their onboarding and offboarding procedures for new staff. </t>
  </si>
  <si>
    <t xml:space="preserve">The focus of this question is availability. When moving to off-premise solutions, many controls and strategies implemented on-site are no longer relevant to the security of the solution. </t>
  </si>
  <si>
    <t>Follow-up inquiries for tertiary services will be institution/implementation specific.</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</si>
  <si>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</si>
  <si>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</si>
  <si>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</si>
  <si>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</si>
  <si>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Follow-up inquiries for password/passphrase limitations and/or restrictions will be institution/implementation specific.</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</si>
  <si>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</si>
  <si>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</si>
  <si>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If a vendor indicates that a system is standalone and cannot integrate with community standards, follow-up with maturity questions and ask about other commodity type functions or other system requirements your institution may have.</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</si>
  <si>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</si>
  <si>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</si>
  <si>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Vendor responses to this question provides insight into account management, authorization scope, data integrity, etc. of system administrators. Use the vendor's response to provide context for other responses.</t>
  </si>
  <si>
    <t>Follow-up inquiries for administration module authorization will be institution/implementation specific.</t>
  </si>
  <si>
    <t>The focus of this question is confidentiality. Straight-forward question confirming the encryption of user authentication details.</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</si>
  <si>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</si>
  <si>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</si>
  <si>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If a vendor indicates that a system is standalone and cannot integrate with the institution's infrastructure, follow-up with maturity questions and ask about other commodity type functions or other system requirements your institution may have.</t>
  </si>
  <si>
    <t>This is a follow-up to the questions above. Although a system may support authentication integrations, they may or may not be used on systems that store institutional data. Verify the use of authentication methods/functions in all parts of a system.</t>
  </si>
  <si>
    <t>Ask for diagrams or other documentation that clearly shows what protections/systems are used and where and when they are used. The detail of inquiry will be based on the institutions risk tolerance and criticality of data.</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</si>
  <si>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</si>
  <si>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</si>
  <si>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</si>
  <si>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</si>
  <si>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</si>
  <si>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</si>
  <si>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A vendor may have a number of BCP elements defined so the vendor's response may not be binary. Assess the components of the plan and ask about timelines, follow-up commitments, etc. 
If the vendor does not have a BCP, point them to https://www.sans.org/reading-room/whitepapers/recovery/business-continuity-planning-concept-operations-1653</t>
  </si>
  <si>
    <t>If the vendor states "No", you can ask for a summary, white paper, or blog. If unable to review the full plan, infer what you can from other BCP question responses.</t>
  </si>
  <si>
    <t>Follow-up inquiries for BCP responsible parties will be institution/implementation specific.</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</si>
  <si>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</si>
  <si>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</si>
  <si>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</si>
  <si>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</si>
  <si>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If a vendor's BCP training and awareness activities are insufficient, inquire about other mandatory training, verify its scope, and confirm the training cycles.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</si>
  <si>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</si>
  <si>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</si>
  <si>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</si>
  <si>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</si>
  <si>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</si>
  <si>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</si>
  <si>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The lack of a Change Management program is indicative of immature program processes -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</si>
  <si>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</si>
  <si>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</si>
  <si>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</si>
  <si>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Notification expectations should be set earlier in the contract/assessment process. Timelines, correspondence medium, and playbook details are all aspects to keep in mind when assessing this response.</t>
  </si>
  <si>
    <t>Follow-up inquiries for software/product/service version releases will be institution/implementation specific.</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</si>
  <si>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</si>
  <si>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</si>
  <si>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 xml:space="preserve">This question shows how easy it is for customers to upgrade from one version of the software to the next. If the software has many interdependencies, it will be difficult for customers to transition to the next version, and the software will be more difficult to support.  </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</si>
  <si>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</si>
  <si>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 xml:space="preserve">Understanding the vendor’s approach to approving software for production will indicate the value they place on quality assurance. </t>
  </si>
  <si>
    <t>If a weak response is given to this answer, response scrutiny should be increased. Questions about software testing and reviews are appropriate.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</si>
  <si>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</si>
  <si>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</si>
  <si>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</si>
  <si>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</si>
  <si>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</si>
  <si>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Answers to this question will reveal the vendor’s knowledge of their IT assets and their ability to respond to notifications about their systems and software.</t>
  </si>
  <si>
    <t>Follow-up inquiries for the vendor’s patching practices will be institution/implementation specific.</t>
  </si>
  <si>
    <t>Follow-up inquiries for the vendors patching practices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</si>
  <si>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</si>
  <si>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</si>
  <si>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</si>
  <si>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Follow-up inquiries for the vendors infrastructure will be institution/implementation specific.</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</si>
  <si>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</si>
  <si>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</si>
  <si>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</si>
  <si>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</si>
  <si>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</si>
  <si>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</si>
  <si>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</si>
  <si>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 xml:space="preserve">The need for encryption in transport is unique to your institution's implementation of a system. In particular, system components, architectures, and data flows, all factor into the need for this control. Ensure that vendor responses cover encryption between the hosts within their system - this is the important piece that follows-up on DATA-03.	</t>
  </si>
  <si>
    <t>Follow-up inquiries for data encryption within the system components (and end-users)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</si>
  <si>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</si>
  <si>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location details will be institution/implementation specific.</t>
  </si>
  <si>
    <t>A vendor's response should be clear and concise. Be wary of vague responses to this questions and inquire about export specifics, as needed.</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</si>
  <si>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</si>
  <si>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</si>
  <si>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This question clarifies the position of the institution in the case of acquisition or bankruptcy. Expect clear responses to this question - if vague, be sure to follow-up based on institutional counsel guidance.</t>
  </si>
  <si>
    <t>This is a general inquiry about backup processes. There may be some overlap with other vendor responses - this is a good place to crosscheck consistency and valid any issues that are not clear.</t>
  </si>
  <si>
    <t>Follow-up inquiries for server backup process details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</si>
  <si>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</si>
  <si>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</si>
  <si>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Confidentiality of data and lifecycle media/data maintenance maturity are the focus of this question. Data retention requirements vary greatly and this question seeks clarity of vendor practices.</t>
  </si>
  <si>
    <t>Follow-up inquiries for data backup (and retention) details will be institution/implementation specific.</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</si>
  <si>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</si>
  <si>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</si>
  <si>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Follow-up with the vendor to ensure that all components of the system are consider. This includes, system-to-system, system-to-client, applications, system accounts, etc.</t>
  </si>
  <si>
    <t>The purpose of this question is to define the scope of backup operations and the scope at which a vendor may readily recover when backup restoration is required.</t>
  </si>
  <si>
    <t>Follow-up inquiries for backup content scope will be institution/implementation specific.</t>
  </si>
  <si>
    <t>Follow-up inquiries for offsite, digital backups will be institution/implementation specific.</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</si>
  <si>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</si>
  <si>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</si>
  <si>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</si>
  <si>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</si>
  <si>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</si>
  <si>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Vague responses to this question should be investigated further. Ask for additional documentation and verify that procedure (and possibly training) exists to ensure proper media handling activity.</t>
  </si>
  <si>
    <t>Follow-up inquiries for DoD 5220.22-M and/or SP800-88 standards will be institution specific.</t>
  </si>
  <si>
    <t>Follow-up inquiries for data retention details will be institution/implementation specific.</t>
  </si>
  <si>
    <t>Standard documentation, relevant to institution implementations requiring FERPA compliance.</t>
  </si>
  <si>
    <t>Follow-up inquiries for FERPA compliance details will be institution/implementation specific.</t>
  </si>
  <si>
    <t>If institutional data is visible by [vendor] system administrators, follow-up with the vendor to understand the scope of visibility, process/procedure that administrators follow, and use cases when administrators are allowed to access (view) institutional data.</t>
  </si>
  <si>
    <t>Follow-up inquiries for database field encryption will be institution/implementation specific. Questions may include a timeline for this capability, performance metrics, and/or architectures that compensate for this level of encryption granularity.</t>
  </si>
  <si>
    <t>Confidentiality is the focus of this question. Vendor responses to this question should be well-supported. Ensure that the vendor provides sufficient supporting documentation, as needed, to ensure that the vendor properly implements encryption in their database(s).</t>
  </si>
  <si>
    <t>Dismissive or vague responses should be met with concern. Follow-up questions can include the reasoning behind not using encryption, recommendations for best-practice implementation (i.e. think diagrams), and/or any timeline for implementing this capability in the software/product/service.</t>
  </si>
  <si>
    <t xml:space="preserve">Data ownership, availability, and the use of third-parties are all somewhat connected to the response of this question. </t>
  </si>
  <si>
    <t>Simple responses without supporting documentation should be me with concern. Follow-up with a vendor and request supporting documentation if the answer is in any way dismissive or off-point.</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</si>
  <si>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</si>
  <si>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</si>
  <si>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</si>
  <si>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</si>
  <si>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The purpose of this question is to confirm ownership and physical characteristics of the infrastructure responsible for storing/hosting institutional data.</t>
  </si>
  <si>
    <t>Ask about sharing agreements. Ask about vetting of individuals with access to the co-location space. Ask about access controls, policies, physical environments, etc.</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</si>
  <si>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</si>
  <si>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</si>
  <si>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 xml:space="preserve">Network configuration requirements vary greatly and this question give vendor's the chance to summarize their system's network infrastructure. Review the vendor's response to this question and then reassess other infrastructure components or other vendor response's that may be affected by the network infrastructure described in this response. </t>
  </si>
  <si>
    <t>Standalone solutions will require follow-up questions similar to onsite consulting. SaaS solutions that are hosted in IaaS environments will have network segments and configurations appropriate for that environment. Follow-up questions will be platform/environment specific.</t>
  </si>
  <si>
    <t>Follow-up inquiries for datacenter location details will be institution/implementation specific.</t>
  </si>
  <si>
    <t>Geographic diversity is ideal when planning primary and secondary datacenters. The focus of this question is to determine appropriate geographic diversity to meet the availability requirements of the institution.</t>
  </si>
  <si>
    <t>Inquire about future plans, backup plans for the backup plan, etc. Availability is the name of the game - focus on the needs of the institution, especially BCP and DRP elements.</t>
  </si>
  <si>
    <t>Follow-up inquiries for co-location contracts will be institution/implementation specific.</t>
  </si>
  <si>
    <t>Follow-up inquiries for Uptime Institute Tier Level details will be institution/implementation specific.</t>
  </si>
  <si>
    <t xml:space="preserve">In the context of the CIA triad, this question is focused on the availability of a system (or set of systems). </t>
  </si>
  <si>
    <t>The weight placed on the vendor's response will be specific to the institution's use case and software/product/service requirements.</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</si>
  <si>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</si>
  <si>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</si>
  <si>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Vendor responses will indicate the environment of the vendor's datacenter. If a vendor's "datacenter" is the spare closet at the office, additional risks are introduced to the CIA triad, and should be followed-up on appropriately.</t>
  </si>
  <si>
    <t>Follow-up inquiries for cooling and fire suppression details will be institution/implementation specific.</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</si>
  <si>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</si>
  <si>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Follow-up inquiries for DRP responsible parties will be institution/implementation specific.</t>
  </si>
  <si>
    <t>If the vendor states "No", you can ask for a summary, white paper, or blog. If unable to review the full plan, infer what you can from other DRP question responses.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</si>
  <si>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</si>
  <si>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</si>
  <si>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If the vendor does not have a DRP, point them to https://www.sans.org/reading-room/whitepapers/recovery/disaster-recovery-plan-1164</t>
  </si>
  <si>
    <t>The vendor's response to this question will verify other responses related to planning, testing, and metrics. Use the response to infer the maturity of the vendor's DRP efforts.</t>
  </si>
  <si>
    <t>Follow-up inquiries for recovery time capabilities will be institution/implementation specific.</t>
  </si>
  <si>
    <t xml:space="preserve">Vendor responses to this questions need to be evaluated in the context of use case, data criticality, institutional risk tolerance, and value of the software/product/service to the institution's mission. </t>
  </si>
  <si>
    <t>Follow-up inquiries for cyber-risk insurance will be institution/implementation specific.</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</si>
  <si>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</si>
  <si>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If a vendors states that they outsource their code development and do not run a WAF, there is elevated reason for concern. Verify how code is tested, monitored, and controlled in production environments.</t>
  </si>
  <si>
    <t xml:space="preserve">Modifications to firewall rulesets can have significant repercussions. To ensure the integrity of the ruleset, this question targets the individual (or responsible party) for changes and the reasoning behind their authority. </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</si>
  <si>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</si>
  <si>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</si>
  <si>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</si>
  <si>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</si>
  <si>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</si>
  <si>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</si>
  <si>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Ask the vendor to summarize why host-based intrusion detection tools are not implemented in their environment. What compensating controls are in place to detect configuration changes and/or failures of integrity?</t>
  </si>
  <si>
    <t>Ask the vendor to summarize why host-based intrusion prevention tools are not implemented in their environment. What compensating controls are in place to detect malicious activity and to actively prevent its function.</t>
  </si>
  <si>
    <t xml:space="preserve">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t>
  </si>
  <si>
    <t>Follow-up inquiries for NGPT monitoring will be institution/implementation specific.</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</si>
  <si>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</si>
  <si>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</si>
  <si>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</si>
  <si>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</si>
  <si>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</si>
  <si>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</si>
  <si>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The purpose of this question is to highlight any concerning restrictions in the software/product/service that may cause support (or other) risks when deployed.</t>
  </si>
  <si>
    <t>Follow-up inquiries for mobile application compatibility will be institution/implementation specific.</t>
  </si>
  <si>
    <t>Languages, platforms, libraries, coding style - anything along these lines is what this question is after. Layers of architecture, number of systems, complexity of configuration, and commonality of hardware/software are all points of interest in this question.</t>
  </si>
  <si>
    <t>Vague responses to this question should be investigated further. Ask for additional documentation and verify that appropriate documentation exists to clearly understand the vendor's environment.</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</si>
  <si>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</si>
  <si>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</si>
  <si>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 xml:space="preserve">The purpose of this question is to understand the flow of data, specifically critical data, so that the proper follow-up questions can be asked. </t>
  </si>
  <si>
    <t>Ask the vendor for data flow diagrams. Communication trusts between nodes is important - ask how data is handled at the application (device end), not just the servers.</t>
  </si>
  <si>
    <t>The need for encryption in transport is unique to your institution's implementation of a system. In particular, system components, architectures, and data flows, all factor into the need for this control.</t>
  </si>
  <si>
    <t>Follow-up inquiries for data encryption in transport will be institution/implementation specific.</t>
  </si>
  <si>
    <t>If information security principles are not designed into the product lifecycle, point the vendor to OWASP's Secure Coding Practices - Quick Reference Guide at https://www.owasp.org/index.php/OWASP_Secure_Coding_Practices_-_Quick_Reference_Guide</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</si>
  <si>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</si>
  <si>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</si>
  <si>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</si>
  <si>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 xml:space="preserve">The focus of this question is the detective capabilities in the event an incident occurs in regards to institutional data. </t>
  </si>
  <si>
    <t>Follow-up inquiries for video data storage will be institution/implementation specific.</t>
  </si>
  <si>
    <t>Follow-up inquiries for video monitoring will be institution/implementation specific.</t>
  </si>
  <si>
    <t>Managing media (and the data within) throughout its lifecycle is crucial to the protection of institutional data. The focus of this question is confidentiality, ensuring that equipment used to store institutional data is appropriately protected.</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</si>
  <si>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</si>
  <si>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 xml:space="preserve">Vague responses to this question should be investigated further. Vendors unwilling to share additional supporting documentation decrease the trust established with other responses. </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</si>
  <si>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</si>
  <si>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</si>
  <si>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</si>
  <si>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</si>
  <si>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</si>
  <si>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</si>
  <si>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</si>
  <si>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</si>
  <si>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</si>
  <si>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</si>
  <si>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</si>
  <si>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</si>
  <si>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</si>
  <si>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</si>
  <si>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</si>
  <si>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</si>
  <si>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</si>
  <si>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</si>
  <si>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A shared security [responsibility] environment is expected of vendors in today's world. Security office's cannot solely protect an institution's data. Information security, engrained in an organization, is the best case scenario for the protection of institutional data. Security awareness and practice start in a vendor's policies.</t>
  </si>
  <si>
    <t>If the vendor does not have document information security policy, follow-up questions about training, company practices, awareness efforts, auditing, and system protection practices are appropriate.</t>
  </si>
  <si>
    <t>Understanding the maturity of a vendor's awareness program will indicate the value they place on protecting institutional data. Security involves all parts of an organization, end-user staff included. Awareness training should be prevalent, continuous, and well-documented.</t>
  </si>
  <si>
    <t>If a vendor's awareness training is not prevalent, continuous, and well-documented, it is cause for concern. Inquire about other mandatory training, verify its scope, and confirm the training cycles.</t>
  </si>
  <si>
    <t>The focus of this question is if they audit, how they audit, what they audit, and how it is properly documented and consistently conducted.</t>
  </si>
  <si>
    <t>Follow-up inquiries for internal audit strategies will be institution/implementation specific.</t>
  </si>
  <si>
    <t>Not every software/product/service will have everything an institution will need, at all times, during the lifecycle of a system. The ability to influence development efforts is a valuable position for a higher ed institution. Knowing that a vendor is listening and wants to deliver viable solutions builds trust in the implementation.</t>
  </si>
  <si>
    <t>Ask how requests should be submitted, how requests are prioritized, and by whom. Ask about product roadmaps (1yr, 2yr, 5yr, depending on use case).</t>
  </si>
  <si>
    <t>Oftentimes an institution will want to evaluate a solution before committing to purchase or deploying future functionality. Based on the use case, flexibility in product evaluation may be a requirement.</t>
  </si>
  <si>
    <t>Follow-up inquiries for evaluations sites will be institution/implementation specific.</t>
  </si>
  <si>
    <t>Institutions vary broadly on how QA is handled so any follow-up questions will be contract/institution/implementation specific.</t>
  </si>
  <si>
    <t>Standard documentation, relevant to institutions requiring a vendor to comply with ISO 9001.</t>
  </si>
  <si>
    <t xml:space="preserve">Follow-up inquiries for ISO 9001 content will be institution/implementation specific. </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</si>
  <si>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</si>
  <si>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</si>
  <si>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</si>
  <si>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</si>
  <si>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 xml:space="preserve">This question is used to gauge the importance of our industry (higher education) to the vendor. </t>
  </si>
  <si>
    <t>This is a general information question - any follow-up will be institution/implementation specific.</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</si>
  <si>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</si>
  <si>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</si>
  <si>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</si>
  <si>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 xml:space="preserve">The focus of this question is confidentiality. Vendor employees accessing institutional data from personal, unmanaged (by vendor) devices pose a risk of loss of confidentiality. </t>
  </si>
  <si>
    <t>Follow-up inquiries for mobile device management procedures/practices will be institution/implementation specific. Increased scrutiny should be placed on compensating controls, data loss prevention, access controls, auditing, etc.</t>
  </si>
  <si>
    <t xml:space="preserve">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t>
  </si>
  <si>
    <t>Follow-up with a robust question set if the vendor cannot clearly state full-control of the integrity of their system(s). Questions about administrator access on end-user devices and other maintenance and patching type questions are appropriate.</t>
  </si>
  <si>
    <t>If "No", inquiry if there are plans to implement these processes. Ask the vendor to summarize their decision behind not scanning their applications for vulnerabilities. Prior to release.</t>
  </si>
  <si>
    <t>Every infrastructure has a set of tools best suited to evaluate and protect it from vulnerability. Regardless of focus (i.e. code, hardware systems, etc.), professional, well-established tools are ideal when performing vulnerability assessment. In addition, the talent/skillset of a vulnerability assessor is also important.</t>
  </si>
  <si>
    <t>If a vendor is hesitant to share the report, ask for a summarized version - some insight is better than none.</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</si>
  <si>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</si>
  <si>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</si>
  <si>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</si>
  <si>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Follow-up inquiries for HIPAA requirements will be institution/implementation specific.</t>
  </si>
  <si>
    <t>Inquiry into a vendor's use of electronic health records (EHRs).</t>
  </si>
  <si>
    <t>§164.308(a)(1)(ii)(D)</t>
  </si>
  <si>
    <t>Follow-up inquiries for PCI DSS requirements will be institution/implementation specific.</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</si>
  <si>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</si>
  <si>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Updated name, converted question text on Standards Crosswalk tab to vlookups, added Analyst Reference, fixed external links</t>
  </si>
  <si>
    <t>Higher Education Community Vendor Assessment Tool (HECVAT) - Full</t>
  </si>
  <si>
    <t>Higher Education Community Vendor Assessment Tool (HECVAT) - Full - Standards Crosswalk</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</si>
  <si>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tab</t>
    </r>
    <r>
      <rPr>
        <sz val="11"/>
        <color rgb="FF000000"/>
        <rFont val="Verdana"/>
        <family val="2"/>
      </rPr>
      <t>.</t>
    </r>
  </si>
  <si>
    <t>Higher Education Community Vendor Assessment Tool - Full - Instructions</t>
  </si>
  <si>
    <t>Any school, college, or university using the Higher Education Community Vendor Assessment Tool - Full.</t>
  </si>
  <si>
    <t>Higher Education Community Vendor Assessment Tool (HECVAT) - Full - Analyst Reference</t>
  </si>
  <si>
    <t>HECVAT - Full - Analyst Report</t>
  </si>
  <si>
    <t>HECVAT - Full - Summary Report</t>
  </si>
  <si>
    <t>v2.02</t>
  </si>
  <si>
    <t>v2.03</t>
  </si>
  <si>
    <t>v2.04</t>
  </si>
  <si>
    <t>v2.10</t>
  </si>
  <si>
    <t>Proceed to the next tab, HECVAT - Full.</t>
  </si>
  <si>
    <r>
      <t xml:space="preserve">1. Raw vendor answers can be viewed on the </t>
    </r>
    <r>
      <rPr>
        <b/>
        <sz val="11"/>
        <color rgb="FF000000"/>
        <rFont val="Verdana"/>
        <family val="2"/>
      </rPr>
      <t>HECVAT - Full</t>
    </r>
    <r>
      <rPr>
        <sz val="11"/>
        <color indexed="8"/>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</si>
  <si>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Include both end-user and administrative features and functions.</t>
  </si>
  <si>
    <t>Are the data centers staffed 24 hours a day, seven days a week (i.e., 24x7x365)?</t>
  </si>
  <si>
    <t>In addition to stating your intrusion monitoring strategy, provide a brief summary of its implementation.</t>
  </si>
  <si>
    <t>Describe or provide references explaining how tertiary services are redundant (i.e. DNS, ISP, etc.).</t>
  </si>
  <si>
    <t>Reference the Mobile Application section for follow-up review. Many "applications" run in a web-browser and vendors incorrectly respond due to this common word use. Ensure that responses are in the context of true mobile applications, not just web-based systems.</t>
  </si>
  <si>
    <t xml:space="preserve">The use of standalone, mobile applications is the focus of this qualifier and sets the Mobile Application section as required if in use. When a mobile application is implemented for system communication, data flows, encryption, and storage strategies on a mobile device become important. </t>
  </si>
  <si>
    <t>Vendors oftentimes use other vendors to supplement and/or host their infrastructures and it is important to know what, if any, institutional data is shared with fourth-parties. Responses to this qualifier set the response requirement for the Third Parties section.</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</si>
  <si>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</si>
  <si>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If STAR certification is important to your institution you may have specific follow-up details for documentation purposes.</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</si>
  <si>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</si>
  <si>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Normally a vendor will state their overall longevity but not talk about the software/service/product under evaluation. Follow-up's includes specific questions about the origins of the software/service/product and references will be requested.</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</si>
  <si>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</si>
  <si>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Vendors oftentimes use other vendors to supplement and/or host their infrastructures and it is important to know what, if any, institutional data is shared with fourth-parties. This questions has multiple parts, therefore setting expectations that vendors provide robust responses.</t>
  </si>
  <si>
    <t>This question sets the stage for what the institution must do to accommodate the consultant(s). The question is important because it gives the institution the knowledge necessary to enact appropriate controls. For example, if the answer is "Yes", then access to appropriate locations can be granted, and equipment can be provisioned if needed. Whereas a "No" answer may require remote access control measures, such as the provisioning of VPN access for the consultant.</t>
  </si>
  <si>
    <t>This question is designed to get outright confirmation on whether your institution's data will transfer out and possibly reside, even temporarily, on the contractors' infrastructure. It is also designed to allow you to ask whether it transfers to the *company*, or to the *individual consultant*. That way, you will know what terms or controls to require (for example: 'Our institution's data can be stored and accessed on company owned equipment, but never on personally owned devices.')</t>
  </si>
  <si>
    <t xml:space="preserve">Where will this be stored? Who will have access to it? How long will you retain it? Will you use secure, multi-pass erase methods to dispose of the data once the job is complete? Basically, use this as an opportunity to track what will happen to the data once it's in the contractors' hands, and also to set the expectations with the contractor on how your institution's data should be handled, stored, erased, etc. </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</si>
  <si>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</si>
  <si>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</si>
  <si>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Ask the vendor to summarize why a multi-tenant (or other) environment/strategy is implemented and what compensating controls they have in place to ensure appropriate levels of confidentiality and integrity.</t>
  </si>
  <si>
    <t>This question allows a vendor to describe situations in which their software/product/service cannot operate or be supported. The value of this question is relative, depending on the institution's operating environment.</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</si>
  <si>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</si>
  <si>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password/passphrase encrypted storage will be institution/implementation specific.</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</si>
  <si>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</si>
  <si>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 xml:space="preserve">In the context of the CIA triad, this question is focused on availability and is often in need of a follow-up. Understanding the maturing of a vendor's BCP can shed light on many other aspects of a vendor's overall security state. </t>
  </si>
  <si>
    <t>General inquiry for documentation. As BCPs may contain some sensitive data, a robust summary is appropriate in lieu of a full BCPP.</t>
  </si>
  <si>
    <t>Having a BCP and maintaining/updating/testing a BCP are very different. Establishing a responsible party is fundamental to this process and this question looks to verify that within the vendor.</t>
  </si>
  <si>
    <t>Testing a BCP is an important action that improves the efficiency and accuracy of a vendor's continuity plans. Annual updates are generally expected.</t>
  </si>
  <si>
    <t>Understanding the maturity of a vendor's training and awareness program will indicate the value they place on protecting institutional data. BCP related awareness training should be prevalent, continuous, and well-documented.</t>
  </si>
  <si>
    <t>Testing a BCP is an important action that improves the efficiency and accuracy of a vendor's continuity plans. Vague responses to this question should be met with concern and appropriate follow-up, based on your institutions risk tolerance.</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</si>
  <si>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</si>
  <si>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</si>
  <si>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</si>
  <si>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</si>
  <si>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When cancelling a software/product/service, an institution will commonly want all institutional data that was provided to a vendor. This questions allows the vendor to state their general practices when a customer leaves their environment.</t>
  </si>
  <si>
    <t>When cancelling a software/product/service, an institution will commonly want all institutional data that was provided to a vendor. The vendor's response should verify if the institution can extract data or if it is a manual extraction by vendor staff.</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</si>
  <si>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</si>
  <si>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Depending on the use case, full database encryption may not always be required, or ideal. The ability to encrypt specific fields (data elements) can be advantageous to a system. Performance is sometimes an issue, based on the use case, and this granular approach to encryption provides an institution more options.</t>
  </si>
  <si>
    <t>Standard documentation, relevant to institutions requiring a vendor to maintain a specific Uptime Institute Tier Level.</t>
  </si>
  <si>
    <t xml:space="preserve">In the context of the CIA triad, this question is focused on availability and is often in need of a follow-up. Understanding the maturing of a vendor's DRP can shed light on many other aspects of a vendor's overall security state. </t>
  </si>
  <si>
    <t>Having a DRP and maintaining/updating/testing a DRP are very different. Establishing a responsible party is fundamental to this process and this question looks to verify that within the vendor.</t>
  </si>
  <si>
    <t>General inquiry for documentation. As DRPs may contain some sensitive data, a robust summary is appropriate in lieu of a full DRP.</t>
  </si>
  <si>
    <t>Testing a DRP is an important action that improves the efficiency and accuracy of a vendor's recovery plans. Vague responses to this question should be met with concern and appropriate follow-up, based on your institutions risk tolerance.</t>
  </si>
  <si>
    <t xml:space="preserve">Testing a DRP is an important action that improves the efficiency and accuracy of a vendor's recovery plans. Vague responses to this question should be met with concern and appropriate follow-up, based on your institutions risk tolerance. </t>
  </si>
  <si>
    <t>Ensure that a separation of duties exists in network security configurations. Pay close attention to responsibility overlap in small organizations, where staff often fill multiple roles.</t>
  </si>
  <si>
    <t>The adherence to secure coding best practices better positions a vendor to maintain the CIA triad. Use the knowledge of this response when evaluating other vendor statements, particularly those focused on development and the protection of communications.</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</si>
  <si>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</si>
  <si>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</si>
  <si>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 xml:space="preserve">If "No", inquiry is there has ever been a vulnerability scan. A short lapse in external assessment validity can be understood (if there is a planned assessment) but a significant time lapse or none whatsoever is cause for elevated levels of concern. </t>
  </si>
  <si>
    <t xml:space="preserve">This question is primarily focused on system(s) integrity. If institutional data is stored in a system that is not physically secured from unauthorized access, the need for compensating controls is often higher. This question also encompasses office (and other) spaces used by the vendor to conduct operations. </t>
  </si>
  <si>
    <t xml:space="preserve">Integrity and availability are the focus of this question. The existence of a well-documented quality assurance program, with demonstrated and published metrics, may provide insight into the inner workings (mindset) of a vendor.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</si>
  <si>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</si>
  <si>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</si>
  <si>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External verification of system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</si>
  <si>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Inquiries should be focused on matching tools to policy/procedures and ensuring that a vendor has the skillset/knowledge to properly scan their environments for vulnerabilities and address them adequately, when discovered.</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</si>
  <si>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</si>
  <si>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</si>
  <si>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Completed base formulas for all Guidance fields. Changed Qualifier formatting to make questions readable (and optional).</t>
  </si>
  <si>
    <t>Added tertiary services narrative question (DNS, ISP, etc.).</t>
  </si>
  <si>
    <t>Understanding system requirements and/or dependencies (e.g., frameworks, libraries, toolkits, modules, etc.) can reveal infrastructure risks that may not be apparent by other means. In some cases, the use of trusted components may be favorable. In others, it may initiate the assessment the vendor's environment in more detail and/or expand the scope of the institution's assessment.</t>
  </si>
  <si>
    <t xml:space="preserve">Refusal to share diagrams (even sanitized ones) should be met with increased concern. 
Ask for systems architecture diagrams (e.g., Visio, OmniGraffle, etc.). 
Ask for detailed data flow diagrams. </t>
  </si>
  <si>
    <t xml:space="preserve">This open-ended question allows a vendor to describe the software/product/service from the perspective of an end-user (e.g., customer). Use the vendor's response to this question to confirm the use of mobile applications or web applications. This is oftentimes misinterpreted by vendor parties [that populate the HECVAT] that do not come from a technical background.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</si>
  <si>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</si>
  <si>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Follow-up inquiries for system authentication will be unique to your institution (e.g., policy, infrastructure, etc.)</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</si>
  <si>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</si>
  <si>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When data is moved digitally (e.g., cloud provider, vendor-owned facility, etc.) offsite, the policies and implemented procedures are important to know. The protections implemented to prevent compromise will be technical in nature and should be well-documented.</t>
  </si>
  <si>
    <t xml:space="preserve">Confidentiality is the focus of this question. Based on the capabilities of administrators (vendor), the institution may require additional safeguards to protect the confidentiality of data stored by/shared with a vendor (e.g., additional layer of encryption, etc.). </t>
  </si>
  <si>
    <t>Managing a software/product/service may rely on various professionals to administrate a system. This question is focused on how administration, and the segregation of functions, can be implemented within the system. Securing the administration portion of a system has additional implications (e.g., logging, administration, etc.) beyond that of end-users.</t>
  </si>
  <si>
    <t>Have you undergone a SSAE 18 audit?</t>
  </si>
  <si>
    <t>v2.11</t>
  </si>
  <si>
    <t>Updated SSAE 16 to 18.  Fixed reference to Standards crosswalk on Summary Report.</t>
  </si>
  <si>
    <t>Version 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</si>
</sst>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0;;;@"/>
  </numFmts>
  <fonts count="69"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2"/>
      <color indexed="8"/>
      <name val="Verdana"/>
      <family val="2"/>
    </font>
    <font>
      <sz val="10"/>
      <name val="Arial"/>
      <family val="2"/>
    </font>
    <font>
      <sz val="11"/>
      <color theme="1"/>
      <name val="Verdana"/>
      <family val="2"/>
    </font>
    <font>
      <sz val="11"/>
      <color indexed="8"/>
      <name val="Verdana"/>
      <family val="2"/>
    </font>
    <font>
      <b/>
      <sz val="11"/>
      <color rgb="FF000000"/>
      <name val="Verdana"/>
      <family val="2"/>
    </font>
    <font>
      <u/>
      <sz val="11"/>
      <color rgb="FF000000"/>
      <name val="Verdana"/>
      <family val="2"/>
    </font>
    <font>
      <i/>
      <sz val="11"/>
      <color rgb="FF000000"/>
      <name val="Verdana"/>
      <family val="2"/>
    </font>
    <font>
      <sz val="11"/>
      <name val="Verdana"/>
      <family val="2"/>
    </font>
    <font>
      <sz val="9"/>
      <color indexed="8"/>
      <name val="Verdana"/>
      <family val="2"/>
    </font>
    <font>
      <b/>
      <sz val="11"/>
      <color indexed="8"/>
      <name val="Verdana"/>
      <family val="2"/>
    </font>
    <font>
      <b/>
      <sz val="16"/>
      <color indexed="8"/>
      <name val="Verdana"/>
      <family val="2"/>
    </font>
    <font>
      <u/>
      <sz val="12"/>
      <color theme="10"/>
      <name val="Verdana"/>
      <family val="2"/>
    </font>
    <font>
      <b/>
      <sz val="11"/>
      <color rgb="FFFF0000"/>
      <name val="Verdana"/>
      <family val="2"/>
    </font>
    <font>
      <b/>
      <sz val="14"/>
      <color rgb="FFFFFFFF"/>
      <name val="Verdana"/>
      <family val="2"/>
    </font>
    <font>
      <sz val="11"/>
      <color rgb="FF000000"/>
      <name val="Arial"/>
      <family val="2"/>
    </font>
    <font>
      <sz val="11"/>
      <color indexed="8"/>
      <name val="Verdana"/>
      <family val="2"/>
    </font>
    <font>
      <sz val="11"/>
      <color rgb="FF000000"/>
      <name val="Verdana"/>
      <family val="2"/>
    </font>
    <font>
      <b/>
      <sz val="10"/>
      <color rgb="FF000000"/>
      <name val="Calibri"/>
      <family val="2"/>
    </font>
    <font>
      <b/>
      <sz val="14"/>
      <color indexed="8"/>
      <name val="Verdana"/>
      <family val="2"/>
    </font>
    <font>
      <sz val="12"/>
      <color rgb="FFFF0000"/>
      <name val="Verdana"/>
      <family val="2"/>
    </font>
    <font>
      <sz val="10"/>
      <color rgb="FF000000"/>
      <name val="Calibri"/>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4"/>
      <color theme="0"/>
      <name val="Verdana"/>
      <family val="2"/>
    </font>
    <font>
      <sz val="12"/>
      <color theme="1"/>
      <name val="Verdana"/>
      <family val="2"/>
    </font>
    <font>
      <sz val="11"/>
      <color theme="1"/>
      <name val="Verdana"/>
      <family val="2"/>
    </font>
    <font>
      <sz val="11"/>
      <color indexed="8"/>
      <name val="Verdana"/>
      <family val="2"/>
    </font>
    <font>
      <sz val="11"/>
      <color rgb="FF000000"/>
      <name val="Verdana"/>
      <family val="2"/>
    </font>
    <font>
      <sz val="11"/>
      <name val="Verdana"/>
      <family val="2"/>
    </font>
    <font>
      <b/>
      <sz val="16"/>
      <color theme="0"/>
      <name val="Verdana"/>
      <family val="2"/>
    </font>
  </fonts>
  <fills count="22">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theme="2" tint="0.79998168889431442"/>
        <bgColor indexed="6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FFFFFF"/>
        <bgColor rgb="FFFFFFFF"/>
      </patternFill>
    </fill>
  </fills>
  <borders count="2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8" fillId="0" borderId="0"/>
    <xf numFmtId="9" fontId="28" fillId="0" borderId="0" applyFont="0" applyFill="0" applyBorder="0" applyAlignment="0" applyProtection="0"/>
    <xf numFmtId="0" fontId="29" fillId="0" borderId="0"/>
    <xf numFmtId="0" fontId="27" fillId="0" borderId="0"/>
    <xf numFmtId="9" fontId="27" fillId="0" borderId="0" applyFont="0" applyFill="0" applyBorder="0" applyAlignment="0" applyProtection="0"/>
    <xf numFmtId="0" fontId="36" fillId="0" borderId="0"/>
    <xf numFmtId="9" fontId="17" fillId="0" borderId="0" applyFont="0" applyFill="0" applyBorder="0" applyAlignment="0" applyProtection="0"/>
    <xf numFmtId="0" fontId="46" fillId="0" borderId="0" applyNumberFormat="0" applyFill="0" applyBorder="0" applyAlignment="0" applyProtection="0">
      <alignment vertical="top" wrapText="1"/>
    </xf>
    <xf numFmtId="0" fontId="16" fillId="0" borderId="0"/>
    <xf numFmtId="0" fontId="17" fillId="0" borderId="0" applyNumberFormat="0" applyFill="0" applyBorder="0" applyProtection="0">
      <alignment vertical="top" wrapText="1"/>
    </xf>
  </cellStyleXfs>
  <cellXfs count="363">
    <xf numFmtId="0" fontId="0" fillId="0" borderId="0" xfId="0" applyFont="1" applyAlignment="1">
      <alignment vertical="top" wrapText="1"/>
    </xf>
    <xf numFmtId="0" fontId="0" fillId="0" borderId="0" xfId="0" applyFont="1" applyAlignment="1">
      <alignment horizontal="left" vertical="center" wrapText="1"/>
    </xf>
    <xf numFmtId="0" fontId="8" fillId="0" borderId="0" xfId="0" applyFont="1" applyAlignme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13" fillId="2" borderId="3" xfId="0" applyNumberFormat="1" applyFont="1" applyFill="1" applyBorder="1" applyAlignment="1">
      <alignment horizontal="center" vertical="center" wrapText="1"/>
    </xf>
    <xf numFmtId="0" fontId="2" fillId="4" borderId="3" xfId="0" applyNumberFormat="1" applyFont="1" applyFill="1" applyBorder="1" applyAlignment="1">
      <alignment vertical="center" wrapText="1"/>
    </xf>
    <xf numFmtId="1" fontId="15" fillId="4" borderId="3" xfId="0" applyNumberFormat="1" applyFont="1" applyFill="1" applyBorder="1" applyAlignment="1">
      <alignment vertical="center" wrapText="1"/>
    </xf>
    <xf numFmtId="0" fontId="15" fillId="4" borderId="3" xfId="0" applyNumberFormat="1" applyFont="1" applyFill="1" applyBorder="1" applyAlignment="1">
      <alignment vertical="center" wrapText="1"/>
    </xf>
    <xf numFmtId="1" fontId="15" fillId="4" borderId="3" xfId="0" applyNumberFormat="1" applyFont="1" applyFill="1" applyBorder="1" applyAlignment="1">
      <alignment horizontal="lef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0" fillId="0" borderId="0" xfId="0">
      <alignment vertical="top"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pplyAlignment="1">
      <alignment vertical="top" wrapText="1"/>
    </xf>
    <xf numFmtId="49" fontId="4" fillId="2" borderId="3"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49" fontId="3" fillId="0" borderId="3" xfId="0" applyNumberFormat="1" applyFont="1" applyFill="1" applyBorder="1" applyAlignment="1">
      <alignment vertical="center" wrapText="1"/>
    </xf>
    <xf numFmtId="49" fontId="9" fillId="0" borderId="0" xfId="0" applyNumberFormat="1" applyFont="1" applyBorder="1" applyAlignment="1">
      <alignment wrapText="1"/>
    </xf>
    <xf numFmtId="49" fontId="3" fillId="5" borderId="3" xfId="0" applyNumberFormat="1" applyFont="1" applyFill="1" applyBorder="1" applyAlignment="1">
      <alignment vertical="center" wrapText="1"/>
    </xf>
    <xf numFmtId="49" fontId="3" fillId="5" borderId="3" xfId="0" applyNumberFormat="1" applyFont="1" applyFill="1" applyBorder="1" applyAlignment="1">
      <alignment horizontal="left" vertical="center" wrapText="1"/>
    </xf>
    <xf numFmtId="49" fontId="1" fillId="0" borderId="0" xfId="0" applyNumberFormat="1" applyFont="1" applyAlignment="1"/>
    <xf numFmtId="49" fontId="1" fillId="0" borderId="0" xfId="0" applyNumberFormat="1" applyFont="1" applyAlignment="1">
      <alignment horizontal="center" vertical="center"/>
    </xf>
    <xf numFmtId="49" fontId="1" fillId="0" borderId="0" xfId="0" applyNumberFormat="1" applyFont="1" applyAlignment="1">
      <alignment wrapText="1"/>
    </xf>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8" fillId="0" borderId="0" xfId="8" applyFont="1" applyAlignment="1">
      <alignment vertical="top" wrapText="1"/>
    </xf>
    <xf numFmtId="0" fontId="26" fillId="0" borderId="0" xfId="8" applyFont="1" applyAlignment="1"/>
    <xf numFmtId="0" fontId="26" fillId="0" borderId="5" xfId="8" applyFont="1" applyBorder="1" applyAlignment="1">
      <alignment horizontal="center" vertical="center" wrapText="1"/>
    </xf>
    <xf numFmtId="49" fontId="26" fillId="0" borderId="5" xfId="8" applyNumberFormat="1" applyFont="1" applyBorder="1" applyAlignment="1">
      <alignment horizontal="center" vertical="center" wrapText="1"/>
    </xf>
    <xf numFmtId="49" fontId="26" fillId="0" borderId="6" xfId="8" applyNumberFormat="1" applyFont="1" applyBorder="1" applyAlignment="1">
      <alignment horizontal="center" vertical="center" wrapText="1"/>
    </xf>
    <xf numFmtId="0" fontId="27" fillId="0" borderId="0" xfId="8" applyFont="1" applyAlignment="1">
      <alignment vertical="top" wrapText="1"/>
    </xf>
    <xf numFmtId="49" fontId="30" fillId="0" borderId="9" xfId="10" applyNumberFormat="1" applyFont="1" applyFill="1" applyBorder="1" applyAlignment="1">
      <alignment horizontal="center" vertical="center"/>
    </xf>
    <xf numFmtId="0" fontId="30" fillId="0" borderId="9" xfId="10" applyFont="1" applyBorder="1" applyAlignment="1">
      <alignment horizontal="left" vertical="center" wrapText="1"/>
    </xf>
    <xf numFmtId="0" fontId="27" fillId="0" borderId="0" xfId="8" applyFont="1" applyAlignment="1">
      <alignment vertical="top"/>
    </xf>
    <xf numFmtId="0" fontId="28" fillId="0" borderId="0" xfId="8" applyFont="1" applyAlignment="1">
      <alignment vertical="top"/>
    </xf>
    <xf numFmtId="0" fontId="28" fillId="0" borderId="0" xfId="8"/>
    <xf numFmtId="0" fontId="31" fillId="11" borderId="10" xfId="8" applyFont="1" applyFill="1" applyBorder="1" applyAlignment="1">
      <alignment horizontal="center" vertical="top" wrapText="1"/>
    </xf>
    <xf numFmtId="0" fontId="31" fillId="11" borderId="0" xfId="8" applyFont="1" applyFill="1" applyBorder="1" applyAlignment="1">
      <alignment horizontal="center" vertical="top" wrapText="1"/>
    </xf>
    <xf numFmtId="0" fontId="34" fillId="0" borderId="0" xfId="8" applyFont="1" applyAlignment="1">
      <alignment vertical="top" wrapText="1"/>
    </xf>
    <xf numFmtId="0" fontId="34" fillId="0" borderId="0" xfId="8" applyFont="1" applyAlignment="1">
      <alignment vertical="top"/>
    </xf>
    <xf numFmtId="49" fontId="34" fillId="0" borderId="5" xfId="8" applyNumberFormat="1" applyFont="1" applyBorder="1" applyAlignment="1">
      <alignment horizontal="center" vertical="center" wrapText="1"/>
    </xf>
    <xf numFmtId="0" fontId="31" fillId="11" borderId="0" xfId="8" applyFont="1" applyFill="1" applyBorder="1" applyAlignment="1">
      <alignment horizontal="left" vertical="top"/>
    </xf>
    <xf numFmtId="0" fontId="31" fillId="11" borderId="10" xfId="8" applyFont="1" applyFill="1" applyBorder="1" applyAlignment="1">
      <alignment horizontal="left" vertical="top"/>
    </xf>
    <xf numFmtId="0" fontId="32" fillId="11" borderId="10" xfId="8" applyFont="1" applyFill="1" applyBorder="1" applyAlignment="1">
      <alignment horizontal="left" vertical="top"/>
    </xf>
    <xf numFmtId="0" fontId="38" fillId="4" borderId="3" xfId="0" applyFont="1" applyFill="1" applyBorder="1" applyAlignment="1">
      <alignment vertical="center" wrapText="1"/>
    </xf>
    <xf numFmtId="0" fontId="3" fillId="12" borderId="3" xfId="0" applyNumberFormat="1" applyFont="1" applyFill="1" applyBorder="1" applyAlignment="1">
      <alignment vertical="center" wrapText="1"/>
    </xf>
    <xf numFmtId="0" fontId="35" fillId="0" borderId="0" xfId="0" applyFont="1" applyAlignment="1">
      <alignment vertical="top" wrapText="1"/>
    </xf>
    <xf numFmtId="0" fontId="38" fillId="0" borderId="0" xfId="0" applyFont="1" applyAlignment="1">
      <alignment vertical="top" wrapText="1"/>
    </xf>
    <xf numFmtId="165" fontId="38" fillId="0" borderId="0" xfId="0" applyNumberFormat="1" applyFont="1" applyAlignment="1">
      <alignment vertical="top" wrapText="1"/>
    </xf>
    <xf numFmtId="0" fontId="26" fillId="0" borderId="0" xfId="0" applyFont="1" applyBorder="1" applyAlignment="1"/>
    <xf numFmtId="0" fontId="26" fillId="0" borderId="0" xfId="0" applyFont="1" applyBorder="1" applyAlignment="1">
      <alignment horizontal="center"/>
    </xf>
    <xf numFmtId="0" fontId="26" fillId="9" borderId="0" xfId="0" applyFont="1" applyFill="1" applyBorder="1" applyAlignment="1">
      <alignment horizontal="center"/>
    </xf>
    <xf numFmtId="0" fontId="41" fillId="10" borderId="0" xfId="0" applyFont="1" applyFill="1" applyBorder="1" applyAlignment="1"/>
    <xf numFmtId="0" fontId="26" fillId="0" borderId="8" xfId="0" applyFont="1" applyBorder="1" applyAlignment="1">
      <alignment wrapText="1"/>
    </xf>
    <xf numFmtId="0" fontId="26" fillId="0" borderId="0" xfId="0" applyFont="1" applyAlignment="1">
      <alignment vertical="top" wrapText="1"/>
    </xf>
    <xf numFmtId="0" fontId="38" fillId="0" borderId="8" xfId="0" applyFont="1" applyBorder="1" applyAlignment="1">
      <alignment horizontal="center" wrapText="1"/>
    </xf>
    <xf numFmtId="0" fontId="38" fillId="0" borderId="8" xfId="0" applyFont="1" applyBorder="1" applyAlignment="1">
      <alignment wrapText="1"/>
    </xf>
    <xf numFmtId="0" fontId="38" fillId="0" borderId="8" xfId="0" applyFont="1" applyBorder="1" applyAlignment="1">
      <alignment horizontal="right" wrapText="1"/>
    </xf>
    <xf numFmtId="0" fontId="42" fillId="0" borderId="0" xfId="0" applyFont="1" applyFill="1" applyBorder="1" applyAlignment="1">
      <alignment vertical="top"/>
    </xf>
    <xf numFmtId="0" fontId="26" fillId="0" borderId="0" xfId="0" applyFont="1" applyBorder="1" applyAlignment="1">
      <alignment vertical="top"/>
    </xf>
    <xf numFmtId="10" fontId="26" fillId="0" borderId="0" xfId="0" applyNumberFormat="1" applyFont="1" applyBorder="1" applyAlignment="1">
      <alignment vertical="top"/>
    </xf>
    <xf numFmtId="0" fontId="26" fillId="0" borderId="0" xfId="0" applyFont="1" applyFill="1" applyBorder="1" applyAlignment="1">
      <alignment vertical="top"/>
    </xf>
    <xf numFmtId="0" fontId="26" fillId="9" borderId="8" xfId="0" applyFont="1" applyFill="1" applyBorder="1" applyAlignment="1">
      <alignment wrapText="1"/>
    </xf>
    <xf numFmtId="0" fontId="26" fillId="0" borderId="7" xfId="0" applyFont="1" applyFill="1" applyBorder="1" applyAlignment="1">
      <alignment vertical="top"/>
    </xf>
    <xf numFmtId="0" fontId="26" fillId="0" borderId="7" xfId="0" applyFont="1" applyBorder="1" applyAlignment="1">
      <alignment vertical="top"/>
    </xf>
    <xf numFmtId="10" fontId="26" fillId="0" borderId="7" xfId="0" applyNumberFormat="1" applyFont="1" applyBorder="1" applyAlignment="1">
      <alignment vertical="top"/>
    </xf>
    <xf numFmtId="0" fontId="26" fillId="0" borderId="7" xfId="0" applyFont="1" applyBorder="1" applyAlignment="1"/>
    <xf numFmtId="0" fontId="26" fillId="0" borderId="0" xfId="0" applyFont="1" applyFill="1" applyAlignment="1">
      <alignment vertical="top"/>
    </xf>
    <xf numFmtId="0" fontId="26" fillId="0" borderId="0" xfId="0" applyFont="1" applyAlignment="1">
      <alignment vertical="top"/>
    </xf>
    <xf numFmtId="0" fontId="43" fillId="0" borderId="0" xfId="0" applyFont="1" applyAlignment="1">
      <alignment vertical="top" wrapText="1"/>
    </xf>
    <xf numFmtId="0" fontId="1" fillId="0" borderId="0" xfId="0" applyFont="1" applyAlignment="1">
      <alignment vertical="top" wrapText="1"/>
    </xf>
    <xf numFmtId="0" fontId="25" fillId="0" borderId="8" xfId="0" applyFont="1" applyBorder="1" applyAlignment="1">
      <alignment wrapText="1"/>
    </xf>
    <xf numFmtId="0" fontId="25" fillId="0" borderId="0" xfId="0" applyFont="1" applyAlignment="1">
      <alignment vertical="top" wrapText="1"/>
    </xf>
    <xf numFmtId="0" fontId="25" fillId="9" borderId="8" xfId="0" applyFont="1" applyFill="1" applyBorder="1" applyAlignment="1">
      <alignment wrapText="1"/>
    </xf>
    <xf numFmtId="0" fontId="1" fillId="0" borderId="8" xfId="0" applyFont="1" applyBorder="1" applyAlignment="1">
      <alignment wrapText="1"/>
    </xf>
    <xf numFmtId="0" fontId="1" fillId="0" borderId="8" xfId="0" applyFont="1" applyBorder="1" applyAlignment="1">
      <alignment horizontal="right" wrapText="1"/>
    </xf>
    <xf numFmtId="165" fontId="1" fillId="0" borderId="0" xfId="0" applyNumberFormat="1" applyFont="1" applyAlignment="1">
      <alignment vertical="top" wrapText="1"/>
    </xf>
    <xf numFmtId="9" fontId="38" fillId="0" borderId="0" xfId="14" applyFont="1" applyAlignment="1">
      <alignment vertical="top" wrapText="1"/>
    </xf>
    <xf numFmtId="0" fontId="0" fillId="0" borderId="0" xfId="0" applyFont="1" applyAlignment="1">
      <alignment vertical="top" wrapText="1"/>
    </xf>
    <xf numFmtId="1" fontId="37" fillId="3" borderId="3" xfId="0" applyNumberFormat="1" applyFont="1" applyFill="1" applyBorder="1" applyAlignment="1">
      <alignment vertical="center" wrapText="1"/>
    </xf>
    <xf numFmtId="1" fontId="38" fillId="3" borderId="3" xfId="0" applyNumberFormat="1" applyFont="1" applyFill="1" applyBorder="1" applyAlignment="1">
      <alignment vertical="center" wrapText="1"/>
    </xf>
    <xf numFmtId="10" fontId="26" fillId="0" borderId="0" xfId="0" applyNumberFormat="1" applyFont="1" applyFill="1" applyAlignment="1">
      <alignment vertical="top"/>
    </xf>
    <xf numFmtId="49" fontId="37" fillId="0" borderId="3" xfId="0" applyNumberFormat="1" applyFont="1" applyFill="1" applyBorder="1" applyAlignment="1">
      <alignment horizontal="center" vertical="center" wrapText="1"/>
    </xf>
    <xf numFmtId="0" fontId="0" fillId="0" borderId="0" xfId="0" applyFont="1" applyAlignment="1">
      <alignment vertical="top" wrapText="1"/>
    </xf>
    <xf numFmtId="0" fontId="17" fillId="0" borderId="0" xfId="0" applyNumberFormat="1" applyFont="1" applyAlignment="1">
      <alignment vertical="top" wrapText="1"/>
    </xf>
    <xf numFmtId="0" fontId="34" fillId="0" borderId="0" xfId="8" applyNumberFormat="1" applyFont="1" applyAlignment="1">
      <alignment vertical="top"/>
    </xf>
    <xf numFmtId="0" fontId="25" fillId="0" borderId="0" xfId="0" applyNumberFormat="1" applyFont="1" applyAlignment="1">
      <alignment vertical="top" wrapText="1"/>
    </xf>
    <xf numFmtId="0" fontId="49" fillId="0" borderId="0" xfId="0" applyNumberFormat="1" applyFont="1" applyAlignme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4" fillId="0" borderId="0" xfId="8" applyNumberFormat="1" applyFont="1" applyAlignment="1">
      <alignment horizontal="left" vertical="top" wrapText="1"/>
    </xf>
    <xf numFmtId="0" fontId="25" fillId="8" borderId="3" xfId="0" applyFont="1" applyFill="1" applyBorder="1" applyAlignment="1">
      <alignment vertical="center" wrapText="1"/>
    </xf>
    <xf numFmtId="0" fontId="3" fillId="9" borderId="3" xfId="0" applyFont="1" applyFill="1" applyBorder="1" applyAlignment="1">
      <alignment vertical="center" wrapText="1"/>
    </xf>
    <xf numFmtId="0" fontId="14" fillId="9" borderId="3" xfId="0" applyFont="1" applyFill="1" applyBorder="1" applyAlignment="1">
      <alignment vertical="center" wrapText="1"/>
    </xf>
    <xf numFmtId="0" fontId="50" fillId="0" borderId="0" xfId="0" applyFont="1" applyAlignment="1">
      <alignment vertical="top" wrapText="1"/>
    </xf>
    <xf numFmtId="0" fontId="51" fillId="0" borderId="8" xfId="0" applyFont="1" applyBorder="1" applyAlignment="1">
      <alignment wrapText="1"/>
    </xf>
    <xf numFmtId="0" fontId="51" fillId="0" borderId="0" xfId="0" applyFont="1" applyAlignment="1">
      <alignment vertical="top" wrapText="1"/>
    </xf>
    <xf numFmtId="0" fontId="50" fillId="0" borderId="8" xfId="0" applyFont="1" applyBorder="1" applyAlignment="1">
      <alignment horizontal="center" wrapText="1"/>
    </xf>
    <xf numFmtId="0" fontId="51" fillId="9" borderId="8" xfId="0" applyFont="1" applyFill="1" applyBorder="1" applyAlignment="1">
      <alignment wrapText="1"/>
    </xf>
    <xf numFmtId="0" fontId="50" fillId="0" borderId="8" xfId="0" applyFont="1" applyBorder="1" applyAlignment="1">
      <alignment wrapText="1"/>
    </xf>
    <xf numFmtId="0" fontId="50" fillId="0" borderId="8" xfId="0" applyFont="1" applyBorder="1" applyAlignment="1">
      <alignment horizontal="right" wrapText="1"/>
    </xf>
    <xf numFmtId="165" fontId="50" fillId="0" borderId="0" xfId="0" applyNumberFormat="1" applyFont="1" applyAlignment="1">
      <alignment vertical="top" wrapText="1"/>
    </xf>
    <xf numFmtId="0" fontId="50" fillId="0" borderId="0" xfId="0" applyFont="1" applyBorder="1" applyAlignment="1">
      <alignment vertical="top" wrapText="1"/>
    </xf>
    <xf numFmtId="0" fontId="51" fillId="0" borderId="13" xfId="0" applyFont="1" applyBorder="1" applyAlignment="1">
      <alignment wrapText="1"/>
    </xf>
    <xf numFmtId="0" fontId="51" fillId="0" borderId="0" xfId="0" applyFont="1" applyBorder="1" applyAlignment="1">
      <alignment vertical="top" wrapText="1"/>
    </xf>
    <xf numFmtId="0" fontId="50" fillId="0" borderId="13" xfId="0" applyFont="1" applyBorder="1" applyAlignment="1">
      <alignment horizontal="center" wrapText="1"/>
    </xf>
    <xf numFmtId="0" fontId="51" fillId="9" borderId="13" xfId="0" applyFont="1" applyFill="1" applyBorder="1" applyAlignment="1">
      <alignment wrapText="1"/>
    </xf>
    <xf numFmtId="0" fontId="50" fillId="0" borderId="13" xfId="0" applyFont="1" applyBorder="1" applyAlignment="1">
      <alignment wrapText="1"/>
    </xf>
    <xf numFmtId="0" fontId="50" fillId="0" borderId="13" xfId="0" applyFont="1" applyBorder="1" applyAlignment="1">
      <alignment horizontal="right" wrapText="1"/>
    </xf>
    <xf numFmtId="165" fontId="50" fillId="0" borderId="0" xfId="0" applyNumberFormat="1" applyFont="1" applyBorder="1" applyAlignment="1">
      <alignment vertical="top" wrapText="1"/>
    </xf>
    <xf numFmtId="0" fontId="15" fillId="4" borderId="3" xfId="0" applyFont="1" applyFill="1" applyBorder="1" applyAlignment="1">
      <alignment vertical="center" wrapText="1"/>
    </xf>
    <xf numFmtId="0" fontId="18" fillId="0" borderId="3" xfId="0" applyFont="1" applyBorder="1" applyAlignment="1">
      <alignment horizontal="left" vertical="center" wrapText="1"/>
    </xf>
    <xf numFmtId="0" fontId="0" fillId="0" borderId="0" xfId="0" applyFont="1" applyAlignment="1">
      <alignment vertical="top" wrapText="1"/>
    </xf>
    <xf numFmtId="0" fontId="3" fillId="3" borderId="3" xfId="0" applyNumberFormat="1" applyFont="1" applyFill="1" applyBorder="1" applyAlignment="1">
      <alignment horizontal="left" vertical="center" wrapText="1"/>
    </xf>
    <xf numFmtId="0" fontId="37"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pplyAlignment="1">
      <alignment vertical="top" wrapText="1"/>
    </xf>
    <xf numFmtId="0" fontId="8" fillId="0" borderId="0" xfId="0" applyFont="1" applyAlignment="1">
      <alignment horizontal="left" vertical="center" wrapText="1"/>
    </xf>
    <xf numFmtId="9" fontId="25" fillId="0" borderId="3" xfId="12" applyFont="1" applyFill="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center" wrapText="1"/>
    </xf>
    <xf numFmtId="0" fontId="17" fillId="0" borderId="3" xfId="0" applyFont="1" applyBorder="1" applyAlignment="1">
      <alignment vertical="top" wrapText="1"/>
    </xf>
    <xf numFmtId="0" fontId="1" fillId="0" borderId="3" xfId="0" applyFont="1" applyBorder="1" applyAlignment="1">
      <alignment vertical="top" wrapText="1"/>
    </xf>
    <xf numFmtId="165" fontId="1" fillId="0" borderId="3" xfId="0" applyNumberFormat="1" applyFont="1" applyBorder="1" applyAlignment="1">
      <alignment vertical="top" wrapText="1"/>
    </xf>
    <xf numFmtId="165" fontId="17" fillId="0" borderId="3" xfId="0" applyNumberFormat="1" applyFont="1" applyBorder="1" applyAlignment="1">
      <alignment vertical="top" wrapText="1"/>
    </xf>
    <xf numFmtId="0" fontId="47" fillId="9" borderId="3" xfId="0" applyFont="1" applyFill="1" applyBorder="1" applyAlignment="1">
      <alignment vertical="center" wrapText="1"/>
    </xf>
    <xf numFmtId="0" fontId="38" fillId="9" borderId="3" xfId="0" applyFont="1" applyFill="1" applyBorder="1" applyAlignment="1">
      <alignment vertical="center" wrapText="1"/>
    </xf>
    <xf numFmtId="0" fontId="44" fillId="9" borderId="3" xfId="0" applyFont="1" applyFill="1" applyBorder="1" applyAlignment="1">
      <alignment vertical="center" wrapText="1"/>
    </xf>
    <xf numFmtId="0" fontId="35" fillId="9" borderId="3" xfId="0" applyFont="1" applyFill="1" applyBorder="1" applyAlignment="1">
      <alignment vertical="center" wrapText="1"/>
    </xf>
    <xf numFmtId="0" fontId="46" fillId="9" borderId="3" xfId="15" applyFill="1" applyBorder="1" applyAlignment="1">
      <alignment vertical="center" wrapText="1"/>
    </xf>
    <xf numFmtId="0" fontId="26" fillId="8" borderId="3" xfId="0" applyFont="1" applyFill="1" applyBorder="1" applyAlignment="1">
      <alignment vertical="center" wrapText="1"/>
    </xf>
    <xf numFmtId="0" fontId="8" fillId="0" borderId="0" xfId="0" applyFont="1" applyAlignment="1">
      <alignment vertical="center" wrapText="1"/>
    </xf>
    <xf numFmtId="0" fontId="15" fillId="0" borderId="0" xfId="0" applyFont="1" applyAlignment="1">
      <alignment vertical="top" wrapText="1"/>
    </xf>
    <xf numFmtId="0" fontId="21" fillId="2" borderId="0" xfId="0" applyFont="1" applyFill="1" applyAlignment="1">
      <alignment vertical="top" wrapText="1"/>
    </xf>
    <xf numFmtId="0" fontId="21" fillId="2" borderId="0" xfId="0" applyFont="1" applyFill="1" applyAlignment="1">
      <alignment horizontal="left" vertical="top" wrapText="1"/>
    </xf>
    <xf numFmtId="0" fontId="17" fillId="2" borderId="0" xfId="0" applyFont="1" applyFill="1" applyAlignment="1">
      <alignment horizontal="left" vertical="top" wrapText="1"/>
    </xf>
    <xf numFmtId="0" fontId="54" fillId="0" borderId="0" xfId="0" applyFont="1" applyAlignment="1">
      <alignment vertical="center" wrapText="1"/>
    </xf>
    <xf numFmtId="0" fontId="39" fillId="0" borderId="3" xfId="0" applyFont="1" applyBorder="1" applyAlignment="1">
      <alignment vertical="center" wrapText="1"/>
    </xf>
    <xf numFmtId="0" fontId="1" fillId="0" borderId="3" xfId="0" applyFont="1" applyBorder="1" applyAlignment="1">
      <alignment vertical="center" wrapText="1"/>
    </xf>
    <xf numFmtId="0" fontId="25" fillId="0" borderId="3" xfId="0" applyFont="1" applyBorder="1" applyAlignment="1">
      <alignment wrapText="1"/>
    </xf>
    <xf numFmtId="0" fontId="25" fillId="0" borderId="3" xfId="0" applyFont="1" applyBorder="1" applyAlignment="1">
      <alignment horizontal="center" wrapText="1"/>
    </xf>
    <xf numFmtId="9" fontId="25" fillId="0" borderId="3" xfId="0" applyNumberFormat="1" applyFont="1" applyBorder="1" applyAlignment="1">
      <alignment horizontal="center" wrapText="1"/>
    </xf>
    <xf numFmtId="0" fontId="39" fillId="0" borderId="3" xfId="0" applyFont="1" applyBorder="1" applyAlignment="1">
      <alignment horizontal="center" vertical="center" wrapText="1"/>
    </xf>
    <xf numFmtId="0" fontId="39" fillId="4" borderId="3" xfId="0" applyFont="1" applyFill="1" applyBorder="1" applyAlignment="1">
      <alignment horizontal="center" vertical="center" wrapText="1"/>
    </xf>
    <xf numFmtId="0" fontId="39" fillId="4" borderId="3" xfId="0" applyNumberFormat="1" applyFont="1" applyFill="1" applyBorder="1" applyAlignment="1">
      <alignment horizontal="center" vertical="center" wrapText="1"/>
    </xf>
    <xf numFmtId="9" fontId="39" fillId="4" borderId="3" xfId="0" applyNumberFormat="1" applyFont="1" applyFill="1" applyBorder="1" applyAlignment="1">
      <alignment horizontal="center" vertical="center" wrapText="1"/>
    </xf>
    <xf numFmtId="0" fontId="1" fillId="0" borderId="3" xfId="0" applyNumberFormat="1" applyFont="1" applyBorder="1" applyAlignment="1"/>
    <xf numFmtId="0" fontId="48" fillId="6" borderId="3" xfId="0" applyFont="1" applyFill="1" applyBorder="1" applyAlignment="1">
      <alignment horizontal="center" vertical="center" wrapText="1"/>
    </xf>
    <xf numFmtId="0" fontId="26" fillId="0" borderId="3" xfId="0" applyFont="1" applyBorder="1" applyAlignment="1">
      <alignment horizontal="center" vertical="center" wrapText="1"/>
    </xf>
    <xf numFmtId="0" fontId="35" fillId="13" borderId="3" xfId="0" applyFont="1" applyFill="1" applyBorder="1" applyAlignment="1">
      <alignment vertical="center" wrapText="1"/>
    </xf>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39" fillId="0" borderId="3" xfId="0" applyFont="1" applyFill="1" applyBorder="1" applyAlignment="1">
      <alignment vertical="center" wrapText="1"/>
    </xf>
    <xf numFmtId="0" fontId="39" fillId="15" borderId="3" xfId="0" applyFont="1" applyFill="1" applyBorder="1" applyAlignment="1">
      <alignment vertical="center" wrapText="1"/>
    </xf>
    <xf numFmtId="1" fontId="3" fillId="3" borderId="3" xfId="0" applyNumberFormat="1" applyFont="1" applyFill="1" applyBorder="1" applyAlignment="1">
      <alignment horizontal="center" vertical="center" wrapText="1"/>
    </xf>
    <xf numFmtId="0" fontId="56" fillId="0" borderId="3" xfId="0" applyFont="1" applyBorder="1" applyAlignment="1">
      <alignment vertical="center" wrapText="1"/>
    </xf>
    <xf numFmtId="0" fontId="12" fillId="14"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49" fontId="4" fillId="4" borderId="3" xfId="0" applyNumberFormat="1" applyFont="1" applyFill="1" applyBorder="1" applyAlignment="1">
      <alignment horizontal="center" vertical="center" wrapText="1"/>
    </xf>
    <xf numFmtId="0" fontId="4" fillId="4" borderId="3" xfId="0" applyNumberFormat="1" applyFont="1" applyFill="1" applyBorder="1" applyAlignment="1">
      <alignment horizontal="center" vertical="center" wrapText="1"/>
    </xf>
    <xf numFmtId="0" fontId="48" fillId="4" borderId="3" xfId="0" applyFont="1" applyFill="1" applyBorder="1" applyAlignment="1">
      <alignment horizontal="center" vertical="center" wrapText="1"/>
    </xf>
    <xf numFmtId="0" fontId="20" fillId="4" borderId="0" xfId="0" applyNumberFormat="1" applyFont="1" applyFill="1" applyAlignment="1"/>
    <xf numFmtId="0" fontId="21" fillId="4" borderId="0" xfId="0" applyFont="1" applyFill="1" applyAlignment="1">
      <alignment vertical="top" wrapText="1"/>
    </xf>
    <xf numFmtId="0" fontId="27" fillId="0" borderId="3" xfId="0" applyFont="1" applyBorder="1" applyAlignment="1">
      <alignment vertical="top" wrapText="1"/>
    </xf>
    <xf numFmtId="0" fontId="26" fillId="0" borderId="3" xfId="0" applyFont="1" applyBorder="1" applyAlignment="1"/>
    <xf numFmtId="0" fontId="35" fillId="0" borderId="3" xfId="0" applyFont="1" applyBorder="1" applyAlignment="1">
      <alignment vertical="top" wrapText="1"/>
    </xf>
    <xf numFmtId="0" fontId="39" fillId="0" borderId="20" xfId="0" applyFont="1" applyBorder="1" applyAlignment="1">
      <alignment vertical="center" wrapText="1"/>
    </xf>
    <xf numFmtId="0" fontId="39" fillId="0" borderId="21" xfId="0" applyFont="1" applyBorder="1" applyAlignment="1">
      <alignment vertical="center" wrapText="1"/>
    </xf>
    <xf numFmtId="0" fontId="25" fillId="0" borderId="21" xfId="0" applyFont="1" applyBorder="1" applyAlignment="1">
      <alignment vertical="center" wrapText="1"/>
    </xf>
    <xf numFmtId="0" fontId="39" fillId="0" borderId="22" xfId="0" applyFont="1" applyBorder="1" applyAlignment="1">
      <alignment vertical="center" wrapText="1"/>
    </xf>
    <xf numFmtId="0" fontId="1" fillId="0" borderId="3" xfId="0" applyFont="1" applyFill="1" applyBorder="1" applyAlignment="1">
      <alignment vertical="center" wrapText="1"/>
    </xf>
    <xf numFmtId="0" fontId="3" fillId="3" borderId="3" xfId="0" applyNumberFormat="1" applyFont="1" applyFill="1" applyBorder="1" applyAlignment="1">
      <alignment horizontal="left" vertical="center" wrapText="1"/>
    </xf>
    <xf numFmtId="0" fontId="1" fillId="0" borderId="3" xfId="0" applyFont="1" applyBorder="1" applyAlignment="1">
      <alignment vertical="center" wrapText="1"/>
    </xf>
    <xf numFmtId="0" fontId="16" fillId="0" borderId="0" xfId="16" applyFont="1" applyAlignment="1"/>
    <xf numFmtId="0" fontId="16" fillId="0" borderId="16" xfId="16" applyFont="1" applyBorder="1" applyAlignment="1"/>
    <xf numFmtId="0" fontId="16" fillId="0" borderId="17" xfId="16" applyFont="1" applyBorder="1" applyAlignment="1"/>
    <xf numFmtId="0" fontId="16" fillId="0" borderId="18" xfId="16" applyFont="1" applyBorder="1" applyAlignment="1"/>
    <xf numFmtId="0" fontId="16" fillId="0" borderId="19" xfId="16" applyFont="1" applyBorder="1" applyAlignment="1"/>
    <xf numFmtId="0" fontId="3" fillId="4" borderId="3" xfId="0" applyFont="1" applyFill="1" applyBorder="1" applyAlignment="1">
      <alignment horizontal="left" vertical="center" wrapText="1"/>
    </xf>
    <xf numFmtId="0" fontId="3" fillId="0" borderId="3" xfId="0" applyFont="1" applyBorder="1" applyAlignment="1">
      <alignment horizontal="left" vertical="center" wrapText="1"/>
    </xf>
    <xf numFmtId="0" fontId="1" fillId="3" borderId="3" xfId="0" applyNumberFormat="1" applyFont="1" applyFill="1" applyBorder="1" applyAlignment="1">
      <alignment vertical="center" wrapText="1"/>
    </xf>
    <xf numFmtId="0" fontId="15" fillId="8" borderId="3" xfId="0" applyFont="1" applyFill="1" applyBorder="1" applyAlignment="1">
      <alignment vertical="center" wrapText="1"/>
    </xf>
    <xf numFmtId="0" fontId="12" fillId="16" borderId="3" xfId="0" applyNumberFormat="1" applyFont="1" applyFill="1" applyBorder="1" applyAlignment="1">
      <alignment horizontal="center" vertical="center" wrapText="1"/>
    </xf>
    <xf numFmtId="0" fontId="12" fillId="19" borderId="2" xfId="0" applyNumberFormat="1" applyFont="1" applyFill="1" applyBorder="1" applyAlignment="1">
      <alignment horizontal="center" vertical="center" wrapText="1"/>
    </xf>
    <xf numFmtId="0" fontId="59" fillId="0" borderId="0" xfId="0" applyFont="1" applyFill="1" applyBorder="1" applyAlignment="1">
      <alignment vertical="center" wrapText="1"/>
    </xf>
    <xf numFmtId="0" fontId="60" fillId="0" borderId="0" xfId="0" applyFont="1" applyAlignment="1"/>
    <xf numFmtId="0" fontId="25" fillId="0" borderId="0" xfId="0" applyFont="1" applyAlignment="1"/>
    <xf numFmtId="0" fontId="58" fillId="0" borderId="0" xfId="0" applyFont="1" applyFill="1" applyBorder="1" applyAlignment="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Font="1" applyBorder="1" applyAlignment="1">
      <alignment vertical="top" wrapText="1"/>
    </xf>
    <xf numFmtId="14" fontId="0" fillId="0" borderId="3" xfId="0" applyNumberFormat="1" applyFont="1" applyBorder="1" applyAlignment="1">
      <alignment horizontal="left" vertical="top" wrapText="1"/>
    </xf>
    <xf numFmtId="0" fontId="0" fillId="0" borderId="0" xfId="0" applyFont="1" applyAlignment="1">
      <alignment horizontal="left" vertical="top" wrapText="1"/>
    </xf>
    <xf numFmtId="0" fontId="1" fillId="0" borderId="14" xfId="0" applyFont="1" applyBorder="1" applyAlignment="1">
      <alignment vertical="center" wrapText="1"/>
    </xf>
    <xf numFmtId="0" fontId="1" fillId="0" borderId="7" xfId="0" applyFont="1" applyBorder="1" applyAlignment="1">
      <alignment vertical="center" wrapText="1"/>
    </xf>
    <xf numFmtId="0" fontId="1" fillId="0" borderId="15" xfId="0" applyFont="1" applyBorder="1" applyAlignment="1">
      <alignment vertical="center" wrapText="1"/>
    </xf>
    <xf numFmtId="0" fontId="1" fillId="0" borderId="16" xfId="0" applyFont="1" applyBorder="1" applyAlignment="1">
      <alignment vertical="top" wrapText="1"/>
    </xf>
    <xf numFmtId="0" fontId="1" fillId="0" borderId="0" xfId="0" applyFont="1" applyBorder="1" applyAlignment="1">
      <alignment vertical="top" wrapText="1"/>
    </xf>
    <xf numFmtId="0" fontId="1" fillId="0" borderId="17" xfId="0" applyFont="1" applyBorder="1" applyAlignment="1">
      <alignment vertical="top" wrapText="1"/>
    </xf>
    <xf numFmtId="0" fontId="17" fillId="0" borderId="16" xfId="0" applyFont="1" applyBorder="1" applyAlignment="1">
      <alignment vertical="top" wrapText="1"/>
    </xf>
    <xf numFmtId="0" fontId="17" fillId="0" borderId="0" xfId="0" applyFont="1" applyBorder="1" applyAlignment="1">
      <alignment vertical="top" wrapText="1"/>
    </xf>
    <xf numFmtId="0" fontId="17" fillId="0" borderId="17" xfId="0" applyFont="1" applyBorder="1" applyAlignment="1">
      <alignment vertical="top" wrapText="1"/>
    </xf>
    <xf numFmtId="0" fontId="17" fillId="0" borderId="18" xfId="0" applyFont="1" applyBorder="1" applyAlignment="1">
      <alignment vertical="top" wrapText="1"/>
    </xf>
    <xf numFmtId="0" fontId="17" fillId="0" borderId="23" xfId="0" applyFont="1" applyBorder="1" applyAlignment="1">
      <alignment vertical="top" wrapText="1"/>
    </xf>
    <xf numFmtId="0" fontId="17" fillId="0" borderId="19" xfId="0" applyFont="1" applyBorder="1" applyAlignment="1">
      <alignment vertical="top" wrapText="1"/>
    </xf>
    <xf numFmtId="0" fontId="43" fillId="0" borderId="0" xfId="0" pivotButton="1" applyFont="1" applyAlignment="1">
      <alignment vertical="top" wrapText="1"/>
    </xf>
    <xf numFmtId="0" fontId="43" fillId="0" borderId="0" xfId="0" applyFont="1" applyAlignment="1">
      <alignment horizontal="left" vertical="top" wrapText="1"/>
    </xf>
    <xf numFmtId="165" fontId="43" fillId="0" borderId="0" xfId="0" applyNumberFormat="1" applyFont="1" applyAlignment="1">
      <alignment horizontal="left" vertical="top" wrapText="1"/>
    </xf>
    <xf numFmtId="0" fontId="1" fillId="0" borderId="3" xfId="0" applyFont="1" applyBorder="1" applyAlignment="1">
      <alignment horizontal="left" vertical="center" wrapText="1"/>
    </xf>
    <xf numFmtId="0" fontId="17" fillId="0" borderId="0" xfId="0" applyFont="1" applyAlignment="1">
      <alignment vertical="top" wrapText="1"/>
    </xf>
    <xf numFmtId="0" fontId="39" fillId="0" borderId="18" xfId="0" applyFont="1" applyBorder="1" applyAlignment="1">
      <alignment vertical="center" wrapText="1"/>
    </xf>
    <xf numFmtId="0" fontId="39" fillId="0" borderId="23" xfId="0" applyFont="1" applyBorder="1" applyAlignment="1">
      <alignment vertical="center" wrapText="1"/>
    </xf>
    <xf numFmtId="0" fontId="25" fillId="0" borderId="23" xfId="0" applyFont="1" applyFill="1" applyBorder="1" applyAlignment="1">
      <alignment horizontal="left" vertical="center"/>
    </xf>
    <xf numFmtId="0" fontId="25" fillId="0" borderId="19" xfId="0" applyFont="1" applyFill="1" applyBorder="1" applyAlignment="1">
      <alignment horizontal="left" vertical="center"/>
    </xf>
    <xf numFmtId="0" fontId="62" fillId="2" borderId="3" xfId="0" applyNumberFormat="1" applyFont="1" applyFill="1" applyBorder="1" applyAlignment="1">
      <alignment horizontal="center" vertical="center" wrapText="1"/>
    </xf>
    <xf numFmtId="1" fontId="62" fillId="2" borderId="3" xfId="0" applyNumberFormat="1" applyFont="1" applyFill="1" applyBorder="1" applyAlignment="1">
      <alignment horizontal="left" vertical="center" wrapText="1"/>
    </xf>
    <xf numFmtId="0" fontId="64" fillId="4" borderId="3" xfId="0" applyNumberFormat="1" applyFont="1" applyFill="1" applyBorder="1" applyAlignment="1">
      <alignment vertical="center" wrapText="1"/>
    </xf>
    <xf numFmtId="0" fontId="64" fillId="3" borderId="3" xfId="0" applyNumberFormat="1" applyFont="1" applyFill="1" applyBorder="1" applyAlignment="1">
      <alignment horizontal="left" vertical="center" wrapText="1"/>
    </xf>
    <xf numFmtId="0" fontId="64" fillId="9" borderId="3" xfId="0" applyFont="1" applyFill="1" applyBorder="1" applyAlignment="1">
      <alignment horizontal="left" vertical="center" wrapText="1"/>
    </xf>
    <xf numFmtId="0" fontId="66" fillId="21" borderId="3" xfId="0" applyFont="1" applyFill="1" applyBorder="1" applyAlignment="1">
      <alignment horizontal="left" vertical="center" wrapText="1"/>
    </xf>
    <xf numFmtId="0" fontId="66" fillId="0" borderId="3" xfId="0" applyFont="1" applyBorder="1" applyAlignment="1">
      <alignment vertical="center" wrapText="1"/>
    </xf>
    <xf numFmtId="1" fontId="66" fillId="21" borderId="3" xfId="0" applyNumberFormat="1" applyFont="1" applyFill="1" applyBorder="1" applyAlignment="1">
      <alignment vertical="center" wrapText="1"/>
    </xf>
    <xf numFmtId="0" fontId="66" fillId="0" borderId="3" xfId="0" applyFont="1" applyBorder="1" applyAlignment="1">
      <alignment horizontal="left" vertical="center" wrapText="1"/>
    </xf>
    <xf numFmtId="0" fontId="67" fillId="0" borderId="3" xfId="0" applyFont="1" applyBorder="1" applyAlignment="1">
      <alignment horizontal="left" vertical="center" wrapText="1"/>
    </xf>
    <xf numFmtId="1" fontId="66" fillId="21" borderId="3" xfId="0" applyNumberFormat="1" applyFont="1" applyFill="1" applyBorder="1" applyAlignment="1">
      <alignment horizontal="left" vertical="center" wrapText="1"/>
    </xf>
    <xf numFmtId="0" fontId="66" fillId="3" borderId="3" xfId="0" applyNumberFormat="1" applyFont="1" applyFill="1" applyBorder="1" applyAlignment="1">
      <alignment horizontal="left" vertical="center" wrapText="1"/>
    </xf>
    <xf numFmtId="1" fontId="66" fillId="3" borderId="3" xfId="0" applyNumberFormat="1" applyFont="1" applyFill="1" applyBorder="1" applyAlignment="1">
      <alignment horizontal="left" vertical="center" wrapText="1"/>
    </xf>
    <xf numFmtId="1" fontId="64" fillId="3" borderId="3" xfId="0" applyNumberFormat="1" applyFont="1" applyFill="1" applyBorder="1" applyAlignment="1">
      <alignment horizontal="left" vertical="center" wrapText="1"/>
    </xf>
    <xf numFmtId="0" fontId="65" fillId="9" borderId="3" xfId="0" applyFont="1" applyFill="1" applyBorder="1" applyAlignment="1">
      <alignment horizontal="left" vertical="center" wrapText="1"/>
    </xf>
    <xf numFmtId="0" fontId="65" fillId="3" borderId="3" xfId="0" applyNumberFormat="1" applyFont="1" applyFill="1" applyBorder="1" applyAlignment="1">
      <alignment horizontal="left" vertical="center" wrapText="1"/>
    </xf>
    <xf numFmtId="1" fontId="65" fillId="3" borderId="3" xfId="0" applyNumberFormat="1" applyFont="1" applyFill="1" applyBorder="1" applyAlignment="1">
      <alignment horizontal="left" vertical="center" wrapText="1"/>
    </xf>
    <xf numFmtId="0" fontId="67" fillId="0" borderId="3" xfId="0" applyFont="1" applyBorder="1" applyAlignment="1">
      <alignment vertical="center"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57" fillId="0" borderId="3" xfId="0" applyNumberFormat="1" applyFont="1" applyFill="1" applyBorder="1" applyAlignment="1">
      <alignment vertical="center" wrapText="1"/>
    </xf>
    <xf numFmtId="0" fontId="11" fillId="4" borderId="3" xfId="0" applyNumberFormat="1" applyFont="1" applyFill="1" applyBorder="1" applyAlignment="1">
      <alignment horizontal="left" vertical="center" wrapText="1"/>
    </xf>
    <xf numFmtId="0" fontId="0" fillId="0" borderId="3" xfId="0" applyFont="1" applyBorder="1" applyAlignment="1">
      <alignment horizontal="left" vertical="top" wrapText="1"/>
    </xf>
    <xf numFmtId="0" fontId="16" fillId="0" borderId="0" xfId="1"/>
    <xf numFmtId="0" fontId="3" fillId="3" borderId="3" xfId="0" applyNumberFormat="1" applyFont="1" applyFill="1" applyBorder="1" applyAlignment="1">
      <alignment horizontal="left" vertical="center" wrapText="1"/>
    </xf>
    <xf numFmtId="0" fontId="1" fillId="3" borderId="3" xfId="0" applyNumberFormat="1" applyFont="1" applyFill="1" applyBorder="1" applyAlignment="1">
      <alignment horizontal="left" vertical="center" wrapText="1"/>
    </xf>
    <xf numFmtId="0" fontId="3" fillId="9" borderId="3" xfId="0" applyFont="1" applyFill="1" applyBorder="1" applyAlignment="1">
      <alignment horizontal="left" vertical="center" wrapText="1"/>
    </xf>
    <xf numFmtId="1" fontId="25" fillId="21" borderId="3" xfId="0" applyNumberFormat="1" applyFont="1" applyFill="1" applyBorder="1" applyAlignment="1">
      <alignment vertical="center" wrapText="1"/>
    </xf>
    <xf numFmtId="0" fontId="25" fillId="21" borderId="3" xfId="0" applyFont="1" applyFill="1" applyBorder="1" applyAlignment="1">
      <alignment horizontal="left" vertical="center" wrapText="1"/>
    </xf>
    <xf numFmtId="0" fontId="25" fillId="3" borderId="3" xfId="0" applyNumberFormat="1" applyFont="1" applyFill="1" applyBorder="1" applyAlignment="1">
      <alignment horizontal="left" vertical="center" wrapText="1"/>
    </xf>
    <xf numFmtId="1" fontId="25" fillId="3" borderId="3" xfId="0" applyNumberFormat="1" applyFont="1" applyFill="1" applyBorder="1" applyAlignment="1">
      <alignment horizontal="left" vertical="center" wrapText="1"/>
    </xf>
    <xf numFmtId="0" fontId="42" fillId="0" borderId="3" xfId="0" applyFont="1" applyBorder="1" applyAlignment="1">
      <alignment horizontal="left" vertical="center" wrapText="1"/>
    </xf>
    <xf numFmtId="1" fontId="25" fillId="21" borderId="3" xfId="0" applyNumberFormat="1" applyFont="1" applyFill="1" applyBorder="1" applyAlignment="1">
      <alignment horizontal="left" vertical="center" wrapText="1"/>
    </xf>
    <xf numFmtId="0" fontId="3" fillId="3" borderId="3" xfId="0" applyNumberFormat="1" applyFont="1" applyFill="1" applyBorder="1" applyAlignment="1">
      <alignment horizontal="left" vertical="center" wrapText="1"/>
    </xf>
    <xf numFmtId="0" fontId="1" fillId="3" borderId="3" xfId="0" applyNumberFormat="1" applyFont="1" applyFill="1" applyBorder="1" applyAlignment="1">
      <alignment horizontal="left" vertical="center" wrapText="1"/>
    </xf>
    <xf numFmtId="0" fontId="16" fillId="0" borderId="14" xfId="16" applyFont="1" applyFill="1" applyBorder="1" applyAlignment="1">
      <alignment horizontal="left"/>
    </xf>
    <xf numFmtId="0" fontId="16" fillId="0" borderId="15" xfId="16" applyFont="1" applyFill="1" applyBorder="1" applyAlignment="1">
      <alignment horizontal="left"/>
    </xf>
    <xf numFmtId="0" fontId="53" fillId="17" borderId="3" xfId="17" applyFont="1" applyFill="1" applyBorder="1" applyAlignment="1">
      <alignment horizontal="left" vertical="center" wrapText="1"/>
    </xf>
    <xf numFmtId="0" fontId="68" fillId="16" borderId="1" xfId="0" applyFont="1" applyFill="1" applyBorder="1" applyAlignment="1">
      <alignment horizontal="center" vertical="center" wrapText="1"/>
    </xf>
    <xf numFmtId="0" fontId="68" fillId="16" borderId="2"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53" fillId="17" borderId="3"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25" fillId="0" borderId="3"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7" fillId="6" borderId="3"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3" fillId="3" borderId="3" xfId="0" applyNumberFormat="1" applyFont="1" applyFill="1" applyBorder="1" applyAlignment="1">
      <alignment horizontal="left" vertical="center" wrapText="1"/>
    </xf>
    <xf numFmtId="0" fontId="37" fillId="3" borderId="3" xfId="0" applyNumberFormat="1" applyFont="1" applyFill="1" applyBorder="1" applyAlignment="1">
      <alignment horizontal="left" vertical="center" wrapText="1"/>
    </xf>
    <xf numFmtId="0" fontId="4" fillId="2" borderId="3" xfId="0" applyNumberFormat="1" applyFont="1" applyFill="1" applyBorder="1" applyAlignment="1">
      <alignment horizontal="left" vertical="center" wrapText="1"/>
    </xf>
    <xf numFmtId="0" fontId="26" fillId="9" borderId="3" xfId="0" applyFont="1" applyFill="1" applyBorder="1" applyAlignment="1">
      <alignment vertical="center" wrapText="1"/>
    </xf>
    <xf numFmtId="0" fontId="38" fillId="9" borderId="3" xfId="0" applyFont="1" applyFill="1" applyBorder="1" applyAlignment="1">
      <alignment vertical="center" wrapText="1"/>
    </xf>
    <xf numFmtId="0" fontId="7" fillId="16" borderId="3" xfId="0" applyNumberFormat="1" applyFont="1" applyFill="1" applyBorder="1" applyAlignment="1">
      <alignment horizontal="left" vertical="center" wrapText="1"/>
    </xf>
    <xf numFmtId="0" fontId="14" fillId="5"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5" fillId="0" borderId="3" xfId="0" applyNumberFormat="1" applyFont="1" applyFill="1" applyBorder="1" applyAlignment="1">
      <alignment horizontal="left" vertical="center" wrapText="1"/>
    </xf>
    <xf numFmtId="0" fontId="57" fillId="4" borderId="3" xfId="0" applyNumberFormat="1" applyFont="1" applyFill="1" applyBorder="1" applyAlignment="1">
      <alignment vertical="center" wrapText="1"/>
    </xf>
    <xf numFmtId="0" fontId="21" fillId="7" borderId="3" xfId="0" applyNumberFormat="1" applyFont="1" applyFill="1" applyBorder="1" applyAlignment="1">
      <alignment horizontal="left" vertical="center" wrapText="1"/>
    </xf>
    <xf numFmtId="0" fontId="5" fillId="4" borderId="3" xfId="0" applyNumberFormat="1" applyFont="1" applyFill="1" applyBorder="1" applyAlignment="1">
      <alignment horizontal="left" vertical="center" wrapText="1"/>
    </xf>
    <xf numFmtId="0" fontId="38" fillId="3" borderId="3" xfId="0" applyNumberFormat="1" applyFont="1" applyFill="1" applyBorder="1" applyAlignment="1">
      <alignment horizontal="left" vertical="center" wrapText="1"/>
    </xf>
    <xf numFmtId="0" fontId="1" fillId="3"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7" fillId="18" borderId="4" xfId="0" applyNumberFormat="1" applyFont="1" applyFill="1" applyBorder="1" applyAlignment="1">
      <alignment horizontal="left" vertical="center" wrapText="1"/>
    </xf>
    <xf numFmtId="0" fontId="7" fillId="18" borderId="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0" fontId="25" fillId="0" borderId="3" xfId="0" applyFont="1" applyFill="1" applyBorder="1" applyAlignment="1">
      <alignment horizontal="left" vertical="center"/>
    </xf>
    <xf numFmtId="0" fontId="39" fillId="0" borderId="18" xfId="0" applyFont="1" applyBorder="1" applyAlignment="1">
      <alignment horizontal="center" vertical="center" wrapText="1"/>
    </xf>
    <xf numFmtId="0" fontId="39" fillId="0" borderId="23" xfId="0" applyFont="1" applyBorder="1" applyAlignment="1">
      <alignment horizontal="center" vertical="center" wrapText="1"/>
    </xf>
    <xf numFmtId="0" fontId="39" fillId="0" borderId="19" xfId="0" applyFont="1" applyBorder="1" applyAlignment="1">
      <alignment horizontal="center" vertical="center" wrapText="1"/>
    </xf>
    <xf numFmtId="0" fontId="7" fillId="19" borderId="3" xfId="0" applyNumberFormat="1" applyFont="1" applyFill="1" applyBorder="1" applyAlignment="1">
      <alignment horizontal="left" vertical="center" wrapText="1"/>
    </xf>
    <xf numFmtId="0" fontId="7" fillId="19"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1" xfId="0" applyFont="1" applyBorder="1" applyAlignment="1">
      <alignment horizontal="left" vertical="center" wrapText="1"/>
    </xf>
    <xf numFmtId="0" fontId="25" fillId="0" borderId="2" xfId="0" applyFont="1" applyBorder="1" applyAlignment="1">
      <alignment horizontal="left" vertical="center" wrapText="1"/>
    </xf>
    <xf numFmtId="0" fontId="4" fillId="2" borderId="14"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8" xfId="0" applyNumberFormat="1" applyFont="1" applyFill="1" applyBorder="1" applyAlignment="1">
      <alignment horizontal="left" vertical="center" wrapText="1"/>
    </xf>
    <xf numFmtId="0" fontId="14" fillId="5" borderId="23" xfId="0" applyNumberFormat="1" applyFont="1" applyFill="1" applyBorder="1" applyAlignment="1">
      <alignment horizontal="left" vertical="center" wrapText="1"/>
    </xf>
    <xf numFmtId="0" fontId="17" fillId="0" borderId="0" xfId="0" applyFont="1" applyAlignment="1">
      <alignment vertical="top" wrapText="1"/>
    </xf>
    <xf numFmtId="0" fontId="17" fillId="0" borderId="0" xfId="0" applyFont="1" applyAlignment="1">
      <alignment horizontal="left" vertical="top" wrapText="1"/>
    </xf>
    <xf numFmtId="0" fontId="8" fillId="4" borderId="3" xfId="0" applyFont="1" applyFill="1" applyBorder="1" applyAlignment="1">
      <alignment horizontal="left" vertical="center" wrapText="1"/>
    </xf>
    <xf numFmtId="0" fontId="54" fillId="0" borderId="0" xfId="0" applyFont="1" applyAlignment="1">
      <alignment horizontal="center" vertical="center" wrapText="1"/>
    </xf>
    <xf numFmtId="0" fontId="8" fillId="0" borderId="3" xfId="0" applyFont="1" applyBorder="1" applyAlignment="1">
      <alignment horizontal="center" vertical="center" wrapText="1"/>
    </xf>
    <xf numFmtId="0" fontId="62" fillId="2" borderId="3" xfId="0" applyNumberFormat="1" applyFont="1" applyFill="1" applyBorder="1" applyAlignment="1">
      <alignment horizontal="left" vertical="center" wrapText="1"/>
    </xf>
    <xf numFmtId="0" fontId="63" fillId="5" borderId="3" xfId="0" applyNumberFormat="1" applyFont="1" applyFill="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45" fillId="5" borderId="1" xfId="0" applyFont="1" applyFill="1" applyBorder="1" applyAlignment="1">
      <alignment horizontal="left" vertical="center" wrapText="1"/>
    </xf>
    <xf numFmtId="0" fontId="45" fillId="5" borderId="4" xfId="0" applyFont="1" applyFill="1" applyBorder="1" applyAlignment="1">
      <alignment horizontal="left" vertical="center" wrapText="1"/>
    </xf>
    <xf numFmtId="0" fontId="45"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2" xfId="0" applyFont="1" applyBorder="1" applyAlignment="1">
      <alignment horizontal="center" vertical="center" wrapText="1"/>
    </xf>
    <xf numFmtId="0" fontId="24" fillId="15" borderId="1" xfId="0" applyFont="1" applyFill="1" applyBorder="1" applyAlignment="1">
      <alignment horizontal="left" vertical="center"/>
    </xf>
    <xf numFmtId="0" fontId="24" fillId="15" borderId="2" xfId="0" applyFont="1" applyFill="1" applyBorder="1" applyAlignment="1">
      <alignment horizontal="left" vertical="center"/>
    </xf>
    <xf numFmtId="0" fontId="7" fillId="14" borderId="3" xfId="0" applyNumberFormat="1" applyFont="1" applyFill="1" applyBorder="1" applyAlignment="1">
      <alignment horizontal="left" vertical="center" wrapText="1"/>
    </xf>
    <xf numFmtId="0" fontId="7" fillId="14"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165" fontId="17" fillId="0" borderId="3" xfId="0" applyNumberFormat="1" applyFont="1" applyBorder="1" applyAlignment="1">
      <alignment horizontal="left" vertical="top" wrapText="1"/>
    </xf>
    <xf numFmtId="0" fontId="8" fillId="0" borderId="3" xfId="0" applyFont="1" applyBorder="1" applyAlignment="1">
      <alignment horizontal="left" vertical="center" wrapText="1"/>
    </xf>
    <xf numFmtId="165" fontId="8" fillId="0" borderId="3" xfId="0" applyNumberFormat="1" applyFont="1" applyBorder="1" applyAlignment="1">
      <alignment horizontal="left" vertical="center" wrapText="1"/>
    </xf>
    <xf numFmtId="165" fontId="1" fillId="0" borderId="3" xfId="0" applyNumberFormat="1"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0" fontId="59" fillId="20" borderId="1" xfId="0" applyFont="1" applyFill="1" applyBorder="1" applyAlignment="1">
      <alignment horizontal="left" vertical="center" wrapText="1"/>
    </xf>
    <xf numFmtId="0" fontId="59" fillId="20" borderId="4" xfId="0" applyFont="1" applyFill="1" applyBorder="1" applyAlignment="1">
      <alignment horizontal="left" vertical="center" wrapText="1"/>
    </xf>
    <xf numFmtId="0" fontId="59" fillId="20" borderId="2" xfId="0" applyFont="1" applyFill="1" applyBorder="1" applyAlignment="1">
      <alignment horizontal="left" vertical="center" wrapText="1"/>
    </xf>
    <xf numFmtId="0" fontId="61" fillId="8" borderId="1" xfId="0" applyFont="1" applyFill="1" applyBorder="1" applyAlignment="1">
      <alignment horizontal="left" vertical="center" wrapText="1"/>
    </xf>
    <xf numFmtId="0" fontId="61" fillId="8" borderId="4" xfId="0" applyFont="1" applyFill="1" applyBorder="1" applyAlignment="1">
      <alignment horizontal="left" vertical="center" wrapText="1"/>
    </xf>
    <xf numFmtId="0" fontId="61" fillId="8" borderId="2" xfId="0" applyFont="1" applyFill="1" applyBorder="1" applyAlignment="1">
      <alignment horizontal="left" vertical="center"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5" builtinId="8"/>
    <cellStyle name="Normal" xfId="0" builtinId="0"/>
    <cellStyle name="Normal 2" xfId="1"/>
    <cellStyle name="Normal 2 2" xfId="10"/>
    <cellStyle name="Normal 2 2 2" xfId="16"/>
    <cellStyle name="Normal 2 3" xfId="13"/>
    <cellStyle name="Normal 3" xfId="8"/>
    <cellStyle name="Normal 3 2" xfId="17"/>
    <cellStyle name="Normal 4" xfId="11"/>
    <cellStyle name="Percent" xfId="14" builtinId="5"/>
    <cellStyle name="Percent 2" xfId="9"/>
    <cellStyle name="Percent 3" xfId="12"/>
  </cellStyles>
  <dxfs count="2693">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val="0"/>
        <i val="0"/>
        <strike val="0"/>
        <condense val="0"/>
        <extend val="0"/>
        <outline val="0"/>
        <shadow val="0"/>
        <u val="none"/>
        <vertAlign val="baseline"/>
        <sz val="11"/>
        <color indexed="8"/>
        <name val="Verdana"/>
        <scheme val="none"/>
      </font>
      <numFmt numFmtId="165" formatCode="0;;;@"/>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Verdana"/>
        <scheme val="none"/>
      </font>
      <numFmt numFmtId="165" formatCode="0;;;@"/>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Verdana"/>
        <scheme val="none"/>
      </font>
      <numFmt numFmtId="165" formatCode="0;;;@"/>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Verdana"/>
        <scheme val="none"/>
      </font>
      <numFmt numFmtId="165" formatCode="0;;;@"/>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Verdana"/>
        <scheme val="none"/>
      </font>
      <numFmt numFmtId="165" formatCode="0;;;@"/>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Verdana"/>
        <scheme val="none"/>
      </font>
      <numFmt numFmtId="165" formatCode="0;;;@"/>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Verdana"/>
        <scheme val="none"/>
      </font>
      <numFmt numFmtId="165" formatCode="0;;;@"/>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Verdana"/>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val="0"/>
        <strike val="0"/>
        <condense val="0"/>
        <extend val="0"/>
        <outline val="0"/>
        <shadow val="0"/>
        <u val="none"/>
        <vertAlign val="baseline"/>
        <sz val="11"/>
        <color indexed="8"/>
        <name val="Verdana"/>
        <scheme val="none"/>
      </font>
      <alignment horizontal="general" vertical="top" textRotation="0" wrapText="1" indent="0" justifyLastLine="0" shrinkToFit="0" readingOrder="0"/>
    </dxf>
    <dxf>
      <font>
        <b val="0"/>
        <i/>
        <strike val="0"/>
        <condense val="0"/>
        <extend val="0"/>
        <outline val="0"/>
        <shadow val="0"/>
        <u val="none"/>
        <vertAlign val="baseline"/>
        <sz val="11"/>
        <color rgb="FF000000"/>
        <name val="Verdana"/>
        <scheme val="none"/>
      </font>
      <fill>
        <patternFill patternType="solid">
          <fgColor indexed="64"/>
          <bgColor rgb="FFD9D9D9"/>
        </patternFill>
      </fill>
      <alignment horizontal="general" vertical="bottom" textRotation="0" wrapText="0" indent="0" justifyLastLine="0" shrinkToFit="0" readingOrder="0"/>
    </dxf>
    <dxf>
      <font>
        <color auto="1"/>
      </font>
      <fill>
        <patternFill patternType="solid">
          <bgColor rgb="FFFF0000"/>
        </patternFill>
      </fill>
      <border>
        <left style="thin">
          <color auto="1"/>
        </left>
        <right style="thin">
          <color auto="1"/>
        </right>
        <top style="thin">
          <color auto="1"/>
        </top>
        <bottom style="thin">
          <color auto="1"/>
        </bottom>
      </border>
    </dxf>
    <dxf>
      <font>
        <color theme="1"/>
      </font>
      <fill>
        <patternFill>
          <bgColor rgb="FF00B050"/>
        </patternFill>
      </fill>
      <border>
        <left style="thin">
          <color rgb="FF00B050"/>
        </left>
        <right style="thin">
          <color rgb="FF00B050"/>
        </right>
        <top style="thin">
          <color rgb="FF00B050"/>
        </top>
        <bottom style="thin">
          <color rgb="FF00B050"/>
        </bottom>
      </border>
    </dxf>
    <dxf>
      <font>
        <color auto="1"/>
      </font>
      <fill>
        <patternFill>
          <bgColor rgb="FF00B0F0"/>
        </patternFill>
      </fill>
      <border>
        <left style="thin">
          <color auto="1"/>
        </left>
        <right style="thin">
          <color auto="1"/>
        </right>
        <top style="thin">
          <color auto="1"/>
        </top>
        <bottom style="thin">
          <color auto="1"/>
        </bottom>
      </border>
    </dxf>
    <dxf>
      <font>
        <b/>
        <i val="0"/>
        <strike val="0"/>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FFC000"/>
        </patternFill>
      </fill>
      <border>
        <left style="thin">
          <color auto="1"/>
        </left>
        <right style="thin">
          <color auto="1"/>
        </right>
        <top style="thin">
          <color auto="1"/>
        </top>
        <bottom style="thin">
          <color auto="1"/>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4.9989318521683403E-2"/>
      </font>
      <fill>
        <patternFill>
          <bgColor theme="0" tint="-4.9989318521683403E-2"/>
        </patternFill>
      </fill>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spPr>
            <a:solidFill>
              <a:srgbClr val="FF0000"/>
            </a:solidFill>
          </c:spPr>
          <c:invertIfNegative val="0"/>
          <c:cat>
            <c:strRef>
              <c:f>Questions!$T$2:$T$21</c:f>
              <c:strCache>
                <c:ptCount val="13"/>
                <c:pt idx="0">
                  <c:v>Documentation</c:v>
                </c:pt>
                <c:pt idx="1">
                  <c:v>Application Security</c:v>
                </c:pt>
                <c:pt idx="2">
                  <c:v>Authentication, Authorization, and Accounting</c:v>
                </c:pt>
                <c:pt idx="3">
                  <c:v>Change Management</c:v>
                </c:pt>
                <c:pt idx="4">
                  <c:v>Company</c:v>
                </c:pt>
                <c:pt idx="5">
                  <c:v>Data</c:v>
                </c:pt>
                <c:pt idx="6">
                  <c:v>Database</c:v>
                </c:pt>
                <c:pt idx="7">
                  <c:v>Datacenter</c:v>
                </c:pt>
                <c:pt idx="8">
                  <c:v>Firewalls, IDS, IPS, and Networking</c:v>
                </c:pt>
                <c:pt idx="9">
                  <c:v>Physical Security</c:v>
                </c:pt>
                <c:pt idx="10">
                  <c:v>Policies, Procedures, and Processes</c:v>
                </c:pt>
                <c:pt idx="11">
                  <c:v>Systems Management &amp; Configuration</c:v>
                </c:pt>
                <c:pt idx="12">
                  <c:v>Vulnerability Scanning</c:v>
                </c:pt>
              </c:strCache>
            </c:strRef>
          </c:cat>
          <c:val>
            <c:numRef>
              <c:f>Questions!$Y$2:$Y$21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formatCode="0%">
                  <c:v>0</c:v>
                </c:pt>
                <c:pt idx="14" formatCode="0%">
                  <c:v>0</c:v>
                </c:pt>
                <c:pt idx="15" formatCode="0%">
                  <c:v>0</c:v>
                </c:pt>
                <c:pt idx="16" formatCode="0%">
                  <c:v>0</c:v>
                </c:pt>
                <c:pt idx="17" formatCode="0%">
                  <c:v>0</c:v>
                </c:pt>
                <c:pt idx="18" formatCode="0%">
                  <c:v>0</c:v>
                </c:pt>
                <c:pt idx="19" formatCode="0%">
                  <c:v>0</c:v>
                </c:pt>
              </c:numCache>
            </c:numRef>
          </c:val>
          <c:extLst>
            <c:ext xmlns:c16="http://schemas.microsoft.com/office/drawing/2014/chart" uri="{C3380CC4-5D6E-409C-BE32-E72D297353CC}">
              <c16:uniqueId val="{00000006-E007-42A3-87BD-6B8D651659D1}"/>
            </c:ext>
          </c:extLst>
        </c:ser>
        <c:ser>
          <c:idx val="0"/>
          <c:order val="1"/>
          <c:spPr>
            <a:solidFill>
              <a:srgbClr val="FF0000"/>
            </a:solidFill>
            <a:ln>
              <a:noFill/>
            </a:ln>
            <a:effectLst/>
            <a:sp3d/>
          </c:spPr>
          <c:invertIfNegative val="0"/>
          <c:cat>
            <c:strRef>
              <c:f>Questions!$T$2:$T$21</c:f>
              <c:strCache>
                <c:ptCount val="13"/>
                <c:pt idx="0">
                  <c:v>Documentation</c:v>
                </c:pt>
                <c:pt idx="1">
                  <c:v>Application Security</c:v>
                </c:pt>
                <c:pt idx="2">
                  <c:v>Authentication, Authorization, and Accounting</c:v>
                </c:pt>
                <c:pt idx="3">
                  <c:v>Change Management</c:v>
                </c:pt>
                <c:pt idx="4">
                  <c:v>Company</c:v>
                </c:pt>
                <c:pt idx="5">
                  <c:v>Data</c:v>
                </c:pt>
                <c:pt idx="6">
                  <c:v>Database</c:v>
                </c:pt>
                <c:pt idx="7">
                  <c:v>Datacenter</c:v>
                </c:pt>
                <c:pt idx="8">
                  <c:v>Firewalls, IDS, IPS, and Networking</c:v>
                </c:pt>
                <c:pt idx="9">
                  <c:v>Physical Security</c:v>
                </c:pt>
                <c:pt idx="10">
                  <c:v>Policies, Procedures, and Processes</c:v>
                </c:pt>
                <c:pt idx="11">
                  <c:v>Systems Management &amp; Configuration</c:v>
                </c:pt>
                <c:pt idx="12">
                  <c:v>Vulnerability Scanning</c:v>
                </c:pt>
              </c:strCache>
            </c:strRef>
          </c:cat>
          <c:val>
            <c:numRef>
              <c:f>Questions!$Y$2:$Y$21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formatCode="0%">
                  <c:v>0</c:v>
                </c:pt>
                <c:pt idx="14" formatCode="0%">
                  <c:v>0</c:v>
                </c:pt>
                <c:pt idx="15" formatCode="0%">
                  <c:v>0</c:v>
                </c:pt>
                <c:pt idx="16" formatCode="0%">
                  <c:v>0</c:v>
                </c:pt>
                <c:pt idx="17" formatCode="0%">
                  <c:v>0</c:v>
                </c:pt>
                <c:pt idx="18" formatCode="0%">
                  <c:v>0</c:v>
                </c:pt>
                <c:pt idx="19" formatCode="0%">
                  <c:v>0</c:v>
                </c:pt>
              </c:numCache>
            </c:numRef>
          </c:val>
          <c:extLst>
            <c:ext xmlns:c16="http://schemas.microsoft.com/office/drawing/2014/chart" uri="{C3380CC4-5D6E-409C-BE32-E72D297353CC}">
              <c16:uniqueId val="{00000005-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tiff"/><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88900</xdr:colOff>
      <xdr:row>0</xdr:row>
      <xdr:rowOff>88900</xdr:rowOff>
    </xdr:from>
    <xdr:ext cx="2374900" cy="520700"/>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203200</xdr:colOff>
      <xdr:row>1</xdr:row>
      <xdr:rowOff>88901</xdr:rowOff>
    </xdr:from>
    <xdr:ext cx="8788400" cy="9042400"/>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3200" y="622301"/>
          <a:ext cx="8788400" cy="904240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lang="en-US"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strike="noStrike" baseline="0">
              <a:solidFill>
                <a:schemeClr val="dk1"/>
              </a:solidFill>
              <a:latin typeface="Verdana"/>
              <a:ea typeface="Verdana"/>
              <a:cs typeface="Verdana"/>
              <a:sym typeface="Verdana"/>
            </a:rPr>
            <a:t> sets</a:t>
          </a:r>
          <a:r>
            <a:rPr lang="en-US" sz="1100" b="0" i="0" u="none" strike="noStrike">
              <a:solidFill>
                <a:schemeClr val="dk1"/>
              </a:solidFill>
              <a:latin typeface="Verdana"/>
              <a:ea typeface="Verdana"/>
              <a:cs typeface="Verdana"/>
              <a:sym typeface="Verdana"/>
            </a:rPr>
            <a:t> provided in the</a:t>
          </a:r>
          <a:r>
            <a:rPr lang="en-US" sz="1100" b="0" i="0" u="none" strike="noStrike" baseline="0">
              <a:solidFill>
                <a:schemeClr val="dk1"/>
              </a:solidFill>
              <a:latin typeface="Verdana"/>
              <a:ea typeface="Verdana"/>
              <a:cs typeface="Verdana"/>
              <a:sym typeface="Verdana"/>
            </a:rPr>
            <a:t> toolkit</a:t>
          </a:r>
          <a:r>
            <a:rPr lang="en-US" sz="1100" b="0" i="0" u="none" strike="noStrike">
              <a:solidFill>
                <a:schemeClr val="dk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a:t>
          </a:r>
          <a:r>
            <a:rPr lang="en-US" sz="1100" b="0" i="0" u="none" strike="noStrike" baseline="0">
              <a:solidFill>
                <a:schemeClr val="dk1"/>
              </a:solidFill>
              <a:latin typeface="Verdana"/>
              <a:ea typeface="Verdana"/>
              <a:cs typeface="Verdana"/>
              <a:sym typeface="Verdana"/>
            </a:rPr>
            <a:t> - Full) </a:t>
          </a:r>
          <a:r>
            <a:rPr lang="en-US" sz="1100" b="0" i="0" u="none" strike="noStrike">
              <a:solidFill>
                <a:schemeClr val="dk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tx1"/>
              </a:solidFill>
              <a:latin typeface="Verdana"/>
              <a:ea typeface="Verdana"/>
              <a:cs typeface="Verdana"/>
              <a:sym typeface="Verdana"/>
            </a:rPr>
            <a:t>HECVAT</a:t>
          </a:r>
          <a:r>
            <a:rPr lang="en-US" sz="1100" b="1" i="0" u="none" strike="noStrike" baseline="0">
              <a:solidFill>
                <a:schemeClr val="tx1"/>
              </a:solidFill>
              <a:latin typeface="Verdana"/>
              <a:ea typeface="Verdana"/>
              <a:cs typeface="Verdana"/>
              <a:sym typeface="Verdana"/>
            </a:rPr>
            <a:t> - Triage</a:t>
          </a:r>
          <a:r>
            <a:rPr lang="en-US" sz="1100" b="0" i="0" u="none" strike="noStrike">
              <a:solidFill>
                <a:schemeClr val="dk1"/>
              </a:solidFill>
              <a:latin typeface="Verdana"/>
              <a:ea typeface="Verdana"/>
              <a:cs typeface="Verdana"/>
              <a:sym typeface="Verdana"/>
            </a:rPr>
            <a:t>: Used to initiate risk/security assessment requests</a:t>
          </a:r>
          <a:r>
            <a:rPr lang="en-US" sz="1100" b="0" i="0" u="none" strike="noStrike" baseline="0">
              <a:solidFill>
                <a:schemeClr val="dk1"/>
              </a:solidFill>
              <a:latin typeface="Verdana"/>
              <a:ea typeface="Verdana"/>
              <a:cs typeface="Verdana"/>
              <a:sym typeface="Verdana"/>
            </a:rPr>
            <a:t> - review to determine assessment requirements</a:t>
          </a:r>
          <a:endParaRPr lang="en-US"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2019</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37722</xdr:colOff>
      <xdr:row>12</xdr:row>
      <xdr:rowOff>150892</xdr:rowOff>
    </xdr:from>
    <xdr:to>
      <xdr:col>1</xdr:col>
      <xdr:colOff>5897326</xdr:colOff>
      <xdr:row>12</xdr:row>
      <xdr:rowOff>1419174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1798118" y="7267922"/>
          <a:ext cx="5859604" cy="1268282"/>
        </a:xfrm>
        <a:prstGeom prst="rect">
          <a:avLst/>
        </a:prstGeom>
      </xdr:spPr>
    </xdr:pic>
    <xdr:clientData/>
  </xdr:twoCellAnchor>
  <xdr:twoCellAnchor editAs="oneCell">
    <xdr:from>
      <xdr:col>0</xdr:col>
      <xdr:colOff>75444</xdr:colOff>
      <xdr:row>15</xdr:row>
      <xdr:rowOff>314356</xdr:rowOff>
    </xdr:from>
    <xdr:to>
      <xdr:col>1</xdr:col>
      <xdr:colOff>7294469</xdr:colOff>
      <xdr:row>15</xdr:row>
      <xdr:rowOff>1181978</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2"/>
        <a:stretch>
          <a:fillRect/>
        </a:stretch>
      </xdr:blipFill>
      <xdr:spPr>
        <a:xfrm>
          <a:off x="75444" y="9971386"/>
          <a:ext cx="9322321" cy="8676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774700</xdr:colOff>
      <xdr:row>8</xdr:row>
      <xdr:rowOff>0</xdr:rowOff>
    </xdr:from>
    <xdr:to>
      <xdr:col>7</xdr:col>
      <xdr:colOff>1512888</xdr:colOff>
      <xdr:row>43</xdr:row>
      <xdr:rowOff>19050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88900</xdr:colOff>
      <xdr:row>0</xdr:row>
      <xdr:rowOff>63500</xdr:rowOff>
    </xdr:from>
    <xdr:ext cx="7612588" cy="15671800"/>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8900" y="63500"/>
          <a:ext cx="7612588" cy="1567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effectLst/>
            <a:latin typeface="Verdana" charset="0"/>
            <a:ea typeface="Verdana" charset="0"/>
            <a:cs typeface="Verdana" charset="0"/>
          </a:endParaRPr>
        </a:p>
        <a:p>
          <a:pPr rtl="0"/>
          <a:r>
            <a:rPr lang="en-US" sz="1100" b="0" i="0" u="none" strike="noStrik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strike="noStrike">
            <a:solidFill>
              <a:schemeClr val="tx1"/>
            </a:solidFill>
            <a:effectLst/>
            <a:latin typeface="Verdana" charset="0"/>
            <a:ea typeface="Verdana" charset="0"/>
            <a:cs typeface="Verdana" charset="0"/>
          </a:endParaRPr>
        </a:p>
        <a:p>
          <a:r>
            <a:rPr lang="en-US" sz="1100" b="0" i="0" u="none" strike="noStrik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Valerie Vogel, EDUCAUSE</a:t>
          </a:r>
        </a:p>
        <a:p>
          <a:pPr rtl="0"/>
          <a:endParaRPr lang="en-US" sz="1100" b="0" i="0" u="none" strike="noStrike">
            <a:solidFill>
              <a:schemeClr val="tx1"/>
            </a:solidFill>
            <a:effectLst/>
            <a:latin typeface="Verdana" charset="0"/>
            <a:ea typeface="Verdana" charset="0"/>
            <a:cs typeface="Verdana" charset="0"/>
          </a:endParaRPr>
        </a:p>
        <a:p>
          <a:pPr rtl="0"/>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Susan</a:t>
          </a:r>
          <a:r>
            <a:rPr lang="en-US" sz="1100" b="0" i="0" u="none" strike="noStrike" baseline="0">
              <a:solidFill>
                <a:schemeClr val="tx1"/>
              </a:solidFill>
              <a:effectLst/>
              <a:latin typeface="Verdana" charset="0"/>
              <a:ea typeface="Verdana" charset="0"/>
              <a:cs typeface="Verdana" charset="0"/>
            </a:rPr>
            <a:t> Coleman</a:t>
          </a:r>
          <a:r>
            <a:rPr lang="en-US" sz="1100" b="0" i="0" u="none" strike="noStrik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Samantha</a:t>
          </a:r>
          <a:r>
            <a:rPr lang="en-US" sz="1100" b="0" i="0" u="none" strike="noStrik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Matthew Dalton, University of Massachusetts Amherst</a:t>
          </a:r>
          <a:endParaRPr lang="en-US" sz="1100" b="0" i="0" u="none" strike="noStrik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Kolin</a:t>
          </a:r>
          <a:r>
            <a:rPr lang="en-US" sz="1100" b="0" i="0" u="none" strike="noStrik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Alex Jalso, West Virginia University</a:t>
          </a:r>
          <a:endParaRPr lang="en-US" sz="1100" b="0" i="0" u="none" strike="noStrik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effectLst/>
          </a:endParaRPr>
        </a:p>
        <a:p>
          <a:pPr rtl="0"/>
          <a:r>
            <a:rPr lang="en-US" sz="1100" b="0" i="0" u="none" strike="noStrik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Valerie Vogel, EDUCAUSE</a:t>
          </a:r>
        </a:p>
        <a:p>
          <a:endParaRPr lang="en-US">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c115" refreshedDate="43487.613428819444" createdVersion="6" refreshedVersion="6" minRefreshableVersion="3" recordCount="267">
  <cacheSource type="worksheet">
    <worksheetSource ref="A1:S268" sheet="Questions"/>
  </cacheSource>
  <cacheFields count="19">
    <cacheField name="Order" numFmtId="0">
      <sharedItems containsString="0" containsBlank="1" containsNumber="1" containsInteger="1" minValue="1" maxValue="274" count="275">
        <n v="1"/>
        <n v="2"/>
        <n v="3"/>
        <n v="4"/>
        <m/>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74" u="1"/>
        <n v="273" u="1"/>
        <n v="272" u="1"/>
        <n v="271" u="1"/>
        <n v="270" u="1"/>
        <n v="269" u="1"/>
        <n v="268" u="1"/>
        <n v="267" u="1"/>
      </sharedItems>
    </cacheField>
    <cacheField name="ID" numFmtId="0">
      <sharedItems containsBlank="1" count="277">
        <s v="QUAL-01"/>
        <s v="QUAL-02"/>
        <s v="QUAL-03"/>
        <s v="QUAL-04"/>
        <m/>
        <s v="QUAL-05"/>
        <s v="QUAL-06"/>
        <s v="QUAL-07"/>
        <s v="DOCU-01"/>
        <s v="DOCU-02"/>
        <s v="DOCU-03"/>
        <s v="DOCU-04"/>
        <s v="DOCU-05"/>
        <s v="DOCU-06"/>
        <s v="THRD-01"/>
        <s v="THRD-02"/>
        <s v="THRD-03"/>
        <s v="THRD-04"/>
        <s v="CONS-01"/>
        <s v="CONS-02"/>
        <s v="CONS-03"/>
        <s v="CONS-04"/>
        <s v="CONS-05"/>
        <s v="CONS-06"/>
        <s v=""/>
        <s v="CONS-08"/>
        <s v="APPL-01"/>
        <s v="APPL-02"/>
        <s v="APPL-03"/>
        <s v="APPL-04"/>
        <s v="APPL-05"/>
        <s v="APPL-06"/>
        <s v="APPL-07"/>
        <s v="APPL-08"/>
        <s v="APPL-09"/>
        <s v="APPL-10"/>
        <s v="APPL-11"/>
        <s v="APPL-12"/>
        <s v="APPL-13"/>
        <s v="APPL-14"/>
        <s v="APPL-15"/>
        <s v="APPL-16"/>
        <s v="APPL-17"/>
        <s v="AAAI-01"/>
        <s v="AAAI-02"/>
        <s v="AAAI-03"/>
        <s v="AAAI-04"/>
        <s v="AAAI-05"/>
        <s v="AAAI-06"/>
        <s v="AAAI-07"/>
        <s v="AAAI-08"/>
        <s v="AAAI-09"/>
        <s v="AAAI-10"/>
        <s v="AAAI-11"/>
        <s v="AAAI-12"/>
        <s v="AAAI-13"/>
        <s v="AAAI-14"/>
        <s v="AAAI-15"/>
        <s v="AAAI-16"/>
        <s v="AAAI-17"/>
        <s v="BCPL-01"/>
        <s v="BCPL-02"/>
        <s v="BCPL-03"/>
        <s v="BCPL-04"/>
        <s v="BCPL-05"/>
        <s v="BCPL-06"/>
        <s v="BCPL-07"/>
        <s v="BCPL-08"/>
        <s v="BCPL-09"/>
        <s v="BCPL-10"/>
        <s v="BCPL-11"/>
        <s v="BCPL-12"/>
        <s v="CHNG-01"/>
        <s v="CHNG-02"/>
        <s v="CHNG-03"/>
        <s v="CHNG-04"/>
        <s v="CHNG-05"/>
        <s v="CHNG-06"/>
        <s v="CHNG-07"/>
        <s v="CHNG-08"/>
        <s v="CHNG-09"/>
        <s v="CHNG-10"/>
        <s v="CHNG-11"/>
        <s v="CHNG-12"/>
        <s v="CHNG-13"/>
        <s v="CHNG-14"/>
        <s v="CHNG-15"/>
        <s v="DATA-01"/>
        <s v="DATA-02"/>
        <s v="DATA-03"/>
        <s v="DATA-04"/>
        <s v="DATA-05"/>
        <s v="DATA-06"/>
        <s v="DATA-07"/>
        <s v="DATA-08"/>
        <s v="DATA-09"/>
        <s v="DATA-10"/>
        <s v="DATA-11"/>
        <s v="DATA-12"/>
        <s v="DATA-13"/>
        <s v="DATA-14"/>
        <s v="DATA-15"/>
        <s v="DATA-16"/>
        <s v="DATA-17"/>
        <s v="DATA-18"/>
        <s v="DATA-20"/>
        <s v="DATA-21"/>
        <s v="DATA-22"/>
        <s v="DATA-23"/>
        <s v="DATA-24"/>
        <s v="DATA-25"/>
        <s v="DATA-26"/>
        <s v="DATA-27"/>
        <s v="DATA-28"/>
        <s v="DBAS-01"/>
        <s v="DBAS-02"/>
        <s v="DCTR-01"/>
        <s v="DCTR-02"/>
        <s v="DCTR-03"/>
        <s v="DCTR-04"/>
        <s v="DCTR-07"/>
        <s v="DCTR-08"/>
        <s v="DCTR-09"/>
        <s v="DCTR-11"/>
        <s v="DCTR-12"/>
        <s v="DCTR-13"/>
        <s v="DCTR-14"/>
        <s v="DCTR-15"/>
        <s v="DCTR-17"/>
        <s v="DCTR-18"/>
        <s v="DCTR-19"/>
        <s v="DRPL-01"/>
        <s v="DRPL-02"/>
        <s v="DRPL-03"/>
        <s v="DRPL-04"/>
        <s v="DRPL-05"/>
        <s v="DRPL-07"/>
        <s v="DRPL-08"/>
        <s v="DRPL-09"/>
        <s v="DRPL-10"/>
        <s v="DRPL-12"/>
        <s v="DRPL-13"/>
        <s v="FIDP-01"/>
        <s v="FIDP-02"/>
        <s v="FIDP-03"/>
        <s v="FIDP-04"/>
        <s v="FIDP-05"/>
        <s v="FIDP-06"/>
        <s v="FIDP-07"/>
        <s v="FIDP-08"/>
        <s v="FIDP-09"/>
        <s v="FIDP-10"/>
        <s v="FIDP-12"/>
        <s v="MAPP-01"/>
        <s v="MAPP-02"/>
        <s v="MAPP-03"/>
        <s v="MAPP-04"/>
        <s v="MAPP-05"/>
        <s v="MAPP-06"/>
        <s v="MAPP-07"/>
        <s v="MAPP-08"/>
        <s v="MAPP-09"/>
        <s v="MAPP-10"/>
        <s v="MAPP-11"/>
        <s v="PHYS-01"/>
        <s v="PHYS-02"/>
        <s v="PHYS-03"/>
        <s v="PHYS-04"/>
        <s v="PHYS-05"/>
        <s v="PPPR-01"/>
        <s v="PPPR-02"/>
        <s v="PPPR-03"/>
        <s v="PPPR-04"/>
        <s v="PPPR-05"/>
        <s v="PPPR-06"/>
        <s v="PPPR-07"/>
        <s v="PPPR-08"/>
        <s v="PPPR-09"/>
        <s v="PPPR-10"/>
        <s v="PPPR-11"/>
        <s v="PPPR-12"/>
        <s v="PPPR-13"/>
        <s v="PPPR-14"/>
        <s v="PPPR-15"/>
        <s v="PPPR-16"/>
        <s v="PPPR-17"/>
        <s v="PPPR-18"/>
        <s v="PPPR-19"/>
        <s v="PPPR-20"/>
        <s v="PROD-01"/>
        <s v="PROD-02"/>
        <s v="QLAS-01"/>
        <s v="QLAS-02"/>
        <s v="QLAS-03"/>
        <s v="QLAS-04"/>
        <s v="QLAS-05"/>
        <s v="SYST-01"/>
        <s v="SYST-02"/>
        <s v="SYST-03"/>
        <s v="SYST-04"/>
        <s v="VULN-01"/>
        <s v="VULN-03"/>
        <s v="VULN-04"/>
        <s v="VULN-05"/>
        <s v="VULN-06"/>
        <s v="VULN-07"/>
        <s v="VULN-08"/>
        <s v="VULN-09"/>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HIPA-30"/>
        <s v="HIPA-31"/>
        <s v="PCID-01"/>
        <s v="PCID-02"/>
        <s v="PCID-03"/>
        <s v="PCID-04"/>
        <s v="PCID-05"/>
        <s v="PCID-06"/>
        <s v="PCID-07"/>
        <s v="PCID-08"/>
        <s v="PCID-09"/>
        <s v="PCID-10"/>
        <s v="PCID-11"/>
        <s v="PCID-12"/>
        <s v="COMP-01"/>
        <s v="COMP-02"/>
        <s v="COMP-03"/>
        <s v="COMP-04"/>
        <s v="COMP-05"/>
        <s v="COMP-06"/>
        <s v="COMP-07"/>
        <s v="CONS-07" u="1"/>
        <s v="CONS-09" u="1"/>
        <s v="DCTR-10" u="1"/>
        <s v="DRPL-06" u="1"/>
        <s v="DCTR-16" u="1"/>
        <s v="FIDP-11" u="1"/>
        <s v="DATA-29" u="1"/>
        <s v="VULN-02" u="1"/>
        <s v="DCTR-05" u="1"/>
        <s v="DCTR-06" u="1"/>
        <s v="DATA-19" u="1"/>
        <s v="HIPA-32" u="1"/>
        <s v="PPPR-21" u="1"/>
        <s v="PPPR-22" u="1"/>
        <s v="PPPR-23" u="1"/>
        <s v="DRPL-11" u="1"/>
        <s v="DRPL-14" u="1"/>
        <s v="PHYS-06" u="1"/>
        <s v="APPL-18" u="1"/>
      </sharedItems>
    </cacheField>
    <cacheField name="Question" numFmtId="0">
      <sharedItems containsBlank="1" count="316" longText="1">
        <s v="Does your product process protected health information (PHI) or any data covered by the Health Insurance Portability and Accountability Act?"/>
        <s v="Does the vended product host/support a mobile application? (e.g. app)"/>
        <s v="Will institution data be shared with or hosted by any third parties? (e.g. any entity not wholly-owned by your company is considered a third-party)"/>
        <s v="Do you have a Business Continuity Plan (BCP)?"/>
        <m/>
        <s v="Do you have a Disaster Recovery Plan (DRP)?"/>
        <s v="Will data regulated by PCI DSS reside in the vended product?"/>
        <s v="Is your company a consulting firm providing only consultation to the Institution?"/>
        <s v="Have you undergone a SSAE 16 audit?"/>
        <s v="Have you completed the Cloud Security Alliance (CSA) self assessment or CAIQ?"/>
        <s v="Have you received the Cloud Security Alliance STAR certification?"/>
        <s v="Do you conform with a specific industry standard security framework? (e.g. NIST Cybersecurity Framework, ISO 27001, etc.)"/>
        <s v="Are you compliant with FISMA standards?"/>
        <s v="Does your organization have a data privacy policy?"/>
        <s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s v="Provide a brief description for why each of these third parties will have access to institution data."/>
        <s v="What legal agreements (i.e. contracts) do you have in place with these third parties that address liability in the event of a data breach?"/>
        <s v="Describe or provide references to your third party management strategy or provide additional information that may help analysts better understand your environment and how it relates to third-party solution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e v="#N/A"/>
        <s v="Will the consultant need remote access to the Institution's network or systems?"/>
        <s v="Do you support role-based access control (RBAC) for end-users?"/>
        <s v="Do you support role-based access control (RBAC) for system administrators?"/>
        <s v="Can employees access customer data remotely?"/>
        <s v="Can you provide overall system and/or application architecture diagrams including a full description of the data communications architecture for all components of the system?"/>
        <s v="Does the system provide data input validation and error messages? "/>
        <s v="Do you employ a single-tenant environment? "/>
        <s v="What operating system(s) is/are leveraged by the system(s)/application(s) that will have access to institution's data?"/>
        <s v="Have you or any third party you contract with that may have access or allow access to the institution's data experienced a breach?"/>
        <s v="Describe or provide a reference to additional software/products necessary to implement a functional system on either the backend or user-interface side of the system. "/>
        <s v="Describe or provide a reference to the overall system and/or application architecture(s), including appropriate diagrams. Include a full description of the data communications architecture for all components of the system. "/>
        <s v="Are databases used in the system segregated from front-end systems? (e.g. web and application servers)"/>
        <s v="Describe or provide a reference to all web-enabled features and functionality of the system (i.e. accessed via a web-based interface). "/>
        <s v="Are there any OS and/or web-browser combinations that are not currently supported?"/>
        <s v="Can your system take advantage of mobile and/or GPS enabled mobile devices?  "/>
        <s v="Describe or provide a reference to the facilities available in the system to provide separation of duties between security administration and system administration functions."/>
        <s v="Describe or provide a reference that details how administrator access is handled (e.g. provisioning, principle of least privilege, deprovisioning, etc.)"/>
        <s v="Describe or provide references explaining how tertiary services are redundant (i.e. DNS, ISP, etc…)."/>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web-based interface support authentication, including standards-based single-sign-on? (e.g. InCommon)"/>
        <s v="Are there any passwords/passphrases hard coded into your systems or products?"/>
        <s v="Are user account passwords/passphrases visible in administration modules?"/>
        <s v="Are user account passwords/passphrases stored encrypted?"/>
        <s v="Does your application and/or user-frontend/portal support multi-factor authentication? (e.g. Duo, Google Authenticator, OTP, etc.)"/>
        <s v="Does your application support integration with other authentication and authorization systems?  List which ones (such as Active Directory, Kerberos and what version) in Additional Info?"/>
        <s v="Will any external authentication or authorization system be utilized by an application with access to the institution's data?"/>
        <s v="Does the system (servers/infrastructure) support external authentication services (e.g. Active Directory, LDAP) in place of local authentication?"/>
        <s v="Does the system operate in a mixed authentication mode (i.e. external and local authentication)?"/>
        <s v="Will any external authentication or authorization system be utilized by a system with access to institution data?"/>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Describe or provide a reference to your Business Continuity Plan (BCP)."/>
        <s v="May the Institution review your BCP and supporting documentation?"/>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
        <s v="Has your BCP been tested in the last year? "/>
        <s v="Does your organization conduct training and awareness activities to validate its employees understanding of their roles and responsibilities during a crisis?"/>
        <s v="Are specific crisis management roles and responsibilities defined and documented?"/>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Do you have a documented and currently followed change management process (CMP)?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s v="Will the Institution be notified of major changes to your environment that could impact the Institution's security posture?"/>
        <s v="Do clients have the option to not participate in or postpone an upgrade to a new release?"/>
        <s v="Describe or provide a reference to your solution support strategy in relation to maintaining software currency. (i.e. how many concurrent versions are you willing to run and support?)"/>
        <s v="Identify the most current version of the software. Detail the percentage of live customers that are utilizing the proposed version of the software as well as each version of the software currently in use."/>
        <s v="Does the system support client customizations from one release to another?"/>
        <s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
        <s v="Do you have a release schedule for product updates?"/>
        <s v="Do you have a technology roadmap, for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physically and logically separate Institution's data from that of other customers?"/>
        <s v="Will Institution's data be stored on any devices (database servers, file servers, SAN, NAS, …) configured with non-RFC 1918/4193 (i.e. publicly routable) IP addresses?"/>
        <s v="Is sensitive data encrypted in transport? (e.g. system-to-client)"/>
        <s v="Is sensitive data encrypted in storage (e.g. disk encryption, at-rest)?"/>
        <s v="Do you employ or allow any cryptographic modules that do not conform to the Federal Information Processing Standards (FIPS PUB 140-2)?"/>
        <s v="Does your system employ encryption technologies when transmitting sensitive information over TCP/IP networks (e.g., SSH, SSL/TLS, VPN)? (e.g. system-to-system and system-to-client)"/>
        <s v="List all locations (i.e. city + datacenter name) where the institution's data will be stored?"/>
        <s v="At the completion of this contract, will data be returned to the institution?"/>
        <s v="Will the institution's data be available within the system for a period of time at the completion of this contract?"/>
        <s v="Can the institution extract a ful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Describe or provide a reference to the backup processes for the servers on which the service and/or data resides. "/>
        <s v="Are backup copies made according to pre-defined schedules and securely stored and protected?"/>
        <s v="How long are data backups stored?"/>
        <s v="Are data backups encrypted?"/>
        <s v="Do you have a cryptographic key management process (generation, exchange, storage, safeguards, use, vetting, and replacement), that is documented and currently implemented, for all system components? (e.g. database, system, web, etc.)"/>
        <s v="Are you performing off site backups? (i.e. digitally moved off site)"/>
        <s v="Are physical backups taken off site? (i.e. physically moved off site)"/>
        <s v="Do backups containing the institution's data ever leave the Institution's Data Zone either physically or via network routing?"/>
        <s v="Do you have a media handling process, that is documented and currently implemented, including end-of-life, repurposing, and data sanitization procedures?"/>
        <s v="Does the process described in DATA-23 adhere to DoD 5220.22-M and/or NIST SP 800-88 standards?"/>
        <s v="Do procedures exist to ensure that retention and destruction of data meets established business and regulatory requirements?"/>
        <s v="Is media used for long-term retention of business data and archival purposes stored in a secure, environmentally protected area?"/>
        <s v="Will you handle data in a FERPA compliant manner?"/>
        <s v="Is any institution data visible in system administration modules/tools?"/>
        <s v="Does the database support encryption of specified data elements in storage?"/>
        <s v="Do you currently use encryption in your database(s)?"/>
        <s v="Does your company own the physical data center where the Institution's data will reside?"/>
        <s v="Does the hosting provider have a SOC 2 Type 2 report available?"/>
        <s v="Are the data centers staffed 24 hours a day, seven days a week (i.e 24x7x365)?"/>
        <s v="Do any of your servers reside in a co-located data center?"/>
        <s v="Select the option that best describes the network segment that servers are connected to."/>
        <s v="Does this data center operate outside of the Institution's Data Zone?"/>
        <s v="Will any institution data leave the Institution's Data Zone?"/>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Describe or provide a reference to the availability of cooling and fire suppression systems in all datacenters where institution data will reside."/>
        <s v="State how many Internet Service Providers (ISPs) provide connectivity to each datacenter where the institution's data will reside. "/>
        <s v="Does every datacenter where the Institution's data will reside have multiple telephone company or network provider entrances to the facility?"/>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Data Zone?"/>
        <s v="Does your organization have a disaster recovery site or a contracted Disaster Recovery provider?"/>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Please provide a summary of the results in Additional Information (including actual recovery time)."/>
        <s v="Are all components of the DRP reviewed at least annually and updated as needed to reflect change? "/>
        <s v="Do you carry cyber-risk insurance to protect against unforeseen service outages, data that is lost or stolen, and security incidents?"/>
        <s v="Are you utilizing a web application firewall (WAF)?"/>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Are audit logs available for all changes to the network, firewall, IDS, and IPS systems?"/>
        <s v="On which mobile operating systems is your software or service supported?"/>
        <s v="Describe or provide a reference to the application's architecture and functionality."/>
        <s v="Is the application available from a trusted source (e.g., iTunes App Store, Android Market, BB World)?"/>
        <s v="Does the application store, process, or transmit critical data?"/>
        <s v="Is Institution's data encrypted in transport?"/>
        <s v="Is Institution's data encrypted in storage? (e.g. disk encryption, at-rest)"/>
        <s v="Does the mobile application support Kerberos, CAS, or Active Directory authentication?"/>
        <s v="Will any of these systems be implemented on systems hosting the Institution's data?"/>
        <s v="Does the application adhere to secure coding practices (e.g. OWASP, etc.)?"/>
        <s v="Has the application been tested for vulnerabilities by a third party?"/>
        <s v="State the party that performed the vulnerability test and the date it was conducted?"/>
        <s v="Does your organization have physical security controls and policies in place?"/>
        <s v="Are employees allowed to take home Institution's data in any form?"/>
        <s v="Are video monitoring feeds retained?"/>
        <s v="Are video feeds monitored by datacenter staff?"/>
        <s v="Are individuals required to sign in/out for installation and removal of equipment?"/>
        <s v="Can you share the organization chart, mission statement, and policies for your information security unit?"/>
        <s v="Do you have a documented patch management process?"/>
        <s v="Can you accommodate encryption requirements using open standards?"/>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Data Zone laws and regulations?"/>
        <s v="Do you perform background screenings or multi-state background checks on all employees prior to their first day of work?"/>
        <s v="Do you require new employees to fill out agreements and review policies?  "/>
        <s v="Do you have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 you incorporate customer feedback into security feature requests?"/>
        <s v="Can you provide an evaluation site to the institution for testing?"/>
        <s v="Provide a general summary of your Quality Assurance program."/>
        <s v="Do you comply with ISO 9001?"/>
        <s v="Will your company provide quality and performance metrics in relation to the scope of services and performance expectations for the services you are offering?"/>
        <s v="Have you supplied products and/or services to the Institution (or its Campuses) in the last five years?"/>
        <s v="Do you have a program to keep your customers abreast of higher education and/or industry issues?"/>
        <s v="Are systems that support this service managed via a separate management network?"/>
        <s v="Do you have an implemented system configuration management process? (e.g. secure &quot;gold&quot; images, etc.)"/>
        <s v="Are employee mobile devices managed by your company's Mobile Device Management (MDM) platform?"/>
        <s v="Do you have a systems management and configuration strategy that encompasses servers, appliances, and mobile devices (company and employee owned)?"/>
        <s v="Are your applications scanned externally for vulnerabilities?"/>
        <s v="Are your applications scanned for vulnerabilities prior to new releases?"/>
        <s v="Are your systems scanned externally for vulnerabilities?"/>
        <s v="Have your systems had an external vulnerability assessment in the last year?"/>
        <s v="Describe or provide a reference to the tool(s) used to scan for vulnerabilities in your applications and systems."/>
        <s v="Will you provide results of security scans to the Institution?"/>
        <s v="Describe or provide a reference to how you monitor for and protect against common web application security vulnerabilities (e.g. SQL injection, XSS, XSRF, etc.)."/>
        <s v="Will you allow the institution to perform its own security test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Do you have an incident response process and reporting in place to investigate any potential incidents and report actual incidents?"/>
        <s v="Do you have a plan to comply with the Breach Notification requirements if there is a breach of data?"/>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 v="Describe your organization’s business background and ownership structure, including all parent and subsidiary relationships."/>
        <s v="Describe how long your organization has conducted business in this product area."/>
        <s v="Do you have existing higher education customers?"/>
        <s v="Have you had a significant breach in the last 5 year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Will you provide results of security scans to the Institution (if requested)?" u="1"/>
        <s v="Have your applications had an external assessment in the last year?  Please list date in Additional Information (mm/dd/yyyy)" u="1"/>
        <s v="Describe or provide a reference to your media handling process, that is documented and currently implemented, including end-of-life, repurposing, and data sanitization procedures." u="1"/>
        <s v="State the party that performed the test and the date it was conducted?" u="1"/>
        <s v="Describe or provide a reference to any other safeguards used to monitor for attacks?" u="1"/>
        <s v="Does your systems or products store, process, or transmit cardholder (payment/credit/debt card) data?" u="1"/>
        <s v="Are your servers separated from other companies via a physical barrier, such as a cage or hardened walls?" u="1"/>
        <s v="Is your company subject to US laws and regulations?" u="1"/>
        <s v="Are any disaster recovery locations outside the United States?" u="1"/>
        <s v="Describe or provide a reference to your cryptographic key management process (generation, exchange, storage, safeguards, use, vetting, and replacement) of all system components (e.g. database, system, web, etc.)." u="1"/>
        <s v="Summarize the encryption algorithm/strategy you are using to secure the backups." u="1"/>
        <s v="List all datacenters and their cities, states (provinces), and countries where the institution's data will be stored (including within the United States).   " u="1"/>
        <s v="Does your organization conduct an annual test of relocating to this site for disaster recovery purposes?" u="1"/>
        <s v="Do current backups include all operating system software, utilities, security software, application software, and data files necessary for recovery?" u="1"/>
        <s v="Have you undergone a SSAE 16 audit? Please indicate in Additional Information if your hosting provider was the subject of the audit" u="1"/>
        <s v="Are you performing offsite backups? (i.e. digitally moved off site)" u="1"/>
        <s v="What type of availability does your Disaster Recovery site provide?" u="1"/>
        <s v="Does your system employ encryption technologies when transmitting sensitive information over TCP/IP networks (e.g., SSH, SSL/TLS, VPN)?" u="1"/>
        <s v="What are the equipment removal procedures for the clients?" u="1"/>
        <s v="Describe or provide a reference to your internal audit processes and procedures." u="1"/>
        <s v="Is intrusion monitoring performed internally or by a third-party service?" u="1"/>
        <s v="Will any institution data leave theInstitution's Data Zone?" u="1"/>
        <s v="Is the security awareness training mandatory for all employees?" u="1"/>
        <s v="Describe or provide a reference to physical safeguards that are placed on facilities housing the institution's data (e.g., video monitoring, restricted access areas, man traps, card access controls, etc.)?" u="1"/>
        <s v="If possible, can the Institution review your BCP and supporting documentation?" u="1"/>
        <s v="If possible, can the Institution review your DRP and supporting documentation?" u="1"/>
        <s v="Does your organization conduct an annual test of relocating to this alternate site for business recovery purposes?" u="1"/>
        <s v="Do backups containing the institution's data ever leave the Institutions Data Zone either physically or via network routing?" u="1"/>
        <s v="Do you have a documented information security policy?" u="1"/>
        <s v="Describe or provide a reference to your system development life cycle methodology including your environments, version control, and change management (if not already covered in the Change Management section)." u="1"/>
        <s v="Provide a general summary of your systems management and configuration strategy, including servers, appliances, and mobile devices (company and employee owned)." u="1"/>
        <s v="Is it encrypted (at rest) while in the consultant's possession?" u="1"/>
        <s v="Have your systems had an external assessment in the last year?  Please list date in Additional Information (mm/dd/yyyy)" u="1"/>
        <s v="How frequently are employees required to undergo the security awareness training?" u="1"/>
        <s v="If outsourced or co-located, is there a contract in place to prevent data from leaving the United States?" u="1"/>
        <s v="Do the documented test results identify your organizations actual recovery time capabilities for technology and facilities?" u="1"/>
        <s v="Do you conform with a specific industry standard security framework? (e.g. NIST Cybersecurity Framework, ISO 27001, etc.)  Answer yes or no and list framework in Additional Info" u="1"/>
        <s v="Is sensitive data encrypted in transport?" u="1"/>
        <s v="Does the physical barrier fully enclose the physical space preventing unauthorized physical contact with any of your devices?" u="1"/>
        <s v="Does the process described in DATA-24 adhere to DoD 5220.22-M and/or NIST SP 800-88 standards?" u="1"/>
        <s v="Is Institution data encrypted in storage? (e.g. disk encryption, at-rest)" u="1"/>
        <s v="How often are redundant power strategies tested?" u="1"/>
        <s v="Does the application adhere to secure coding practices?" u="1"/>
        <s v="Is the video feed monitored by data center staff?" u="1"/>
        <s v="Describe testing processes that are established and followed (e.g., development of test plans, personnel involved in the testing process, and authorized individual accountable for approval and certification of test results)?" u="1"/>
        <s v="Describe or provide a reference to the types of authentication, including standards-based single-sign-on (SSO, InCommon), that are supported by the web-based interface?" u="1"/>
        <s v="How long will it remain in their possession?" u="1"/>
        <s v="Is Institution data encrypted in transport?" u="1"/>
        <s v="Have you completed the Cloud Security Alliance (CSA) self assessment or CAIQ? Please indicate in Additional Information if you are in progress" u="1"/>
        <s v="Briefly describe your security organization. Include the responsible party for your information security program and the size of your security staff?" u="1"/>
        <s v="Is a process documented, and currently followed, that requires a review and update  of the access-list for privileged accounts?" u="1"/>
        <s v="Does this process adhere to DoD 5220.22-M and/or NIST SP 800-88 standards?" u="1"/>
        <s v="Does the systems or products use a third party to collect, store, process, or transmit cardholder (payment/credit/debt card) data?" u="1"/>
        <s v="Are audit logs available for all changes to the network, firewall, IDS, and/or IPS?" u="1"/>
        <s v="Describe or provide a reference to any other safeguards used to monitor for malicious activity?" u="1"/>
        <s v="Have your systems had an external assessment in the last year?" u="1"/>
        <s v="Do you subject your code to Static Code Analysis and/or Static Application Security Testing prior to release? If so, what tool(s) do you use?&quot;" u="1"/>
        <s v="Are there any passwords/passphrases &quot;hard coded&quot; into your systems or products?" u="1"/>
      </sharedItems>
    </cacheField>
    <cacheField name="Additional Info" numFmtId="0">
      <sharedItems containsBlank="1" containsMixedTypes="1" containsNumber="1" containsInteger="1" minValue="0" maxValue="0" count="3">
        <n v="0"/>
        <m/>
        <e v="#N/A"/>
      </sharedItems>
    </cacheField>
    <cacheField name="High Risk" numFmtId="0">
      <sharedItems containsBlank="1" count="3">
        <b v="1"/>
        <b v="0"/>
        <m/>
      </sharedItems>
    </cacheField>
    <cacheField name="Category" numFmtId="0">
      <sharedItems containsBlank="1"/>
    </cacheField>
    <cacheField name="C_Answer" numFmtId="0">
      <sharedItems containsBlank="1"/>
    </cacheField>
    <cacheField name="Required" numFmtId="0">
      <sharedItems containsString="0" containsBlank="1" containsNumber="1" containsInteger="1" minValue="0" maxValue="1"/>
    </cacheField>
    <cacheField name="V_Answer" numFmtId="0">
      <sharedItems containsBlank="1" containsMixedTypes="1" containsNumber="1" containsInteger="1" minValue="0" maxValue="0"/>
    </cacheField>
    <cacheField name="Compliant" numFmtId="0">
      <sharedItems containsBlank="1" containsMixedTypes="1" containsNumber="1" containsInteger="1" minValue="0" maxValue="1" count="4">
        <n v="1"/>
        <m/>
        <n v="0"/>
        <e v="#N/A"/>
      </sharedItems>
    </cacheField>
    <cacheField name="Weight" numFmtId="0">
      <sharedItems containsBlank="1" containsMixedTypes="1" containsNumber="1" containsInteger="1" minValue="0" maxValue="40"/>
    </cacheField>
    <cacheField name="Score" numFmtId="0">
      <sharedItems containsBlank="1" containsMixedTypes="1" containsNumber="1" containsInteger="1" minValue="0" maxValue="10"/>
    </cacheField>
    <cacheField name="CIS" numFmtId="165">
      <sharedItems containsBlank="1" containsMixedTypes="1" containsNumber="1" containsInteger="1" minValue="0" maxValue="0" count="33">
        <s v="CSC 13"/>
        <s v="CSC 18"/>
        <s v="CSC 10"/>
        <m/>
        <s v="CSC 14"/>
        <n v="0"/>
        <e v="#N/A"/>
        <s v="CSC 2, CSC 3"/>
        <s v="CSC16"/>
        <s v="CSC 12"/>
        <s v="CSC 2"/>
        <s v="CSC 7"/>
        <s v="CSC 5"/>
        <s v="CSC 16"/>
        <s v="CSC 6"/>
        <s v="CSC 1"/>
        <s v="CAC 13"/>
        <s v="CSC 13, CSC 14"/>
        <s v="CSC 3"/>
        <s v="CSC 3, CSC 14"/>
        <s v="CSC 9"/>
        <s v="CSC 10, CSC 12"/>
        <s v="CSC 19"/>
        <s v="CSC 13, CSC 18"/>
        <s v="CSC 4"/>
        <s v="CSC 4, CSC 17"/>
        <s v="CSC 17"/>
        <s v="CSC 7, CSC 18"/>
        <s v="CSC 20"/>
        <s v="CSC 16, 5"/>
        <s v="CSC 6, CSC 16"/>
        <s v="CSC 1, CSC 2"/>
        <s v="CSC 12, CSC 13"/>
      </sharedItems>
    </cacheField>
    <cacheField name="HIPAA" numFmtId="165">
      <sharedItems containsBlank="1" containsMixedTypes="1" containsNumber="1" containsInteger="1" minValue="0" maxValue="0" count="27">
        <s v="Discovery"/>
        <n v="0"/>
        <s v="§164.308(a)(1)(i)"/>
        <e v="#N/A"/>
        <s v="§164.308(a)(1)(ii)(B)"/>
        <m/>
        <s v="§164.308(a)(5)(i)"/>
        <s v="§164.316(b)(2)(iii)"/>
        <s v="§164.308(a)(2)"/>
        <s v="§164.308(a)(6)(i)"/>
        <s v="§164.308(a)(6)(ii)"/>
        <s v="§164.308(a)(1)(i), §164.308(a)(1)(ii)(A)"/>
        <s v="§164.308(a)(5)(ii)(D)"/>
        <s v="§164.308(a)(4), §164.312(a)(2)(ii),  _x000a_§164.312(a)(2)(iii)"/>
        <s v="§164.308(a)(4),_x000a_§164.312(a)(2)(ii), §164.312(a)(2)(iii)"/>
        <s v="§164.308(a)(4), _x000a_§164.312(d)"/>
        <s v="§164.308(a)(4), _x000a_§164.312(a)(1), §164.312(a)(2)(i), _x000a_§164.312(d)"/>
        <s v="§164.308(a)(4),_x000a_§164.312(a)(1), §164.312(a)(2)(i), _x000a_§164.312(d)"/>
        <s v="§164.308(a)(4), _x000a_§164.312(a)(1), §164.312(a)(2)(i),_x000a_§164.312(d)"/>
        <s v="§164.308(a)(4), _x000a_§164.312(a)(1)"/>
        <s v="§ 164.308(a)(1)(ii)(D)"/>
        <s v="§164.312(b)"/>
        <s v="§164.312(a)(2)(ii)"/>
        <s v="§164.308(a)(7)(i)"/>
        <s v="§164.308(b)(2)"/>
        <s v="§164.308(b)(1),_x000a_§164.308(b)(3), §164.314(a)(1)(i)"/>
        <s v="§164.308(a)(3)(i), §164.308(b)(1), _x000a_§164.308(b)(3), §164.314(a)(1)(i)"/>
      </sharedItems>
    </cacheField>
    <cacheField name="ISO 27002:27013" numFmtId="165">
      <sharedItems containsBlank="1" containsMixedTypes="1" containsNumber="1" minValue="0" maxValue="16" count="72">
        <s v="18.1.1"/>
        <n v="0"/>
        <s v="17.1.2"/>
        <m/>
        <s v="15.2.1"/>
        <s v="18.1.4"/>
        <s v="15.1.3"/>
        <s v="9.1.2"/>
        <s v="9.2.6"/>
        <s v="9"/>
        <e v="#N/A"/>
        <s v="11.2.6"/>
        <n v="6.2"/>
        <s v="9.1.1"/>
        <s v="12.5.1"/>
        <n v="16"/>
        <s v="12.1.1"/>
        <s v="12.1.4"/>
        <s v="9.2.3, 12.1.4"/>
        <n v="9.1999999999999993"/>
        <s v="9.2.3, 9.3.1, 9.4.3"/>
        <s v="9.1.1, 9.2.3, 9.3.1, 9.4.3"/>
        <s v="9.4.3"/>
        <s v="12.4"/>
        <s v="17.1.1"/>
        <s v="17"/>
        <s v="17.1.3"/>
        <s v="7.2.2, 17.1.3"/>
        <s v="7.2.2, 16.1.1, 17.1.3"/>
        <s v="17.2.1"/>
        <s v="12.1.2"/>
        <s v="12.6.1"/>
        <s v="10.1.1"/>
        <s v="8.2.3, 10.1.1"/>
        <s v="13.2"/>
        <s v="8.1.4"/>
        <s v="12.3.1"/>
        <s v="8.1.2"/>
        <s v="10.1.2"/>
        <s v="8.3.1"/>
        <s v="8.3.1, 18.1.1"/>
        <s v="14.2.5"/>
        <s v="11.1.1"/>
        <s v="11.1.4"/>
        <s v="16.1.1, 17.1.1"/>
        <s v="13.1.1"/>
        <s v="13"/>
        <s v="13.1.2"/>
        <s v="12.4.1"/>
        <s v="8.2.1; 8.2.3"/>
        <s v="8.2.3"/>
        <s v="9.4.2"/>
        <s v="14.2.1"/>
        <s v="12.7.1, 18.2.1"/>
        <s v="11.1.2, 11.1.3"/>
        <s v="11.1.2,  11.1.3"/>
        <s v="11.1.2"/>
        <s v="5.1.1"/>
        <s v="10.1.1, 18.1.5"/>
        <s v="14.2.1, 14.2.5, 14.2.8"/>
        <s v="16.1.5"/>
        <s v="7.1.1"/>
        <s v="7.1.2"/>
        <s v="7.2.2"/>
        <s v="9.2.5"/>
        <s v="12.7.1"/>
        <s v="6.2.1"/>
        <s v="18.2.1"/>
        <s v="18.1.1, 7.2.2"/>
        <s v="16.1.1"/>
        <s v="16.1.2, 16.1.5, 18.1.1"/>
        <s v="9.2.3"/>
      </sharedItems>
    </cacheField>
    <cacheField name="NIST Cybersecurity Framework" numFmtId="165">
      <sharedItems containsBlank="1" containsMixedTypes="1" containsNumber="1" containsInteger="1" minValue="0" maxValue="0" count="53">
        <s v="ID.GV-3"/>
        <n v="0"/>
        <s v="ID.AM-6, PR.AT-3"/>
        <s v="PR.IP-9"/>
        <m/>
        <s v="ID.AM-6, PR-AT-3"/>
        <e v="#N/A"/>
        <s v="ID.AM-5"/>
        <s v="PR.AC-3, PR.MA-2"/>
        <s v="PR.AC-4, PR.PT-3"/>
        <s v="PR.PT-3"/>
        <s v="ID.AM-2"/>
        <s v="ID.AM-1, ID.AM-2, ID.AM-4"/>
        <s v="PR.AC-4"/>
        <s v="PR.AC-1"/>
        <s v="PR.AC-1, PR.AC-4"/>
        <s v="PR.PT-1"/>
        <s v="PR.IP-3"/>
        <s v="PR.IP-3, PR.DS-7"/>
        <s v="PR.DS-6"/>
        <s v="PR.AC-2, PR.IP-5"/>
        <s v="PR.DS-2"/>
        <s v="PR.DS-1"/>
        <s v="PR.IP-4"/>
        <s v="PR.DS-1, PR.IP-4"/>
        <s v="PR.DS-3"/>
        <s v="PR.DS-3, ID.GV-3"/>
        <s v="PR.DS-1, PR.DS-2"/>
        <s v="PR.AC-5"/>
        <s v="PR.DS-4"/>
        <s v="PR.DS-5"/>
        <s v="DE.CM-1"/>
        <s v="DE.CM-1, DE.CM-2, DE.CM-7"/>
        <s v="DE.AE-1, DE.CM-1, PR.PT-4"/>
        <s v="DE.CM-7"/>
        <s v="DE.CM-7, PR.DS-2"/>
        <s v="DE.CM-7, PR.DS-1"/>
        <s v="DE.CM-7, DE.CM-8, ID.RA-1"/>
        <s v="PR.AC-2, PR.AT-5, PR.IP-5, DE.CM-2"/>
        <s v="PR.AC-2, PR.AC-4, PR.DS-1, PR.DS-3, PR.DS-5"/>
        <s v="DE.CM-2"/>
        <s v="ID.GV-2"/>
        <s v="PR.IP-12"/>
        <s v="DE.CM-8, RS.MI-3"/>
        <s v="PR.IP-2"/>
        <s v="PR.IP-11"/>
        <s v="PR.AT-1"/>
        <s v="PR.DS-7"/>
        <s v="PR.PT-4"/>
        <s v="PR.IP-1"/>
        <s v="PR.IP-1, PR.IP-2"/>
        <s v="DE.CM-8"/>
        <s v="ID.RA-1, DE.CM-8, PR.IP-12"/>
      </sharedItems>
    </cacheField>
    <cacheField name="NIST SP 800-171r1" numFmtId="165">
      <sharedItems containsBlank="1" containsMixedTypes="1" containsNumber="1" containsInteger="1" minValue="0" maxValue="0" count="72">
        <s v="ID.GV-3"/>
        <n v="0"/>
        <s v="ID.AM-6, PR.AT-3"/>
        <s v="PR.IP-9"/>
        <m/>
        <s v="3.8.2"/>
        <s v="3.1.2, 3.1.3"/>
        <s v="3.1.2"/>
        <e v="#N/A"/>
        <s v="3.4.9"/>
        <s v="3.1.12, 3.1.13, 3.1.14, 3.1.14, 3.1.15, 3.1.8, 3.1.20, 3.7.5, 3.8.2, 3.13.7"/>
        <s v="3.1.4"/>
        <s v="3.1.1, 3.1.5, 3.1.6, 3.7.1, 3.7.2"/>
        <s v="3.5.6"/>
        <s v="3.5.7"/>
        <s v="3.5.5, 3.5.8"/>
        <s v="3.5.1"/>
        <s v="3.5.10"/>
        <s v="3.5.2, 3.5.3"/>
        <s v="3.1.1"/>
        <s v="3.1.7, 3.3.1"/>
        <s v="3.1.7, 3.3.2, 3.3.3, 3.3.4, 3.3.5, 3.4.3, 3.7.1, 3.7.6, 3.10.4, 3.10.5"/>
        <s v="3.3.8, 3.3.9"/>
        <s v="3.12.2"/>
        <s v="3.2.1, 3.2.2"/>
        <s v="3.4.3, 3.4.4"/>
        <s v="3.4.3, 3.4.4, 3.4.5"/>
        <s v="3.4.4"/>
        <s v="3.14.4"/>
        <s v="3.1.3, 3.8.1"/>
        <s v="3.1.22"/>
        <s v="3.1.19, 3.8.1"/>
        <s v="3.8.6, 3.13.11"/>
        <s v="3.8.1"/>
        <s v="3.8.9"/>
        <s v="3.13.10"/>
        <s v="3.8.1, 3.8.9"/>
        <s v="3.8.1, 3.8.5, 3.8.9"/>
        <s v="3.7.1, 3.7.2, 3.8.3"/>
        <s v="3.7.3, 3.8.3,"/>
        <s v="3.8.1, 3.8.2"/>
        <s v="3.1.3"/>
        <s v="3.6.2"/>
        <s v="3.6.1, 3.14.6, 3.14.7"/>
        <s v="3.3.1"/>
        <s v="3.1.19"/>
        <s v="3.8.2, 3.10.1, 3.10.2, 3.10.5, 3.10.6, 3.12.1"/>
        <s v="3.8.1, 3.8.5, 3.8.7"/>
        <s v="3.10.2"/>
        <s v="3.7.3, 3.8.1, 3.8.5, 3.8.7, 3.10.3"/>
        <s v="3.9.1, 3.9.2"/>
        <s v="3.13.2"/>
        <s v="3.6.1, 3.12.2"/>
        <s v="3.6.2,"/>
        <s v="3.9.1"/>
        <s v="3.2.1"/>
        <s v="3.2.1, 3.2.2, 3.2.3"/>
        <s v="3.1.7"/>
        <s v="3.4.1, 3.4.2, 3.4.3"/>
        <s v="3.13.13"/>
        <s v="3.1.18, 3.7.1, 3.13.13"/>
        <s v="3.11.1, 3.11.2, 3.11.3"/>
        <s v="3.11.1, 3.11.2, 3.11.3, 3.14.2"/>
        <s v="3.2.2"/>
        <s v="3.6.1, 3.14.1"/>
        <s v="3.6.2, 3.12.2"/>
        <s v="3.5.9"/>
        <s v="3.1.8"/>
        <s v="3.1.10, 3.1.11"/>
        <s v="3.1.2, 3.1.5"/>
        <s v="3.3.2"/>
        <s v="3.6.3, 3.12.2"/>
      </sharedItems>
    </cacheField>
    <cacheField name="NIST SP 800-53r4" numFmtId="165">
      <sharedItems containsBlank="1" containsMixedTypes="1" containsNumber="1" containsInteger="1" minValue="0" maxValue="0" count="70">
        <s v="RA-2"/>
        <s v="IA-2, IA-3, CM-3, SI-2"/>
        <n v="0"/>
        <s v="AU-7, AU-9, IR-4"/>
        <m/>
        <s v="CA-5, PL-2"/>
        <s v="SA-9"/>
        <s v="PE-2, PE-3, PE-5, PE-11, PE-13, PE-14, SA-9"/>
        <s v="MP-2, RA-3"/>
        <s v="PS-3"/>
        <s v="PS-5"/>
        <s v="AC-4"/>
        <s v="MP-2"/>
        <e v="#N/A"/>
        <s v="AC-17; NIST SP 800-46"/>
        <s v="CM-11"/>
        <s v="AC-3, CM-7; NIST SP 800-46"/>
        <s v="CA-9, SC-4"/>
        <s v="AC-5"/>
        <s v="AC-2, AC-3, AC-6, MA-2, MA-3"/>
        <s v="IA-4"/>
        <s v="IA-5(1)"/>
        <s v="IA-2, IA-5"/>
        <s v="IA-5"/>
        <s v="AC-6(1,3,9), AU-2, AU-2(3), AU-3, AU-7, AU-9(4), AU-12, NIST 800-92"/>
        <s v="AU-2(3), AU-6, AU-12, AC-6(9), CM-3, MA-2, MA-5, PE-3"/>
        <s v="AU-9"/>
        <s v="AU-7, AU-9, IR-4, AC-5, CP-4, CP-10; NIST SP 800-34"/>
        <s v="AC-5, CP-4, CP-10; NIST SP 800-34"/>
        <s v="AT-3, AC-5, CP-4, CP-10; NIST SP 800-34"/>
        <s v="CM-3, CM-4, CM-5"/>
        <s v="AC-4, MP-2, MP-4"/>
        <s v="AC-22"/>
        <s v="MP-2, AC-19(5)"/>
        <s v="PE-2, PE-3, PE-5, MP-5"/>
        <s v="CP-9"/>
        <s v="SC-28, SC-13, FIPS PUB 140-2"/>
        <s v="CP-9, MP-5"/>
        <s v="CP-9 MP-6, NIST SP 800-60, NIST SP 800-88, AC-2, AC-6, IA-4, PM-2, PM-10, SI-5, MA-2, MA-3, MP-6"/>
        <s v="AC-2, AC-6, IA-4, PM-2, PM-10, SI-5, MA-2"/>
        <s v="SI-12, AC-2, AC-6, IA-4, PM-2, PM-10, SI-5, MA-2"/>
        <s v="AC-2, AC-6, IA-4, PM-2, PM-10, SI-5"/>
        <s v="PE-2, PE-3, PE-5, PE-11, PE-13, PE-14"/>
        <s v="IR-2, IR-4, IR-5"/>
        <s v="AU-2"/>
        <s v="AC-19(5)"/>
        <s v="MP-4, PE-2, PE-5, PE-6, PE-17"/>
        <s v="MP-2, MP-5, MP-7"/>
        <s v="PE-6"/>
        <s v="PM-2, PM-10, SI-5, CA-5, PM-1"/>
        <s v="CA-5, PM-1"/>
        <s v="CM-3, SA-15, SA-3, SA-8, SC-2, CA-5, PM-1"/>
        <s v="CA-5, PM-1, IR-4, IR-5, IR-7, IR-8"/>
        <s v="CA-5, PM-1, IR-4, IR-5, IR-6, IR-7, IR-8"/>
        <s v="CA-2, SA-15, CA-5, PM-1, IR-4, IR-5, IR-6, R-7, IR-8"/>
        <s v="CA-5, PM-1, PS-3"/>
        <s v="AT-2, CA-5, PM-1"/>
        <s v="AT-2, AT-3, CA-5, PM-1"/>
        <s v="CA-5, PM-1, PS-4, PS-5, PE-2, PE-3, PE-5, AC-6, RA-3, SA-8, CA-2, NIST SP 800-37; NIST SP 800-39; NIST SP 800-115; NIST SP 800-137"/>
        <s v="CM-2, CM-3, CM-6, CM-8"/>
        <s v="CM-2, CM-6, CM-3, AC-19, MA-2"/>
        <s v="SI-2"/>
        <s v="AT-3"/>
        <s v="IR-2, IR-4, IR-5, IR-7"/>
        <s v="IR-6"/>
        <s v="AC-7"/>
        <s v="AC-11, AC-11(1), AC-12"/>
        <s v="AU-2, AU-6, AU-12"/>
        <s v="AU-3"/>
        <s v="SA-3, SA-15, SC-2, PM-2, PM-10, SI-5,PM-3 "/>
      </sharedItems>
    </cacheField>
    <cacheField name="PCI DSS" numFmtId="165">
      <sharedItems containsBlank="1" containsMixedTypes="1" containsNumber="1" minValue="0" maxValue="12.9" count="54">
        <n v="0"/>
        <n v="12.8"/>
        <n v="12.1"/>
        <m/>
        <s v="PCI Scope, Discovery"/>
        <s v="PCI Scope"/>
        <s v="12.1, Scope"/>
        <e v="#N/A"/>
        <s v="7.x"/>
        <s v="12.8, 4.2"/>
        <n v="2.4"/>
        <s v="12.x"/>
        <s v="7.x, 8.x"/>
        <s v="8.x"/>
        <s v="2.1, 8.x"/>
        <s v="10.1, 10.2, 10.3, 10.5, 10.6, 10.7"/>
        <s v="10.1, 10.2, 10.3, 10.5, 10.6, 10.7, 9.x"/>
        <n v="10.7"/>
        <s v="6.4, 6.4.5, 6.4.5.1, 6.4.5.2"/>
        <s v="6.4, 12.8, 12.9"/>
        <s v="12.1, 12.8"/>
        <s v="12.1, 12.8, 6.2"/>
        <s v="12.2, 12.8"/>
        <s v="12.1, 12.2, 12.8"/>
        <s v="12.10, 12.8, 6.4"/>
        <s v="12.8, 9.x"/>
        <s v="12.8, 4.1"/>
        <s v="9.x"/>
        <n v="12.9"/>
        <n v="1.1000000000000001"/>
        <n v="11.4"/>
        <n v="11.5"/>
        <s v="1.1, 10.8, 10.6, 10.3, 10.2, 11.4"/>
        <n v="4.0999999999999996"/>
        <s v="12.1, 9.x"/>
        <s v="12.4, 12.5"/>
        <s v="6.4.5"/>
        <s v="12.6, 6.5"/>
        <n v="6.3"/>
        <s v="6.3.2"/>
        <s v="6.3.2, 6.4.5.3"/>
        <s v="6.3, 6.3.1"/>
        <s v="12.10, 12.8, 12.9"/>
        <n v="12.7"/>
        <s v="12.6, 7.x, 8.x, 9.x"/>
        <s v="12.1, 5.4 (?)"/>
        <n v="12.6"/>
        <s v="12.1, 12.5, 12.6"/>
        <n v="11.2"/>
        <s v="11.2, 11.3"/>
        <s v="11.2, 12.8"/>
        <s v="12.10, 10.10"/>
        <n v="12.2"/>
        <s v="12.8, 1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x v="0"/>
    <s v="Qualifiers"/>
    <s v="Yes"/>
    <n v="1"/>
    <s v="Yes"/>
    <x v="0"/>
    <n v="10"/>
    <n v="10"/>
    <x v="0"/>
    <x v="0"/>
    <x v="0"/>
    <x v="0"/>
    <x v="0"/>
    <x v="0"/>
    <x v="0"/>
  </r>
  <r>
    <x v="1"/>
    <x v="1"/>
    <x v="1"/>
    <x v="0"/>
    <x v="1"/>
    <s v="Qualifiers"/>
    <s v="Yes"/>
    <n v="1"/>
    <s v="Yes"/>
    <x v="0"/>
    <n v="10"/>
    <n v="10"/>
    <x v="1"/>
    <x v="1"/>
    <x v="1"/>
    <x v="1"/>
    <x v="1"/>
    <x v="1"/>
    <x v="0"/>
  </r>
  <r>
    <x v="2"/>
    <x v="2"/>
    <x v="2"/>
    <x v="0"/>
    <x v="0"/>
    <s v="Qualifiers"/>
    <s v="No"/>
    <n v="1"/>
    <s v="No"/>
    <x v="0"/>
    <n v="10"/>
    <n v="10"/>
    <x v="0"/>
    <x v="1"/>
    <x v="1"/>
    <x v="2"/>
    <x v="2"/>
    <x v="2"/>
    <x v="1"/>
  </r>
  <r>
    <x v="3"/>
    <x v="3"/>
    <x v="3"/>
    <x v="0"/>
    <x v="0"/>
    <s v="Qualifiers"/>
    <s v="Yes"/>
    <n v="1"/>
    <n v="0"/>
    <x v="0"/>
    <n v="10"/>
    <n v="10"/>
    <x v="2"/>
    <x v="1"/>
    <x v="2"/>
    <x v="3"/>
    <x v="3"/>
    <x v="3"/>
    <x v="2"/>
  </r>
  <r>
    <x v="4"/>
    <x v="4"/>
    <x v="4"/>
    <x v="1"/>
    <x v="2"/>
    <m/>
    <m/>
    <m/>
    <m/>
    <x v="1"/>
    <m/>
    <m/>
    <x v="3"/>
    <x v="1"/>
    <x v="3"/>
    <x v="4"/>
    <x v="4"/>
    <x v="4"/>
    <x v="3"/>
  </r>
  <r>
    <x v="5"/>
    <x v="5"/>
    <x v="5"/>
    <x v="0"/>
    <x v="0"/>
    <s v="Qualifiers"/>
    <s v="Yes"/>
    <n v="1"/>
    <n v="0"/>
    <x v="0"/>
    <n v="10"/>
    <n v="10"/>
    <x v="2"/>
    <x v="1"/>
    <x v="2"/>
    <x v="3"/>
    <x v="3"/>
    <x v="5"/>
    <x v="2"/>
  </r>
  <r>
    <x v="6"/>
    <x v="6"/>
    <x v="6"/>
    <x v="0"/>
    <x v="0"/>
    <s v="Qualifiers"/>
    <s v="No"/>
    <n v="1"/>
    <n v="0"/>
    <x v="0"/>
    <n v="10"/>
    <n v="10"/>
    <x v="0"/>
    <x v="1"/>
    <x v="0"/>
    <x v="0"/>
    <x v="0"/>
    <x v="0"/>
    <x v="4"/>
  </r>
  <r>
    <x v="7"/>
    <x v="7"/>
    <x v="7"/>
    <x v="0"/>
    <x v="1"/>
    <s v="Qualifiers"/>
    <s v="Yes"/>
    <n v="1"/>
    <n v="0"/>
    <x v="0"/>
    <n v="10"/>
    <n v="10"/>
    <x v="4"/>
    <x v="1"/>
    <x v="1"/>
    <x v="1"/>
    <x v="1"/>
    <x v="2"/>
    <x v="5"/>
  </r>
  <r>
    <x v="8"/>
    <x v="8"/>
    <x v="8"/>
    <x v="0"/>
    <x v="1"/>
    <s v="Documentation"/>
    <s v="Yes"/>
    <n v="1"/>
    <n v="0"/>
    <x v="2"/>
    <n v="15"/>
    <n v="0"/>
    <x v="5"/>
    <x v="1"/>
    <x v="4"/>
    <x v="1"/>
    <x v="1"/>
    <x v="6"/>
    <x v="0"/>
  </r>
  <r>
    <x v="9"/>
    <x v="9"/>
    <x v="9"/>
    <x v="0"/>
    <x v="1"/>
    <s v="Documentation"/>
    <s v="Yes"/>
    <n v="1"/>
    <n v="0"/>
    <x v="2"/>
    <n v="10"/>
    <n v="0"/>
    <x v="5"/>
    <x v="1"/>
    <x v="4"/>
    <x v="1"/>
    <x v="1"/>
    <x v="7"/>
    <x v="0"/>
  </r>
  <r>
    <x v="10"/>
    <x v="10"/>
    <x v="10"/>
    <x v="0"/>
    <x v="1"/>
    <s v="Documentation"/>
    <s v="Yes"/>
    <n v="1"/>
    <n v="0"/>
    <x v="2"/>
    <n v="15"/>
    <n v="0"/>
    <x v="5"/>
    <x v="1"/>
    <x v="4"/>
    <x v="1"/>
    <x v="1"/>
    <x v="7"/>
    <x v="0"/>
  </r>
  <r>
    <x v="11"/>
    <x v="11"/>
    <x v="11"/>
    <x v="0"/>
    <x v="0"/>
    <s v="Documentation"/>
    <s v="Yes"/>
    <n v="1"/>
    <n v="0"/>
    <x v="2"/>
    <n v="25"/>
    <n v="0"/>
    <x v="5"/>
    <x v="1"/>
    <x v="0"/>
    <x v="1"/>
    <x v="1"/>
    <x v="6"/>
    <x v="6"/>
  </r>
  <r>
    <x v="12"/>
    <x v="12"/>
    <x v="12"/>
    <x v="0"/>
    <x v="1"/>
    <s v="Documentation"/>
    <s v="Yes"/>
    <n v="1"/>
    <n v="0"/>
    <x v="2"/>
    <n v="15"/>
    <n v="0"/>
    <x v="5"/>
    <x v="1"/>
    <x v="0"/>
    <x v="1"/>
    <x v="1"/>
    <x v="6"/>
    <x v="0"/>
  </r>
  <r>
    <x v="13"/>
    <x v="13"/>
    <x v="13"/>
    <x v="0"/>
    <x v="0"/>
    <s v="Documentation"/>
    <s v="Yes"/>
    <n v="1"/>
    <n v="0"/>
    <x v="2"/>
    <n v="25"/>
    <n v="0"/>
    <x v="5"/>
    <x v="2"/>
    <x v="5"/>
    <x v="0"/>
    <x v="0"/>
    <x v="6"/>
    <x v="0"/>
  </r>
  <r>
    <x v="14"/>
    <x v="14"/>
    <x v="14"/>
    <x v="0"/>
    <x v="0"/>
    <s v="Third-Parties"/>
    <s v="Yes"/>
    <n v="1"/>
    <n v="0"/>
    <x v="2"/>
    <n v="25"/>
    <n v="0"/>
    <x v="0"/>
    <x v="1"/>
    <x v="6"/>
    <x v="5"/>
    <x v="5"/>
    <x v="8"/>
    <x v="1"/>
  </r>
  <r>
    <x v="15"/>
    <x v="15"/>
    <x v="15"/>
    <x v="0"/>
    <x v="0"/>
    <s v="Third-Parties"/>
    <s v="Yes"/>
    <n v="1"/>
    <n v="0"/>
    <x v="2"/>
    <n v="25"/>
    <n v="0"/>
    <x v="0"/>
    <x v="1"/>
    <x v="6"/>
    <x v="5"/>
    <x v="5"/>
    <x v="2"/>
    <x v="1"/>
  </r>
  <r>
    <x v="16"/>
    <x v="16"/>
    <x v="16"/>
    <x v="0"/>
    <x v="0"/>
    <s v="Third-Parties"/>
    <s v="Yes"/>
    <n v="1"/>
    <n v="0"/>
    <x v="2"/>
    <n v="25"/>
    <n v="0"/>
    <x v="0"/>
    <x v="1"/>
    <x v="6"/>
    <x v="0"/>
    <x v="1"/>
    <x v="9"/>
    <x v="1"/>
  </r>
  <r>
    <x v="17"/>
    <x v="17"/>
    <x v="17"/>
    <x v="0"/>
    <x v="0"/>
    <s v="Third-Parties"/>
    <s v="Yes"/>
    <n v="1"/>
    <n v="0"/>
    <x v="2"/>
    <n v="25"/>
    <n v="0"/>
    <x v="5"/>
    <x v="1"/>
    <x v="6"/>
    <x v="2"/>
    <x v="1"/>
    <x v="10"/>
    <x v="1"/>
  </r>
  <r>
    <x v="18"/>
    <x v="18"/>
    <x v="18"/>
    <x v="0"/>
    <x v="1"/>
    <s v="Consulting"/>
    <s v="Yes"/>
    <n v="1"/>
    <n v="0"/>
    <x v="2"/>
    <n v="20"/>
    <n v="0"/>
    <x v="5"/>
    <x v="1"/>
    <x v="4"/>
    <x v="2"/>
    <x v="1"/>
    <x v="2"/>
    <x v="0"/>
  </r>
  <r>
    <x v="19"/>
    <x v="19"/>
    <x v="19"/>
    <x v="0"/>
    <x v="1"/>
    <s v="Consulting"/>
    <s v="No"/>
    <n v="1"/>
    <n v="0"/>
    <x v="2"/>
    <n v="20"/>
    <n v="0"/>
    <x v="4"/>
    <x v="1"/>
    <x v="7"/>
    <x v="2"/>
    <x v="6"/>
    <x v="11"/>
    <x v="0"/>
  </r>
  <r>
    <x v="20"/>
    <x v="20"/>
    <x v="20"/>
    <x v="0"/>
    <x v="0"/>
    <s v="Consulting"/>
    <s v="No"/>
    <n v="1"/>
    <n v="0"/>
    <x v="2"/>
    <n v="25"/>
    <n v="0"/>
    <x v="4"/>
    <x v="1"/>
    <x v="8"/>
    <x v="2"/>
    <x v="7"/>
    <x v="2"/>
    <x v="0"/>
  </r>
  <r>
    <x v="21"/>
    <x v="21"/>
    <x v="21"/>
    <x v="0"/>
    <x v="1"/>
    <s v="Consulting"/>
    <s v="No"/>
    <n v="1"/>
    <n v="0"/>
    <x v="2"/>
    <n v="20"/>
    <n v="0"/>
    <x v="4"/>
    <x v="1"/>
    <x v="1"/>
    <x v="2"/>
    <x v="1"/>
    <x v="2"/>
    <x v="0"/>
  </r>
  <r>
    <x v="22"/>
    <x v="22"/>
    <x v="22"/>
    <x v="0"/>
    <x v="1"/>
    <s v="Consulting"/>
    <s v="Yes"/>
    <n v="1"/>
    <n v="0"/>
    <x v="2"/>
    <n v="20"/>
    <n v="0"/>
    <x v="0"/>
    <x v="1"/>
    <x v="0"/>
    <x v="2"/>
    <x v="1"/>
    <x v="2"/>
    <x v="0"/>
  </r>
  <r>
    <x v="23"/>
    <x v="23"/>
    <x v="23"/>
    <x v="0"/>
    <x v="0"/>
    <s v="Consulting"/>
    <s v="No"/>
    <n v="1"/>
    <n v="0"/>
    <x v="2"/>
    <n v="25"/>
    <n v="0"/>
    <x v="0"/>
    <x v="1"/>
    <x v="9"/>
    <x v="2"/>
    <x v="5"/>
    <x v="12"/>
    <x v="0"/>
  </r>
  <r>
    <x v="24"/>
    <x v="24"/>
    <x v="24"/>
    <x v="2"/>
    <x v="0"/>
    <s v="Consulting"/>
    <s v="Yes"/>
    <n v="0"/>
    <e v="#N/A"/>
    <x v="3"/>
    <s v=""/>
    <s v=""/>
    <x v="6"/>
    <x v="3"/>
    <x v="10"/>
    <x v="6"/>
    <x v="8"/>
    <x v="13"/>
    <x v="7"/>
  </r>
  <r>
    <x v="25"/>
    <x v="25"/>
    <x v="25"/>
    <x v="0"/>
    <x v="0"/>
    <s v="Consulting"/>
    <s v="No"/>
    <n v="1"/>
    <n v="0"/>
    <x v="2"/>
    <n v="25"/>
    <n v="0"/>
    <x v="4"/>
    <x v="1"/>
    <x v="9"/>
    <x v="2"/>
    <x v="1"/>
    <x v="2"/>
    <x v="0"/>
  </r>
  <r>
    <x v="26"/>
    <x v="24"/>
    <x v="24"/>
    <x v="2"/>
    <x v="0"/>
    <s v="Consulting"/>
    <s v="Yes"/>
    <n v="0"/>
    <e v="#N/A"/>
    <x v="3"/>
    <s v=""/>
    <s v=""/>
    <x v="6"/>
    <x v="3"/>
    <x v="10"/>
    <x v="6"/>
    <x v="8"/>
    <x v="13"/>
    <x v="7"/>
  </r>
  <r>
    <x v="27"/>
    <x v="26"/>
    <x v="26"/>
    <x v="0"/>
    <x v="0"/>
    <s v="Application/Service Security"/>
    <s v="Yes"/>
    <n v="1"/>
    <n v="0"/>
    <x v="2"/>
    <n v="25"/>
    <n v="0"/>
    <x v="1"/>
    <x v="1"/>
    <x v="1"/>
    <x v="7"/>
    <x v="1"/>
    <x v="2"/>
    <x v="0"/>
  </r>
  <r>
    <x v="28"/>
    <x v="27"/>
    <x v="27"/>
    <x v="0"/>
    <x v="0"/>
    <s v="Application/Service Security"/>
    <s v="Yes"/>
    <n v="1"/>
    <n v="0"/>
    <x v="2"/>
    <n v="25"/>
    <n v="0"/>
    <x v="7"/>
    <x v="1"/>
    <x v="11"/>
    <x v="7"/>
    <x v="1"/>
    <x v="2"/>
    <x v="0"/>
  </r>
  <r>
    <x v="29"/>
    <x v="28"/>
    <x v="28"/>
    <x v="0"/>
    <x v="1"/>
    <s v="Application/Service Security"/>
    <s v="Yes"/>
    <n v="1"/>
    <n v="0"/>
    <x v="2"/>
    <n v="20"/>
    <n v="0"/>
    <x v="4"/>
    <x v="1"/>
    <x v="12"/>
    <x v="8"/>
    <x v="7"/>
    <x v="14"/>
    <x v="8"/>
  </r>
  <r>
    <x v="30"/>
    <x v="29"/>
    <x v="29"/>
    <x v="0"/>
    <x v="1"/>
    <s v="Application/Service Security"/>
    <s v="Yes"/>
    <n v="1"/>
    <n v="0"/>
    <x v="2"/>
    <n v="20"/>
    <n v="0"/>
    <x v="8"/>
    <x v="1"/>
    <x v="13"/>
    <x v="9"/>
    <x v="9"/>
    <x v="15"/>
    <x v="8"/>
  </r>
  <r>
    <x v="31"/>
    <x v="30"/>
    <x v="30"/>
    <x v="0"/>
    <x v="1"/>
    <s v="Application/Service Security"/>
    <s v="Yes"/>
    <n v="1"/>
    <n v="0"/>
    <x v="2"/>
    <n v="20"/>
    <n v="0"/>
    <x v="1"/>
    <x v="1"/>
    <x v="1"/>
    <x v="7"/>
    <x v="1"/>
    <x v="2"/>
    <x v="0"/>
  </r>
  <r>
    <x v="32"/>
    <x v="31"/>
    <x v="31"/>
    <x v="0"/>
    <x v="0"/>
    <s v="Application/Service Security"/>
    <s v="Yes"/>
    <n v="1"/>
    <n v="0"/>
    <x v="2"/>
    <n v="25"/>
    <n v="0"/>
    <x v="9"/>
    <x v="1"/>
    <x v="12"/>
    <x v="10"/>
    <x v="10"/>
    <x v="16"/>
    <x v="0"/>
  </r>
  <r>
    <x v="33"/>
    <x v="32"/>
    <x v="32"/>
    <x v="0"/>
    <x v="1"/>
    <s v="Application/Service Security"/>
    <m/>
    <n v="1"/>
    <n v="0"/>
    <x v="2"/>
    <n v="20"/>
    <n v="0"/>
    <x v="10"/>
    <x v="1"/>
    <x v="14"/>
    <x v="10"/>
    <x v="1"/>
    <x v="14"/>
    <x v="0"/>
  </r>
  <r>
    <x v="34"/>
    <x v="33"/>
    <x v="33"/>
    <x v="0"/>
    <x v="0"/>
    <s v="Application/Service Security"/>
    <s v="No"/>
    <n v="1"/>
    <n v="0"/>
    <x v="2"/>
    <n v="25"/>
    <n v="0"/>
    <x v="5"/>
    <x v="1"/>
    <x v="15"/>
    <x v="1"/>
    <x v="1"/>
    <x v="2"/>
    <x v="9"/>
  </r>
  <r>
    <x v="35"/>
    <x v="34"/>
    <x v="34"/>
    <x v="0"/>
    <x v="1"/>
    <s v="Application/Service Security"/>
    <m/>
    <n v="1"/>
    <n v="0"/>
    <x v="2"/>
    <n v="15"/>
    <n v="0"/>
    <x v="10"/>
    <x v="1"/>
    <x v="14"/>
    <x v="11"/>
    <x v="1"/>
    <x v="2"/>
    <x v="0"/>
  </r>
  <r>
    <x v="36"/>
    <x v="35"/>
    <x v="35"/>
    <x v="0"/>
    <x v="0"/>
    <s v="Application/Service Security"/>
    <m/>
    <n v="1"/>
    <n v="0"/>
    <x v="2"/>
    <n v="25"/>
    <n v="0"/>
    <x v="10"/>
    <x v="1"/>
    <x v="16"/>
    <x v="12"/>
    <x v="1"/>
    <x v="17"/>
    <x v="10"/>
  </r>
  <r>
    <x v="37"/>
    <x v="36"/>
    <x v="36"/>
    <x v="0"/>
    <x v="0"/>
    <s v="Application/Service Security"/>
    <s v="Yes"/>
    <n v="1"/>
    <n v="0"/>
    <x v="2"/>
    <n v="40"/>
    <n v="0"/>
    <x v="0"/>
    <x v="1"/>
    <x v="17"/>
    <x v="1"/>
    <x v="1"/>
    <x v="2"/>
    <x v="0"/>
  </r>
  <r>
    <x v="38"/>
    <x v="37"/>
    <x v="37"/>
    <x v="0"/>
    <x v="1"/>
    <s v="Application/Service Security"/>
    <s v="No"/>
    <n v="1"/>
    <n v="0"/>
    <x v="2"/>
    <n v="10"/>
    <n v="0"/>
    <x v="11"/>
    <x v="1"/>
    <x v="16"/>
    <x v="1"/>
    <x v="1"/>
    <x v="2"/>
    <x v="0"/>
  </r>
  <r>
    <x v="39"/>
    <x v="38"/>
    <x v="38"/>
    <x v="0"/>
    <x v="1"/>
    <s v="Application/Service Security"/>
    <s v="No"/>
    <n v="1"/>
    <n v="0"/>
    <x v="2"/>
    <n v="15"/>
    <n v="0"/>
    <x v="11"/>
    <x v="1"/>
    <x v="14"/>
    <x v="1"/>
    <x v="1"/>
    <x v="2"/>
    <x v="0"/>
  </r>
  <r>
    <x v="40"/>
    <x v="39"/>
    <x v="39"/>
    <x v="0"/>
    <x v="0"/>
    <s v="Application/Service Security"/>
    <s v="Yes"/>
    <n v="1"/>
    <n v="0"/>
    <x v="2"/>
    <n v="25"/>
    <n v="0"/>
    <x v="10"/>
    <x v="1"/>
    <x v="1"/>
    <x v="1"/>
    <x v="1"/>
    <x v="2"/>
    <x v="0"/>
  </r>
  <r>
    <x v="41"/>
    <x v="40"/>
    <x v="40"/>
    <x v="0"/>
    <x v="0"/>
    <s v="Application/Service Security"/>
    <s v="Yes"/>
    <n v="1"/>
    <n v="0"/>
    <x v="2"/>
    <n v="25"/>
    <n v="0"/>
    <x v="4"/>
    <x v="1"/>
    <x v="18"/>
    <x v="9"/>
    <x v="11"/>
    <x v="18"/>
    <x v="11"/>
  </r>
  <r>
    <x v="42"/>
    <x v="41"/>
    <x v="41"/>
    <x v="0"/>
    <x v="0"/>
    <s v="Application/Service Security"/>
    <s v="Yes"/>
    <n v="1"/>
    <n v="0"/>
    <x v="2"/>
    <n v="25"/>
    <n v="0"/>
    <x v="12"/>
    <x v="1"/>
    <x v="19"/>
    <x v="9"/>
    <x v="12"/>
    <x v="19"/>
    <x v="12"/>
  </r>
  <r>
    <x v="43"/>
    <x v="42"/>
    <x v="42"/>
    <x v="0"/>
    <x v="1"/>
    <s v="Application/Service Security"/>
    <s v="Yes"/>
    <n v="1"/>
    <n v="0"/>
    <x v="2"/>
    <n v="15"/>
    <n v="0"/>
    <x v="4"/>
    <x v="1"/>
    <x v="13"/>
    <x v="13"/>
    <x v="7"/>
    <x v="2"/>
    <x v="0"/>
  </r>
  <r>
    <x v="44"/>
    <x v="43"/>
    <x v="43"/>
    <x v="0"/>
    <x v="0"/>
    <s v="Authentication, Authorization, and Accounting"/>
    <s v="Yes"/>
    <n v="1"/>
    <n v="0"/>
    <x v="2"/>
    <n v="25"/>
    <n v="0"/>
    <x v="13"/>
    <x v="1"/>
    <x v="20"/>
    <x v="14"/>
    <x v="13"/>
    <x v="20"/>
    <x v="13"/>
  </r>
  <r>
    <x v="45"/>
    <x v="44"/>
    <x v="44"/>
    <x v="0"/>
    <x v="0"/>
    <s v="Authentication, Authorization, and Accounting"/>
    <s v="Yes"/>
    <n v="1"/>
    <n v="0"/>
    <x v="2"/>
    <n v="25"/>
    <n v="0"/>
    <x v="13"/>
    <x v="1"/>
    <x v="20"/>
    <x v="14"/>
    <x v="14"/>
    <x v="21"/>
    <x v="13"/>
  </r>
  <r>
    <x v="46"/>
    <x v="45"/>
    <x v="45"/>
    <x v="0"/>
    <x v="0"/>
    <s v="Authentication, Authorization, and Accounting"/>
    <s v="Yes"/>
    <n v="1"/>
    <n v="0"/>
    <x v="2"/>
    <n v="25"/>
    <n v="0"/>
    <x v="13"/>
    <x v="1"/>
    <x v="20"/>
    <x v="14"/>
    <x v="1"/>
    <x v="2"/>
    <x v="13"/>
  </r>
  <r>
    <x v="47"/>
    <x v="46"/>
    <x v="46"/>
    <x v="0"/>
    <x v="1"/>
    <s v="Authentication, Authorization, and Accounting"/>
    <s v="Yes"/>
    <n v="1"/>
    <n v="0"/>
    <x v="2"/>
    <n v="20"/>
    <n v="0"/>
    <x v="13"/>
    <x v="1"/>
    <x v="20"/>
    <x v="14"/>
    <x v="15"/>
    <x v="20"/>
    <x v="14"/>
  </r>
  <r>
    <x v="48"/>
    <x v="47"/>
    <x v="47"/>
    <x v="0"/>
    <x v="0"/>
    <s v="Authentication, Authorization, and Accounting"/>
    <s v="Yes"/>
    <n v="1"/>
    <n v="0"/>
    <x v="2"/>
    <n v="40"/>
    <n v="0"/>
    <x v="13"/>
    <x v="1"/>
    <x v="21"/>
    <x v="14"/>
    <x v="16"/>
    <x v="22"/>
    <x v="13"/>
  </r>
  <r>
    <x v="49"/>
    <x v="48"/>
    <x v="48"/>
    <x v="0"/>
    <x v="0"/>
    <s v="Authentication, Authorization, and Accounting"/>
    <s v="No"/>
    <n v="1"/>
    <n v="0"/>
    <x v="2"/>
    <n v="40"/>
    <n v="0"/>
    <x v="13"/>
    <x v="1"/>
    <x v="9"/>
    <x v="1"/>
    <x v="1"/>
    <x v="2"/>
    <x v="14"/>
  </r>
  <r>
    <x v="50"/>
    <x v="49"/>
    <x v="49"/>
    <x v="0"/>
    <x v="0"/>
    <s v="Authentication, Authorization, and Accounting"/>
    <s v="No"/>
    <n v="1"/>
    <n v="0"/>
    <x v="2"/>
    <n v="25"/>
    <n v="0"/>
    <x v="13"/>
    <x v="1"/>
    <x v="9"/>
    <x v="14"/>
    <x v="1"/>
    <x v="2"/>
    <x v="13"/>
  </r>
  <r>
    <x v="51"/>
    <x v="50"/>
    <x v="50"/>
    <x v="0"/>
    <x v="0"/>
    <s v="Authentication, Authorization, and Accounting"/>
    <s v="Yes"/>
    <n v="1"/>
    <n v="0"/>
    <x v="2"/>
    <n v="40"/>
    <n v="0"/>
    <x v="13"/>
    <x v="1"/>
    <x v="9"/>
    <x v="14"/>
    <x v="17"/>
    <x v="21"/>
    <x v="13"/>
  </r>
  <r>
    <x v="52"/>
    <x v="51"/>
    <x v="51"/>
    <x v="0"/>
    <x v="1"/>
    <s v="Authentication, Authorization, and Accounting"/>
    <s v="Yes"/>
    <n v="1"/>
    <n v="0"/>
    <x v="2"/>
    <n v="20"/>
    <n v="0"/>
    <x v="13"/>
    <x v="1"/>
    <x v="9"/>
    <x v="13"/>
    <x v="18"/>
    <x v="23"/>
    <x v="13"/>
  </r>
  <r>
    <x v="53"/>
    <x v="52"/>
    <x v="52"/>
    <x v="0"/>
    <x v="1"/>
    <s v="Authentication, Authorization, and Accounting"/>
    <s v="Yes"/>
    <n v="1"/>
    <n v="0"/>
    <x v="2"/>
    <n v="15"/>
    <n v="0"/>
    <x v="13"/>
    <x v="1"/>
    <x v="22"/>
    <x v="15"/>
    <x v="1"/>
    <x v="2"/>
    <x v="0"/>
  </r>
  <r>
    <x v="54"/>
    <x v="53"/>
    <x v="53"/>
    <x v="0"/>
    <x v="0"/>
    <s v="Authentication, Authorization, and Accounting"/>
    <s v="No"/>
    <n v="0"/>
    <n v="0"/>
    <x v="2"/>
    <s v=""/>
    <s v=""/>
    <x v="13"/>
    <x v="1"/>
    <x v="9"/>
    <x v="15"/>
    <x v="1"/>
    <x v="2"/>
    <x v="13"/>
  </r>
  <r>
    <x v="55"/>
    <x v="54"/>
    <x v="54"/>
    <x v="0"/>
    <x v="1"/>
    <s v="Authentication, Authorization, and Accounting"/>
    <s v="Yes"/>
    <n v="1"/>
    <n v="0"/>
    <x v="2"/>
    <n v="20"/>
    <n v="0"/>
    <x v="13"/>
    <x v="1"/>
    <x v="22"/>
    <x v="15"/>
    <x v="1"/>
    <x v="2"/>
    <x v="0"/>
  </r>
  <r>
    <x v="56"/>
    <x v="55"/>
    <x v="55"/>
    <x v="0"/>
    <x v="0"/>
    <s v="Authentication, Authorization, and Accounting"/>
    <s v="No"/>
    <n v="0"/>
    <n v="0"/>
    <x v="2"/>
    <s v=""/>
    <s v=""/>
    <x v="13"/>
    <x v="1"/>
    <x v="1"/>
    <x v="15"/>
    <x v="1"/>
    <x v="2"/>
    <x v="0"/>
  </r>
  <r>
    <x v="57"/>
    <x v="56"/>
    <x v="56"/>
    <x v="0"/>
    <x v="0"/>
    <s v="Authentication, Authorization, and Accounting"/>
    <s v="No"/>
    <n v="0"/>
    <n v="0"/>
    <x v="2"/>
    <s v=""/>
    <s v=""/>
    <x v="13"/>
    <x v="1"/>
    <x v="1"/>
    <x v="15"/>
    <x v="19"/>
    <x v="2"/>
    <x v="13"/>
  </r>
  <r>
    <x v="58"/>
    <x v="57"/>
    <x v="57"/>
    <x v="0"/>
    <x v="0"/>
    <s v="Authentication, Authorization, and Accounting"/>
    <s v="Yes"/>
    <n v="1"/>
    <n v="0"/>
    <x v="2"/>
    <n v="25"/>
    <n v="0"/>
    <x v="14"/>
    <x v="1"/>
    <x v="23"/>
    <x v="16"/>
    <x v="20"/>
    <x v="24"/>
    <x v="15"/>
  </r>
  <r>
    <x v="59"/>
    <x v="58"/>
    <x v="58"/>
    <x v="0"/>
    <x v="0"/>
    <s v="Authentication, Authorization, and Accounting"/>
    <s v="No"/>
    <n v="1"/>
    <n v="0"/>
    <x v="2"/>
    <n v="25"/>
    <n v="0"/>
    <x v="14"/>
    <x v="1"/>
    <x v="23"/>
    <x v="16"/>
    <x v="21"/>
    <x v="25"/>
    <x v="16"/>
  </r>
  <r>
    <x v="60"/>
    <x v="59"/>
    <x v="59"/>
    <x v="0"/>
    <x v="1"/>
    <s v="Authentication, Authorization, and Accounting"/>
    <s v="Yes"/>
    <n v="1"/>
    <n v="0"/>
    <x v="2"/>
    <n v="20"/>
    <n v="0"/>
    <x v="14"/>
    <x v="1"/>
    <x v="23"/>
    <x v="16"/>
    <x v="22"/>
    <x v="26"/>
    <x v="17"/>
  </r>
  <r>
    <x v="61"/>
    <x v="60"/>
    <x v="60"/>
    <x v="0"/>
    <x v="0"/>
    <s v="Business Continuity Plan"/>
    <s v="Yes"/>
    <n v="1"/>
    <n v="0"/>
    <x v="2"/>
    <n v="25"/>
    <n v="0"/>
    <x v="2"/>
    <x v="1"/>
    <x v="24"/>
    <x v="3"/>
    <x v="23"/>
    <x v="27"/>
    <x v="0"/>
  </r>
  <r>
    <x v="62"/>
    <x v="61"/>
    <x v="61"/>
    <x v="0"/>
    <x v="1"/>
    <s v="Business Continuity Plan"/>
    <s v="Yes"/>
    <n v="1"/>
    <n v="0"/>
    <x v="2"/>
    <n v="20"/>
    <n v="0"/>
    <x v="2"/>
    <x v="1"/>
    <x v="1"/>
    <x v="3"/>
    <x v="23"/>
    <x v="28"/>
    <x v="0"/>
  </r>
  <r>
    <x v="63"/>
    <x v="62"/>
    <x v="62"/>
    <x v="0"/>
    <x v="1"/>
    <s v="Business Continuity Plan"/>
    <s v="Yes"/>
    <n v="1"/>
    <n v="0"/>
    <x v="2"/>
    <n v="20"/>
    <n v="0"/>
    <x v="2"/>
    <x v="1"/>
    <x v="24"/>
    <x v="3"/>
    <x v="23"/>
    <x v="27"/>
    <x v="0"/>
  </r>
  <r>
    <x v="64"/>
    <x v="63"/>
    <x v="63"/>
    <x v="0"/>
    <x v="1"/>
    <s v="Business Continuity Plan"/>
    <s v="Yes"/>
    <n v="1"/>
    <n v="0"/>
    <x v="2"/>
    <n v="20"/>
    <n v="0"/>
    <x v="2"/>
    <x v="1"/>
    <x v="25"/>
    <x v="3"/>
    <x v="23"/>
    <x v="27"/>
    <x v="0"/>
  </r>
  <r>
    <x v="65"/>
    <x v="64"/>
    <x v="64"/>
    <x v="0"/>
    <x v="1"/>
    <s v="Business Continuity Plan"/>
    <s v="Yes"/>
    <n v="1"/>
    <n v="0"/>
    <x v="2"/>
    <n v="20"/>
    <n v="0"/>
    <x v="2"/>
    <x v="1"/>
    <x v="2"/>
    <x v="3"/>
    <x v="23"/>
    <x v="27"/>
    <x v="0"/>
  </r>
  <r>
    <x v="66"/>
    <x v="65"/>
    <x v="65"/>
    <x v="0"/>
    <x v="0"/>
    <s v="Business Continuity Plan"/>
    <s v="Yes"/>
    <n v="1"/>
    <n v="0"/>
    <x v="2"/>
    <n v="25"/>
    <n v="0"/>
    <x v="2"/>
    <x v="1"/>
    <x v="2"/>
    <x v="3"/>
    <x v="23"/>
    <x v="27"/>
    <x v="0"/>
  </r>
  <r>
    <x v="67"/>
    <x v="66"/>
    <x v="66"/>
    <x v="0"/>
    <x v="0"/>
    <s v="Business Continuity Plan"/>
    <s v="Yes"/>
    <n v="1"/>
    <n v="0"/>
    <x v="2"/>
    <n v="25"/>
    <n v="0"/>
    <x v="2"/>
    <x v="1"/>
    <x v="26"/>
    <x v="3"/>
    <x v="23"/>
    <x v="27"/>
    <x v="0"/>
  </r>
  <r>
    <x v="68"/>
    <x v="67"/>
    <x v="67"/>
    <x v="0"/>
    <x v="1"/>
    <s v="Business Continuity Plan"/>
    <s v="Yes"/>
    <n v="1"/>
    <n v="0"/>
    <x v="2"/>
    <n v="20"/>
    <n v="0"/>
    <x v="2"/>
    <x v="1"/>
    <x v="27"/>
    <x v="3"/>
    <x v="24"/>
    <x v="29"/>
    <x v="11"/>
  </r>
  <r>
    <x v="69"/>
    <x v="68"/>
    <x v="68"/>
    <x v="0"/>
    <x v="1"/>
    <s v="Business Continuity Plan"/>
    <s v="Yes"/>
    <n v="1"/>
    <n v="0"/>
    <x v="2"/>
    <n v="20"/>
    <n v="0"/>
    <x v="2"/>
    <x v="1"/>
    <x v="28"/>
    <x v="3"/>
    <x v="1"/>
    <x v="28"/>
    <x v="11"/>
  </r>
  <r>
    <x v="70"/>
    <x v="69"/>
    <x v="69"/>
    <x v="0"/>
    <x v="1"/>
    <s v="Business Continuity Plan"/>
    <s v="Yes"/>
    <n v="1"/>
    <n v="0"/>
    <x v="2"/>
    <n v="20"/>
    <n v="0"/>
    <x v="2"/>
    <x v="1"/>
    <x v="29"/>
    <x v="3"/>
    <x v="1"/>
    <x v="28"/>
    <x v="2"/>
  </r>
  <r>
    <x v="71"/>
    <x v="70"/>
    <x v="70"/>
    <x v="0"/>
    <x v="1"/>
    <s v="Business Continuity Plan"/>
    <s v="Yes"/>
    <n v="0"/>
    <n v="0"/>
    <x v="2"/>
    <n v="20"/>
    <s v=""/>
    <x v="2"/>
    <x v="1"/>
    <x v="26"/>
    <x v="3"/>
    <x v="1"/>
    <x v="28"/>
    <x v="2"/>
  </r>
  <r>
    <x v="72"/>
    <x v="71"/>
    <x v="71"/>
    <x v="0"/>
    <x v="1"/>
    <s v="Business Continuity Plan"/>
    <s v="Yes"/>
    <n v="1"/>
    <n v="0"/>
    <x v="2"/>
    <n v="15"/>
    <n v="0"/>
    <x v="2"/>
    <x v="1"/>
    <x v="1"/>
    <x v="3"/>
    <x v="1"/>
    <x v="28"/>
    <x v="2"/>
  </r>
  <r>
    <x v="73"/>
    <x v="72"/>
    <x v="72"/>
    <x v="0"/>
    <x v="0"/>
    <s v="Change Management"/>
    <s v="Yes"/>
    <n v="1"/>
    <n v="0"/>
    <x v="2"/>
    <n v="25"/>
    <n v="0"/>
    <x v="2"/>
    <x v="1"/>
    <x v="30"/>
    <x v="17"/>
    <x v="25"/>
    <x v="30"/>
    <x v="18"/>
  </r>
  <r>
    <x v="74"/>
    <x v="73"/>
    <x v="73"/>
    <x v="0"/>
    <x v="1"/>
    <s v="Change Management"/>
    <s v="Yes"/>
    <n v="1"/>
    <n v="0"/>
    <x v="2"/>
    <n v="20"/>
    <n v="0"/>
    <x v="2"/>
    <x v="1"/>
    <x v="30"/>
    <x v="18"/>
    <x v="26"/>
    <x v="30"/>
    <x v="18"/>
  </r>
  <r>
    <x v="75"/>
    <x v="74"/>
    <x v="74"/>
    <x v="0"/>
    <x v="1"/>
    <s v="Change Management"/>
    <s v="Yes"/>
    <n v="1"/>
    <n v="0"/>
    <x v="2"/>
    <n v="20"/>
    <n v="0"/>
    <x v="2"/>
    <x v="1"/>
    <x v="30"/>
    <x v="1"/>
    <x v="1"/>
    <x v="30"/>
    <x v="19"/>
  </r>
  <r>
    <x v="76"/>
    <x v="75"/>
    <x v="75"/>
    <x v="0"/>
    <x v="1"/>
    <s v="Change Management"/>
    <s v="Yes"/>
    <n v="1"/>
    <n v="0"/>
    <x v="2"/>
    <n v="20"/>
    <n v="0"/>
    <x v="2"/>
    <x v="1"/>
    <x v="1"/>
    <x v="1"/>
    <x v="1"/>
    <x v="30"/>
    <x v="2"/>
  </r>
  <r>
    <x v="77"/>
    <x v="76"/>
    <x v="76"/>
    <x v="0"/>
    <x v="0"/>
    <s v="Change Management"/>
    <s v="Yes"/>
    <n v="1"/>
    <n v="0"/>
    <x v="2"/>
    <n v="25"/>
    <n v="0"/>
    <x v="10"/>
    <x v="1"/>
    <x v="1"/>
    <x v="1"/>
    <x v="1"/>
    <x v="30"/>
    <x v="20"/>
  </r>
  <r>
    <x v="78"/>
    <x v="77"/>
    <x v="77"/>
    <x v="0"/>
    <x v="1"/>
    <s v="Change Management"/>
    <s v="Yes"/>
    <n v="1"/>
    <n v="0"/>
    <x v="2"/>
    <n v="10"/>
    <n v="0"/>
    <x v="10"/>
    <x v="1"/>
    <x v="1"/>
    <x v="1"/>
    <x v="1"/>
    <x v="30"/>
    <x v="0"/>
  </r>
  <r>
    <x v="79"/>
    <x v="78"/>
    <x v="78"/>
    <x v="0"/>
    <x v="1"/>
    <s v="Change Management"/>
    <s v="Yes"/>
    <n v="1"/>
    <n v="0"/>
    <x v="2"/>
    <n v="15"/>
    <n v="0"/>
    <x v="2"/>
    <x v="1"/>
    <x v="1"/>
    <x v="1"/>
    <x v="1"/>
    <x v="30"/>
    <x v="0"/>
  </r>
  <r>
    <x v="80"/>
    <x v="79"/>
    <x v="79"/>
    <x v="0"/>
    <x v="0"/>
    <s v="Change Management"/>
    <s v="Yes"/>
    <n v="1"/>
    <n v="0"/>
    <x v="2"/>
    <n v="25"/>
    <n v="0"/>
    <x v="10"/>
    <x v="1"/>
    <x v="16"/>
    <x v="19"/>
    <x v="27"/>
    <x v="30"/>
    <x v="2"/>
  </r>
  <r>
    <x v="81"/>
    <x v="80"/>
    <x v="80"/>
    <x v="0"/>
    <x v="1"/>
    <s v="Change Management"/>
    <s v="Yes"/>
    <n v="1"/>
    <n v="0"/>
    <x v="2"/>
    <n v="15"/>
    <n v="0"/>
    <x v="2"/>
    <x v="1"/>
    <x v="1"/>
    <x v="1"/>
    <x v="28"/>
    <x v="30"/>
    <x v="0"/>
  </r>
  <r>
    <x v="82"/>
    <x v="81"/>
    <x v="81"/>
    <x v="0"/>
    <x v="1"/>
    <s v="Change Management"/>
    <s v="Yes"/>
    <n v="1"/>
    <n v="0"/>
    <x v="2"/>
    <n v="15"/>
    <n v="0"/>
    <x v="10"/>
    <x v="1"/>
    <x v="1"/>
    <x v="1"/>
    <x v="1"/>
    <x v="30"/>
    <x v="0"/>
  </r>
  <r>
    <x v="83"/>
    <x v="82"/>
    <x v="82"/>
    <x v="0"/>
    <x v="1"/>
    <s v="Change Management"/>
    <s v="Yes"/>
    <n v="1"/>
    <n v="0"/>
    <x v="2"/>
    <n v="15"/>
    <n v="0"/>
    <x v="5"/>
    <x v="1"/>
    <x v="1"/>
    <x v="1"/>
    <x v="1"/>
    <x v="30"/>
    <x v="0"/>
  </r>
  <r>
    <x v="84"/>
    <x v="83"/>
    <x v="83"/>
    <x v="0"/>
    <x v="1"/>
    <s v="Change Management"/>
    <s v="Yes"/>
    <n v="1"/>
    <n v="0"/>
    <x v="2"/>
    <n v="20"/>
    <n v="0"/>
    <x v="10"/>
    <x v="1"/>
    <x v="31"/>
    <x v="1"/>
    <x v="1"/>
    <x v="30"/>
    <x v="21"/>
  </r>
  <r>
    <x v="85"/>
    <x v="84"/>
    <x v="84"/>
    <x v="0"/>
    <x v="1"/>
    <s v="Change Management"/>
    <s v="Yes"/>
    <n v="1"/>
    <n v="0"/>
    <x v="2"/>
    <n v="20"/>
    <n v="0"/>
    <x v="0"/>
    <x v="4"/>
    <x v="31"/>
    <x v="1"/>
    <x v="1"/>
    <x v="30"/>
    <x v="22"/>
  </r>
  <r>
    <x v="86"/>
    <x v="85"/>
    <x v="85"/>
    <x v="0"/>
    <x v="1"/>
    <s v="Change Management"/>
    <s v="Yes"/>
    <n v="1"/>
    <n v="0"/>
    <x v="2"/>
    <n v="15"/>
    <n v="0"/>
    <x v="2"/>
    <x v="1"/>
    <x v="1"/>
    <x v="1"/>
    <x v="1"/>
    <x v="30"/>
    <x v="23"/>
  </r>
  <r>
    <x v="87"/>
    <x v="86"/>
    <x v="86"/>
    <x v="0"/>
    <x v="1"/>
    <s v="Change Management"/>
    <s v="Yes"/>
    <n v="1"/>
    <n v="0"/>
    <x v="2"/>
    <n v="15"/>
    <n v="0"/>
    <x v="2"/>
    <x v="1"/>
    <x v="30"/>
    <x v="17"/>
    <x v="1"/>
    <x v="30"/>
    <x v="24"/>
  </r>
  <r>
    <x v="88"/>
    <x v="87"/>
    <x v="87"/>
    <x v="0"/>
    <x v="0"/>
    <s v="Data"/>
    <s v="Yes"/>
    <n v="1"/>
    <n v="0"/>
    <x v="2"/>
    <n v="25"/>
    <n v="0"/>
    <x v="9"/>
    <x v="1"/>
    <x v="1"/>
    <x v="20"/>
    <x v="29"/>
    <x v="31"/>
    <x v="1"/>
  </r>
  <r>
    <x v="89"/>
    <x v="88"/>
    <x v="88"/>
    <x v="0"/>
    <x v="1"/>
    <s v="Data"/>
    <s v="Yes"/>
    <n v="1"/>
    <n v="0"/>
    <x v="2"/>
    <n v="15"/>
    <n v="0"/>
    <x v="9"/>
    <x v="1"/>
    <x v="1"/>
    <x v="20"/>
    <x v="30"/>
    <x v="32"/>
    <x v="25"/>
  </r>
  <r>
    <x v="90"/>
    <x v="89"/>
    <x v="89"/>
    <x v="0"/>
    <x v="0"/>
    <s v="Data"/>
    <s v="Yes"/>
    <n v="1"/>
    <n v="0"/>
    <x v="2"/>
    <n v="25"/>
    <n v="0"/>
    <x v="0"/>
    <x v="1"/>
    <x v="32"/>
    <x v="21"/>
    <x v="1"/>
    <x v="2"/>
    <x v="26"/>
  </r>
  <r>
    <x v="91"/>
    <x v="90"/>
    <x v="90"/>
    <x v="0"/>
    <x v="0"/>
    <s v="Data"/>
    <s v="Yes"/>
    <n v="1"/>
    <n v="0"/>
    <x v="2"/>
    <n v="40"/>
    <n v="0"/>
    <x v="0"/>
    <x v="1"/>
    <x v="33"/>
    <x v="22"/>
    <x v="31"/>
    <x v="33"/>
    <x v="1"/>
  </r>
  <r>
    <x v="92"/>
    <x v="91"/>
    <x v="91"/>
    <x v="0"/>
    <x v="0"/>
    <s v="Data"/>
    <s v="Yes"/>
    <n v="1"/>
    <n v="0"/>
    <x v="2"/>
    <n v="25"/>
    <n v="0"/>
    <x v="0"/>
    <x v="1"/>
    <x v="33"/>
    <x v="1"/>
    <x v="32"/>
    <x v="2"/>
    <x v="2"/>
  </r>
  <r>
    <x v="93"/>
    <x v="92"/>
    <x v="92"/>
    <x v="0"/>
    <x v="0"/>
    <s v="Data"/>
    <s v="Yes"/>
    <n v="1"/>
    <n v="0"/>
    <x v="2"/>
    <n v="25"/>
    <n v="0"/>
    <x v="0"/>
    <x v="1"/>
    <x v="34"/>
    <x v="21"/>
    <x v="1"/>
    <x v="34"/>
    <x v="26"/>
  </r>
  <r>
    <x v="94"/>
    <x v="93"/>
    <x v="93"/>
    <x v="0"/>
    <x v="1"/>
    <s v="Data"/>
    <m/>
    <n v="1"/>
    <n v="0"/>
    <x v="2"/>
    <n v="20"/>
    <n v="0"/>
    <x v="15"/>
    <x v="1"/>
    <x v="1"/>
    <x v="1"/>
    <x v="33"/>
    <x v="12"/>
    <x v="25"/>
  </r>
  <r>
    <x v="95"/>
    <x v="94"/>
    <x v="94"/>
    <x v="0"/>
    <x v="0"/>
    <s v="Data"/>
    <s v="Yes"/>
    <n v="1"/>
    <n v="0"/>
    <x v="2"/>
    <n v="25"/>
    <n v="0"/>
    <x v="0"/>
    <x v="1"/>
    <x v="35"/>
    <x v="1"/>
    <x v="33"/>
    <x v="12"/>
    <x v="1"/>
  </r>
  <r>
    <x v="96"/>
    <x v="95"/>
    <x v="95"/>
    <x v="0"/>
    <x v="1"/>
    <s v="Data"/>
    <s v="Yes"/>
    <n v="1"/>
    <n v="0"/>
    <x v="2"/>
    <n v="20"/>
    <n v="0"/>
    <x v="0"/>
    <x v="1"/>
    <x v="35"/>
    <x v="1"/>
    <x v="1"/>
    <x v="2"/>
    <x v="1"/>
  </r>
  <r>
    <x v="97"/>
    <x v="96"/>
    <x v="96"/>
    <x v="0"/>
    <x v="1"/>
    <s v="Data"/>
    <s v="Yes"/>
    <n v="1"/>
    <n v="0"/>
    <x v="2"/>
    <n v="15"/>
    <n v="0"/>
    <x v="5"/>
    <x v="1"/>
    <x v="36"/>
    <x v="1"/>
    <x v="1"/>
    <x v="2"/>
    <x v="1"/>
  </r>
  <r>
    <x v="98"/>
    <x v="97"/>
    <x v="97"/>
    <x v="0"/>
    <x v="0"/>
    <s v="Data"/>
    <s v="Yes"/>
    <n v="1"/>
    <n v="0"/>
    <x v="2"/>
    <n v="25"/>
    <n v="0"/>
    <x v="0"/>
    <x v="1"/>
    <x v="37"/>
    <x v="1"/>
    <x v="33"/>
    <x v="2"/>
    <x v="1"/>
  </r>
  <r>
    <x v="99"/>
    <x v="98"/>
    <x v="98"/>
    <x v="0"/>
    <x v="1"/>
    <s v="Data"/>
    <s v="Yes"/>
    <n v="0"/>
    <n v="0"/>
    <x v="2"/>
    <n v="0"/>
    <s v=""/>
    <x v="0"/>
    <x v="1"/>
    <x v="37"/>
    <x v="1"/>
    <x v="5"/>
    <x v="2"/>
    <x v="1"/>
  </r>
  <r>
    <x v="100"/>
    <x v="99"/>
    <x v="99"/>
    <x v="0"/>
    <x v="1"/>
    <s v="Data"/>
    <s v="Yes"/>
    <n v="1"/>
    <n v="0"/>
    <x v="2"/>
    <n v="15"/>
    <n v="0"/>
    <x v="16"/>
    <x v="1"/>
    <x v="37"/>
    <x v="1"/>
    <x v="33"/>
    <x v="2"/>
    <x v="1"/>
  </r>
  <r>
    <x v="101"/>
    <x v="100"/>
    <x v="100"/>
    <x v="0"/>
    <x v="1"/>
    <s v="Data"/>
    <m/>
    <n v="1"/>
    <n v="0"/>
    <x v="2"/>
    <n v="20"/>
    <n v="0"/>
    <x v="2"/>
    <x v="1"/>
    <x v="36"/>
    <x v="23"/>
    <x v="34"/>
    <x v="35"/>
    <x v="27"/>
  </r>
  <r>
    <x v="102"/>
    <x v="101"/>
    <x v="101"/>
    <x v="0"/>
    <x v="1"/>
    <s v="Data"/>
    <s v="Yes"/>
    <n v="1"/>
    <n v="0"/>
    <x v="2"/>
    <n v="20"/>
    <n v="0"/>
    <x v="2"/>
    <x v="1"/>
    <x v="36"/>
    <x v="23"/>
    <x v="34"/>
    <x v="35"/>
    <x v="1"/>
  </r>
  <r>
    <x v="103"/>
    <x v="102"/>
    <x v="102"/>
    <x v="0"/>
    <x v="1"/>
    <s v="Data"/>
    <m/>
    <n v="1"/>
    <n v="0"/>
    <x v="2"/>
    <n v="20"/>
    <n v="0"/>
    <x v="2"/>
    <x v="1"/>
    <x v="36"/>
    <x v="23"/>
    <x v="34"/>
    <x v="35"/>
    <x v="0"/>
  </r>
  <r>
    <x v="104"/>
    <x v="103"/>
    <x v="103"/>
    <x v="0"/>
    <x v="0"/>
    <s v="Data"/>
    <s v="Yes"/>
    <n v="1"/>
    <n v="0"/>
    <x v="2"/>
    <n v="25"/>
    <n v="0"/>
    <x v="2"/>
    <x v="1"/>
    <x v="36"/>
    <x v="24"/>
    <x v="34"/>
    <x v="35"/>
    <x v="0"/>
  </r>
  <r>
    <x v="105"/>
    <x v="104"/>
    <x v="104"/>
    <x v="0"/>
    <x v="1"/>
    <s v="Data"/>
    <s v="Yes"/>
    <n v="1"/>
    <n v="0"/>
    <x v="2"/>
    <n v="15"/>
    <n v="0"/>
    <x v="2"/>
    <x v="1"/>
    <x v="38"/>
    <x v="1"/>
    <x v="35"/>
    <x v="36"/>
    <x v="0"/>
  </r>
  <r>
    <x v="106"/>
    <x v="105"/>
    <x v="105"/>
    <x v="0"/>
    <x v="1"/>
    <s v="Data"/>
    <s v="Yes"/>
    <n v="1"/>
    <n v="0"/>
    <x v="2"/>
    <n v="10"/>
    <n v="0"/>
    <x v="2"/>
    <x v="1"/>
    <x v="36"/>
    <x v="23"/>
    <x v="36"/>
    <x v="35"/>
    <x v="27"/>
  </r>
  <r>
    <x v="107"/>
    <x v="106"/>
    <x v="106"/>
    <x v="0"/>
    <x v="1"/>
    <s v="Data"/>
    <s v="Yes"/>
    <n v="1"/>
    <n v="0"/>
    <x v="2"/>
    <n v="20"/>
    <n v="0"/>
    <x v="2"/>
    <x v="1"/>
    <x v="36"/>
    <x v="23"/>
    <x v="37"/>
    <x v="37"/>
    <x v="27"/>
  </r>
  <r>
    <x v="108"/>
    <x v="107"/>
    <x v="107"/>
    <x v="0"/>
    <x v="1"/>
    <s v="Data"/>
    <s v="Yes"/>
    <n v="1"/>
    <n v="0"/>
    <x v="2"/>
    <n v="20"/>
    <n v="0"/>
    <x v="0"/>
    <x v="1"/>
    <x v="36"/>
    <x v="1"/>
    <x v="34"/>
    <x v="37"/>
    <x v="1"/>
  </r>
  <r>
    <x v="109"/>
    <x v="108"/>
    <x v="108"/>
    <x v="0"/>
    <x v="0"/>
    <s v="Data"/>
    <s v="No"/>
    <n v="1"/>
    <n v="0"/>
    <x v="2"/>
    <n v="25"/>
    <n v="0"/>
    <x v="0"/>
    <x v="1"/>
    <x v="39"/>
    <x v="25"/>
    <x v="38"/>
    <x v="38"/>
    <x v="27"/>
  </r>
  <r>
    <x v="110"/>
    <x v="109"/>
    <x v="109"/>
    <x v="0"/>
    <x v="1"/>
    <s v="Data"/>
    <s v="Yes"/>
    <n v="1"/>
    <n v="0"/>
    <x v="2"/>
    <n v="15"/>
    <n v="0"/>
    <x v="0"/>
    <x v="1"/>
    <x v="40"/>
    <x v="25"/>
    <x v="39"/>
    <x v="39"/>
    <x v="0"/>
  </r>
  <r>
    <x v="111"/>
    <x v="110"/>
    <x v="110"/>
    <x v="0"/>
    <x v="1"/>
    <s v="Data"/>
    <s v="Yes"/>
    <n v="1"/>
    <n v="0"/>
    <x v="2"/>
    <n v="20"/>
    <n v="0"/>
    <x v="0"/>
    <x v="1"/>
    <x v="40"/>
    <x v="26"/>
    <x v="39"/>
    <x v="40"/>
    <x v="0"/>
  </r>
  <r>
    <x v="112"/>
    <x v="111"/>
    <x v="111"/>
    <x v="0"/>
    <x v="1"/>
    <s v="Data"/>
    <s v="Yes"/>
    <n v="1"/>
    <n v="0"/>
    <x v="2"/>
    <n v="20"/>
    <n v="0"/>
    <x v="0"/>
    <x v="1"/>
    <x v="40"/>
    <x v="25"/>
    <x v="40"/>
    <x v="41"/>
    <x v="25"/>
  </r>
  <r>
    <x v="113"/>
    <x v="112"/>
    <x v="112"/>
    <x v="0"/>
    <x v="1"/>
    <s v="Data"/>
    <s v="Yes"/>
    <n v="1"/>
    <n v="0"/>
    <x v="2"/>
    <n v="20"/>
    <n v="0"/>
    <x v="0"/>
    <x v="1"/>
    <x v="0"/>
    <x v="0"/>
    <x v="1"/>
    <x v="2"/>
    <x v="0"/>
  </r>
  <r>
    <x v="114"/>
    <x v="113"/>
    <x v="113"/>
    <x v="0"/>
    <x v="0"/>
    <s v="Data"/>
    <s v="Yes"/>
    <n v="1"/>
    <n v="0"/>
    <x v="2"/>
    <n v="25"/>
    <n v="0"/>
    <x v="17"/>
    <x v="1"/>
    <x v="41"/>
    <x v="13"/>
    <x v="1"/>
    <x v="2"/>
    <x v="0"/>
  </r>
  <r>
    <x v="115"/>
    <x v="114"/>
    <x v="114"/>
    <x v="0"/>
    <x v="0"/>
    <s v="Database"/>
    <s v="Yes"/>
    <n v="1"/>
    <n v="0"/>
    <x v="2"/>
    <n v="25"/>
    <n v="0"/>
    <x v="0"/>
    <x v="1"/>
    <x v="32"/>
    <x v="22"/>
    <x v="1"/>
    <x v="2"/>
    <x v="0"/>
  </r>
  <r>
    <x v="116"/>
    <x v="115"/>
    <x v="115"/>
    <x v="0"/>
    <x v="0"/>
    <s v="Database"/>
    <s v="Yes"/>
    <n v="1"/>
    <n v="0"/>
    <x v="2"/>
    <n v="25"/>
    <n v="0"/>
    <x v="0"/>
    <x v="1"/>
    <x v="32"/>
    <x v="27"/>
    <x v="1"/>
    <x v="2"/>
    <x v="0"/>
  </r>
  <r>
    <x v="117"/>
    <x v="116"/>
    <x v="116"/>
    <x v="0"/>
    <x v="1"/>
    <s v="Datacenter"/>
    <s v="Yes"/>
    <n v="1"/>
    <n v="0"/>
    <x v="2"/>
    <n v="15"/>
    <n v="0"/>
    <x v="4"/>
    <x v="1"/>
    <x v="42"/>
    <x v="20"/>
    <x v="1"/>
    <x v="2"/>
    <x v="25"/>
  </r>
  <r>
    <x v="118"/>
    <x v="117"/>
    <x v="117"/>
    <x v="0"/>
    <x v="1"/>
    <s v="Datacenter"/>
    <s v="Yes"/>
    <n v="1"/>
    <n v="0"/>
    <x v="2"/>
    <n v="15"/>
    <n v="0"/>
    <x v="0"/>
    <x v="1"/>
    <x v="42"/>
    <x v="1"/>
    <x v="1"/>
    <x v="2"/>
    <x v="0"/>
  </r>
  <r>
    <x v="119"/>
    <x v="118"/>
    <x v="118"/>
    <x v="0"/>
    <x v="1"/>
    <s v="Datacenter"/>
    <s v="Yes"/>
    <n v="1"/>
    <n v="0"/>
    <x v="2"/>
    <n v="15"/>
    <n v="0"/>
    <x v="18"/>
    <x v="1"/>
    <x v="29"/>
    <x v="1"/>
    <x v="1"/>
    <x v="2"/>
    <x v="0"/>
  </r>
  <r>
    <x v="120"/>
    <x v="119"/>
    <x v="119"/>
    <x v="0"/>
    <x v="0"/>
    <s v="Datacenter"/>
    <s v="No"/>
    <n v="1"/>
    <n v="0"/>
    <x v="2"/>
    <n v="25"/>
    <n v="0"/>
    <x v="19"/>
    <x v="1"/>
    <x v="1"/>
    <x v="1"/>
    <x v="1"/>
    <x v="11"/>
    <x v="1"/>
  </r>
  <r>
    <x v="121"/>
    <x v="24"/>
    <x v="24"/>
    <x v="2"/>
    <x v="0"/>
    <s v="Datacenter"/>
    <s v="Yes"/>
    <n v="0"/>
    <e v="#N/A"/>
    <x v="3"/>
    <s v=""/>
    <s v=""/>
    <x v="6"/>
    <x v="3"/>
    <x v="10"/>
    <x v="6"/>
    <x v="8"/>
    <x v="13"/>
    <x v="7"/>
  </r>
  <r>
    <x v="122"/>
    <x v="24"/>
    <x v="24"/>
    <x v="2"/>
    <x v="0"/>
    <s v="Datacenter"/>
    <s v="Yes"/>
    <n v="0"/>
    <e v="#N/A"/>
    <x v="3"/>
    <s v=""/>
    <s v=""/>
    <x v="6"/>
    <x v="3"/>
    <x v="10"/>
    <x v="6"/>
    <x v="8"/>
    <x v="13"/>
    <x v="7"/>
  </r>
  <r>
    <x v="123"/>
    <x v="120"/>
    <x v="120"/>
    <x v="0"/>
    <x v="1"/>
    <s v="Datacenter"/>
    <s v="Yes"/>
    <n v="1"/>
    <n v="0"/>
    <x v="2"/>
    <n v="20"/>
    <n v="0"/>
    <x v="20"/>
    <x v="1"/>
    <x v="1"/>
    <x v="28"/>
    <x v="41"/>
    <x v="2"/>
    <x v="0"/>
  </r>
  <r>
    <x v="124"/>
    <x v="121"/>
    <x v="121"/>
    <x v="0"/>
    <x v="1"/>
    <s v="Datacenter"/>
    <s v="No"/>
    <n v="1"/>
    <n v="0"/>
    <x v="2"/>
    <n v="20"/>
    <n v="0"/>
    <x v="9"/>
    <x v="1"/>
    <x v="0"/>
    <x v="1"/>
    <x v="1"/>
    <x v="2"/>
    <x v="1"/>
  </r>
  <r>
    <x v="125"/>
    <x v="122"/>
    <x v="122"/>
    <x v="0"/>
    <x v="0"/>
    <s v="Datacenter"/>
    <s v="No"/>
    <n v="1"/>
    <n v="0"/>
    <x v="2"/>
    <n v="25"/>
    <n v="0"/>
    <x v="9"/>
    <x v="1"/>
    <x v="0"/>
    <x v="1"/>
    <x v="1"/>
    <x v="2"/>
    <x v="28"/>
  </r>
  <r>
    <x v="126"/>
    <x v="24"/>
    <x v="24"/>
    <x v="2"/>
    <x v="0"/>
    <s v="Datacenter"/>
    <s v="No"/>
    <n v="0"/>
    <e v="#N/A"/>
    <x v="3"/>
    <s v=""/>
    <s v=""/>
    <x v="6"/>
    <x v="3"/>
    <x v="10"/>
    <x v="6"/>
    <x v="8"/>
    <x v="13"/>
    <x v="7"/>
  </r>
  <r>
    <x v="127"/>
    <x v="123"/>
    <x v="123"/>
    <x v="0"/>
    <x v="1"/>
    <s v="Datacenter"/>
    <s v="Yes"/>
    <n v="1"/>
    <n v="0"/>
    <x v="2"/>
    <n v="20"/>
    <n v="0"/>
    <x v="2"/>
    <x v="1"/>
    <x v="43"/>
    <x v="1"/>
    <x v="1"/>
    <x v="2"/>
    <x v="1"/>
  </r>
  <r>
    <x v="128"/>
    <x v="124"/>
    <x v="124"/>
    <x v="0"/>
    <x v="1"/>
    <s v="Datacenter"/>
    <s v="Yes"/>
    <n v="1"/>
    <n v="0"/>
    <x v="2"/>
    <n v="20"/>
    <n v="0"/>
    <x v="9"/>
    <x v="1"/>
    <x v="0"/>
    <x v="1"/>
    <x v="1"/>
    <x v="2"/>
    <x v="1"/>
  </r>
  <r>
    <x v="129"/>
    <x v="125"/>
    <x v="125"/>
    <x v="0"/>
    <x v="1"/>
    <s v="Datacenter"/>
    <s v="Yes"/>
    <n v="1"/>
    <n v="0"/>
    <x v="2"/>
    <n v="15"/>
    <n v="0"/>
    <x v="5"/>
    <x v="1"/>
    <x v="24"/>
    <x v="1"/>
    <x v="1"/>
    <x v="2"/>
    <x v="0"/>
  </r>
  <r>
    <x v="130"/>
    <x v="126"/>
    <x v="126"/>
    <x v="0"/>
    <x v="1"/>
    <s v="Datacenter"/>
    <s v="Yes"/>
    <n v="1"/>
    <n v="0"/>
    <x v="2"/>
    <n v="20"/>
    <n v="0"/>
    <x v="2"/>
    <x v="1"/>
    <x v="24"/>
    <x v="29"/>
    <x v="1"/>
    <x v="2"/>
    <x v="0"/>
  </r>
  <r>
    <x v="131"/>
    <x v="127"/>
    <x v="127"/>
    <x v="0"/>
    <x v="1"/>
    <s v="Datacenter"/>
    <s v="Yes"/>
    <n v="1"/>
    <n v="0"/>
    <x v="2"/>
    <n v="20"/>
    <n v="0"/>
    <x v="5"/>
    <x v="1"/>
    <x v="29"/>
    <x v="29"/>
    <x v="1"/>
    <x v="2"/>
    <x v="0"/>
  </r>
  <r>
    <x v="132"/>
    <x v="24"/>
    <x v="24"/>
    <x v="2"/>
    <x v="0"/>
    <s v="Datacenter"/>
    <s v="Yes"/>
    <n v="0"/>
    <e v="#N/A"/>
    <x v="3"/>
    <s v=""/>
    <s v=""/>
    <x v="6"/>
    <x v="3"/>
    <x v="10"/>
    <x v="6"/>
    <x v="8"/>
    <x v="13"/>
    <x v="7"/>
  </r>
  <r>
    <x v="133"/>
    <x v="128"/>
    <x v="128"/>
    <x v="0"/>
    <x v="1"/>
    <s v="Datacenter"/>
    <s v="Yes"/>
    <n v="1"/>
    <n v="0"/>
    <x v="2"/>
    <n v="20"/>
    <n v="0"/>
    <x v="5"/>
    <x v="1"/>
    <x v="29"/>
    <x v="1"/>
    <x v="1"/>
    <x v="42"/>
    <x v="0"/>
  </r>
  <r>
    <x v="134"/>
    <x v="129"/>
    <x v="129"/>
    <x v="0"/>
    <x v="1"/>
    <s v="Datacenter"/>
    <s v="Yes"/>
    <n v="1"/>
    <n v="0"/>
    <x v="2"/>
    <n v="20"/>
    <n v="0"/>
    <x v="2"/>
    <x v="1"/>
    <x v="29"/>
    <x v="29"/>
    <x v="1"/>
    <x v="42"/>
    <x v="1"/>
  </r>
  <r>
    <x v="135"/>
    <x v="130"/>
    <x v="130"/>
    <x v="0"/>
    <x v="1"/>
    <s v="Datacenter"/>
    <s v="Yes"/>
    <n v="1"/>
    <n v="0"/>
    <x v="2"/>
    <n v="20"/>
    <n v="0"/>
    <x v="0"/>
    <x v="1"/>
    <x v="29"/>
    <x v="29"/>
    <x v="1"/>
    <x v="42"/>
    <x v="1"/>
  </r>
  <r>
    <x v="136"/>
    <x v="131"/>
    <x v="131"/>
    <x v="0"/>
    <x v="0"/>
    <s v="Disaster Recovery Plan"/>
    <s v="Yes"/>
    <n v="1"/>
    <n v="0"/>
    <x v="2"/>
    <n v="25"/>
    <n v="0"/>
    <x v="2"/>
    <x v="1"/>
    <x v="24"/>
    <x v="3"/>
    <x v="23"/>
    <x v="28"/>
    <x v="1"/>
  </r>
  <r>
    <x v="137"/>
    <x v="132"/>
    <x v="132"/>
    <x v="0"/>
    <x v="1"/>
    <s v="Disaster Recovery Plan"/>
    <s v="Yes"/>
    <n v="1"/>
    <n v="0"/>
    <x v="2"/>
    <n v="20"/>
    <n v="0"/>
    <x v="2"/>
    <x v="1"/>
    <x v="44"/>
    <x v="3"/>
    <x v="23"/>
    <x v="28"/>
    <x v="1"/>
  </r>
  <r>
    <x v="138"/>
    <x v="133"/>
    <x v="133"/>
    <x v="0"/>
    <x v="1"/>
    <s v="Disaster Recovery Plan"/>
    <s v="Yes"/>
    <n v="1"/>
    <n v="0"/>
    <x v="2"/>
    <n v="20"/>
    <n v="0"/>
    <x v="2"/>
    <x v="1"/>
    <x v="1"/>
    <x v="3"/>
    <x v="23"/>
    <x v="28"/>
    <x v="1"/>
  </r>
  <r>
    <x v="139"/>
    <x v="134"/>
    <x v="134"/>
    <x v="0"/>
    <x v="1"/>
    <s v="Disaster Recovery Plan"/>
    <s v="No"/>
    <n v="1"/>
    <n v="0"/>
    <x v="2"/>
    <n v="20"/>
    <n v="0"/>
    <x v="21"/>
    <x v="1"/>
    <x v="24"/>
    <x v="3"/>
    <x v="1"/>
    <x v="28"/>
    <x v="1"/>
  </r>
  <r>
    <x v="140"/>
    <x v="135"/>
    <x v="135"/>
    <x v="0"/>
    <x v="1"/>
    <s v="Disaster Recovery Plan"/>
    <s v="Yes"/>
    <n v="1"/>
    <n v="0"/>
    <x v="2"/>
    <n v="20"/>
    <n v="0"/>
    <x v="2"/>
    <x v="1"/>
    <x v="29"/>
    <x v="3"/>
    <x v="1"/>
    <x v="28"/>
    <x v="0"/>
  </r>
  <r>
    <x v="141"/>
    <x v="24"/>
    <x v="24"/>
    <x v="2"/>
    <x v="0"/>
    <s v="Disaster Recovery Plan"/>
    <s v="Yes"/>
    <n v="0"/>
    <e v="#N/A"/>
    <x v="3"/>
    <s v=""/>
    <s v=""/>
    <x v="6"/>
    <x v="3"/>
    <x v="10"/>
    <x v="6"/>
    <x v="8"/>
    <x v="13"/>
    <x v="7"/>
  </r>
  <r>
    <x v="142"/>
    <x v="136"/>
    <x v="136"/>
    <x v="0"/>
    <x v="0"/>
    <s v="Disaster Recovery Plan"/>
    <s v="Yes"/>
    <n v="1"/>
    <n v="0"/>
    <x v="2"/>
    <n v="25"/>
    <n v="0"/>
    <x v="2"/>
    <x v="1"/>
    <x v="1"/>
    <x v="3"/>
    <x v="23"/>
    <x v="28"/>
    <x v="1"/>
  </r>
  <r>
    <x v="143"/>
    <x v="137"/>
    <x v="137"/>
    <x v="0"/>
    <x v="1"/>
    <s v="Disaster Recovery Plan"/>
    <s v="Yes"/>
    <n v="1"/>
    <n v="0"/>
    <x v="2"/>
    <n v="20"/>
    <n v="0"/>
    <x v="2"/>
    <x v="1"/>
    <x v="2"/>
    <x v="3"/>
    <x v="23"/>
    <x v="28"/>
    <x v="1"/>
  </r>
  <r>
    <x v="144"/>
    <x v="138"/>
    <x v="138"/>
    <x v="0"/>
    <x v="1"/>
    <s v="Disaster Recovery Plan"/>
    <s v="Yes"/>
    <n v="1"/>
    <n v="0"/>
    <x v="2"/>
    <n v="20"/>
    <n v="0"/>
    <x v="2"/>
    <x v="1"/>
    <x v="26"/>
    <x v="3"/>
    <x v="23"/>
    <x v="28"/>
    <x v="0"/>
  </r>
  <r>
    <x v="145"/>
    <x v="139"/>
    <x v="139"/>
    <x v="0"/>
    <x v="1"/>
    <s v="Disaster Recovery Plan"/>
    <s v="Yes"/>
    <n v="1"/>
    <n v="0"/>
    <x v="2"/>
    <n v="20"/>
    <n v="0"/>
    <x v="2"/>
    <x v="1"/>
    <x v="26"/>
    <x v="3"/>
    <x v="23"/>
    <x v="28"/>
    <x v="0"/>
  </r>
  <r>
    <x v="146"/>
    <x v="24"/>
    <x v="24"/>
    <x v="2"/>
    <x v="0"/>
    <s v="Disaster Recovery Plan"/>
    <s v="Yes"/>
    <n v="0"/>
    <e v="#N/A"/>
    <x v="3"/>
    <s v=""/>
    <s v=""/>
    <x v="6"/>
    <x v="3"/>
    <x v="10"/>
    <x v="6"/>
    <x v="8"/>
    <x v="13"/>
    <x v="7"/>
  </r>
  <r>
    <x v="147"/>
    <x v="140"/>
    <x v="140"/>
    <x v="0"/>
    <x v="1"/>
    <s v="Disaster Recovery Plan"/>
    <s v="Yes"/>
    <n v="1"/>
    <n v="0"/>
    <x v="2"/>
    <n v="20"/>
    <n v="0"/>
    <x v="2"/>
    <x v="1"/>
    <x v="24"/>
    <x v="3"/>
    <x v="23"/>
    <x v="28"/>
    <x v="0"/>
  </r>
  <r>
    <x v="148"/>
    <x v="141"/>
    <x v="141"/>
    <x v="0"/>
    <x v="1"/>
    <s v="Disaster Recovery Plan"/>
    <s v="Yes"/>
    <n v="1"/>
    <n v="0"/>
    <x v="2"/>
    <n v="20"/>
    <n v="0"/>
    <x v="5"/>
    <x v="1"/>
    <x v="1"/>
    <x v="1"/>
    <x v="42"/>
    <x v="28"/>
    <x v="1"/>
  </r>
  <r>
    <x v="149"/>
    <x v="142"/>
    <x v="142"/>
    <x v="0"/>
    <x v="0"/>
    <s v="Firewalls, IDS, IPS, and Networking"/>
    <s v="Yes"/>
    <n v="1"/>
    <n v="0"/>
    <x v="2"/>
    <n v="25"/>
    <n v="0"/>
    <x v="20"/>
    <x v="1"/>
    <x v="45"/>
    <x v="30"/>
    <x v="1"/>
    <x v="2"/>
    <x v="29"/>
  </r>
  <r>
    <x v="150"/>
    <x v="143"/>
    <x v="143"/>
    <x v="0"/>
    <x v="0"/>
    <s v="Firewalls, IDS, IPS, and Networking"/>
    <s v="Yes"/>
    <n v="1"/>
    <n v="0"/>
    <x v="2"/>
    <n v="25"/>
    <n v="0"/>
    <x v="20"/>
    <x v="1"/>
    <x v="45"/>
    <x v="30"/>
    <x v="1"/>
    <x v="2"/>
    <x v="29"/>
  </r>
  <r>
    <x v="151"/>
    <x v="144"/>
    <x v="144"/>
    <x v="0"/>
    <x v="1"/>
    <s v="Firewalls, IDS, IPS, and Networking"/>
    <s v="Yes"/>
    <n v="1"/>
    <n v="0"/>
    <x v="2"/>
    <n v="20"/>
    <n v="0"/>
    <x v="20"/>
    <x v="1"/>
    <x v="46"/>
    <x v="28"/>
    <x v="1"/>
    <x v="2"/>
    <x v="29"/>
  </r>
  <r>
    <x v="152"/>
    <x v="145"/>
    <x v="145"/>
    <x v="0"/>
    <x v="0"/>
    <s v="Firewalls, IDS, IPS, and Networking"/>
    <s v="Yes"/>
    <n v="1"/>
    <n v="0"/>
    <x v="2"/>
    <n v="25"/>
    <n v="0"/>
    <x v="20"/>
    <x v="1"/>
    <x v="30"/>
    <x v="28"/>
    <x v="1"/>
    <x v="2"/>
    <x v="29"/>
  </r>
  <r>
    <x v="153"/>
    <x v="146"/>
    <x v="146"/>
    <x v="0"/>
    <x v="0"/>
    <s v="Firewalls, IDS, IPS, and Networking"/>
    <s v="Yes"/>
    <n v="1"/>
    <n v="0"/>
    <x v="2"/>
    <n v="25"/>
    <n v="0"/>
    <x v="22"/>
    <x v="1"/>
    <x v="47"/>
    <x v="31"/>
    <x v="43"/>
    <x v="43"/>
    <x v="30"/>
  </r>
  <r>
    <x v="154"/>
    <x v="147"/>
    <x v="147"/>
    <x v="0"/>
    <x v="1"/>
    <s v="Firewalls, IDS, IPS, and Networking"/>
    <s v="Yes"/>
    <n v="1"/>
    <n v="0"/>
    <x v="2"/>
    <n v="20"/>
    <n v="0"/>
    <x v="22"/>
    <x v="1"/>
    <x v="47"/>
    <x v="31"/>
    <x v="43"/>
    <x v="43"/>
    <x v="30"/>
  </r>
  <r>
    <x v="155"/>
    <x v="148"/>
    <x v="148"/>
    <x v="0"/>
    <x v="0"/>
    <s v="Firewalls, IDS, IPS, and Networking"/>
    <s v="Yes"/>
    <n v="1"/>
    <n v="0"/>
    <x v="2"/>
    <n v="25"/>
    <n v="0"/>
    <x v="22"/>
    <x v="1"/>
    <x v="47"/>
    <x v="31"/>
    <x v="43"/>
    <x v="43"/>
    <x v="30"/>
  </r>
  <r>
    <x v="156"/>
    <x v="149"/>
    <x v="149"/>
    <x v="0"/>
    <x v="1"/>
    <s v="Firewalls, IDS, IPS, and Networking"/>
    <s v="Yes"/>
    <n v="1"/>
    <n v="0"/>
    <x v="2"/>
    <n v="20"/>
    <n v="0"/>
    <x v="22"/>
    <x v="1"/>
    <x v="47"/>
    <x v="31"/>
    <x v="43"/>
    <x v="43"/>
    <x v="30"/>
  </r>
  <r>
    <x v="157"/>
    <x v="150"/>
    <x v="150"/>
    <x v="0"/>
    <x v="1"/>
    <s v="Firewalls, IDS, IPS, and Networking"/>
    <s v="Yes"/>
    <n v="1"/>
    <n v="0"/>
    <x v="2"/>
    <n v="20"/>
    <n v="0"/>
    <x v="22"/>
    <x v="1"/>
    <x v="48"/>
    <x v="1"/>
    <x v="43"/>
    <x v="43"/>
    <x v="31"/>
  </r>
  <r>
    <x v="158"/>
    <x v="151"/>
    <x v="151"/>
    <x v="0"/>
    <x v="1"/>
    <s v="Firewalls, IDS, IPS, and Networking"/>
    <s v="Yes"/>
    <n v="1"/>
    <n v="0"/>
    <x v="2"/>
    <n v="15"/>
    <n v="0"/>
    <x v="22"/>
    <x v="1"/>
    <x v="48"/>
    <x v="32"/>
    <x v="43"/>
    <x v="43"/>
    <x v="30"/>
  </r>
  <r>
    <x v="159"/>
    <x v="24"/>
    <x v="24"/>
    <x v="2"/>
    <x v="0"/>
    <s v="Firewalls, IDS, IPS, and Networking"/>
    <s v="Yes"/>
    <n v="0"/>
    <e v="#N/A"/>
    <x v="3"/>
    <s v=""/>
    <s v=""/>
    <x v="6"/>
    <x v="3"/>
    <x v="10"/>
    <x v="6"/>
    <x v="8"/>
    <x v="13"/>
    <x v="7"/>
  </r>
  <r>
    <x v="160"/>
    <x v="152"/>
    <x v="152"/>
    <x v="0"/>
    <x v="0"/>
    <s v="Firewalls, IDS, IPS, and Networking"/>
    <s v="Yes"/>
    <n v="1"/>
    <n v="0"/>
    <x v="2"/>
    <n v="25"/>
    <n v="0"/>
    <x v="14"/>
    <x v="1"/>
    <x v="48"/>
    <x v="33"/>
    <x v="44"/>
    <x v="44"/>
    <x v="32"/>
  </r>
  <r>
    <x v="161"/>
    <x v="153"/>
    <x v="153"/>
    <x v="0"/>
    <x v="1"/>
    <s v="Mobile Applications"/>
    <s v="Yes"/>
    <n v="1"/>
    <n v="0"/>
    <x v="2"/>
    <n v="15"/>
    <n v="0"/>
    <x v="1"/>
    <x v="1"/>
    <x v="1"/>
    <x v="1"/>
    <x v="1"/>
    <x v="2"/>
    <x v="0"/>
  </r>
  <r>
    <x v="162"/>
    <x v="154"/>
    <x v="154"/>
    <x v="0"/>
    <x v="1"/>
    <s v="Mobile Applications"/>
    <s v="Yes"/>
    <n v="1"/>
    <n v="0"/>
    <x v="2"/>
    <n v="20"/>
    <n v="0"/>
    <x v="18"/>
    <x v="1"/>
    <x v="1"/>
    <x v="34"/>
    <x v="1"/>
    <x v="2"/>
    <x v="0"/>
  </r>
  <r>
    <x v="163"/>
    <x v="155"/>
    <x v="155"/>
    <x v="0"/>
    <x v="0"/>
    <s v="Mobile Applications"/>
    <s v="Yes"/>
    <n v="1"/>
    <n v="0"/>
    <x v="2"/>
    <n v="25"/>
    <n v="0"/>
    <x v="1"/>
    <x v="1"/>
    <x v="1"/>
    <x v="34"/>
    <x v="1"/>
    <x v="2"/>
    <x v="0"/>
  </r>
  <r>
    <x v="164"/>
    <x v="156"/>
    <x v="156"/>
    <x v="0"/>
    <x v="1"/>
    <s v="Mobile Applications"/>
    <s v="No"/>
    <n v="1"/>
    <n v="0"/>
    <x v="2"/>
    <n v="20"/>
    <n v="0"/>
    <x v="23"/>
    <x v="1"/>
    <x v="49"/>
    <x v="35"/>
    <x v="1"/>
    <x v="2"/>
    <x v="0"/>
  </r>
  <r>
    <x v="165"/>
    <x v="157"/>
    <x v="157"/>
    <x v="0"/>
    <x v="0"/>
    <s v="Mobile Applications"/>
    <s v="Yes"/>
    <n v="1"/>
    <n v="0"/>
    <x v="2"/>
    <n v="25"/>
    <n v="0"/>
    <x v="0"/>
    <x v="1"/>
    <x v="50"/>
    <x v="35"/>
    <x v="45"/>
    <x v="45"/>
    <x v="33"/>
  </r>
  <r>
    <x v="166"/>
    <x v="158"/>
    <x v="158"/>
    <x v="0"/>
    <x v="0"/>
    <s v="Mobile Applications"/>
    <s v="Yes"/>
    <n v="1"/>
    <n v="0"/>
    <x v="2"/>
    <n v="40"/>
    <n v="0"/>
    <x v="4"/>
    <x v="1"/>
    <x v="50"/>
    <x v="36"/>
    <x v="1"/>
    <x v="2"/>
    <x v="0"/>
  </r>
  <r>
    <x v="167"/>
    <x v="159"/>
    <x v="159"/>
    <x v="0"/>
    <x v="0"/>
    <s v="Mobile Applications"/>
    <s v="Yes"/>
    <n v="1"/>
    <n v="0"/>
    <x v="2"/>
    <n v="25"/>
    <n v="0"/>
    <x v="13"/>
    <x v="1"/>
    <x v="51"/>
    <x v="1"/>
    <x v="1"/>
    <x v="2"/>
    <x v="0"/>
  </r>
  <r>
    <x v="168"/>
    <x v="160"/>
    <x v="160"/>
    <x v="0"/>
    <x v="1"/>
    <s v="Mobile Applications"/>
    <s v="Yes"/>
    <n v="1"/>
    <n v="0"/>
    <x v="2"/>
    <n v="20"/>
    <n v="0"/>
    <x v="13"/>
    <x v="1"/>
    <x v="1"/>
    <x v="1"/>
    <x v="1"/>
    <x v="2"/>
    <x v="0"/>
  </r>
  <r>
    <x v="169"/>
    <x v="161"/>
    <x v="161"/>
    <x v="0"/>
    <x v="0"/>
    <s v="Mobile Applications"/>
    <s v="Yes"/>
    <n v="1"/>
    <n v="0"/>
    <x v="2"/>
    <n v="25"/>
    <n v="0"/>
    <x v="1"/>
    <x v="1"/>
    <x v="52"/>
    <x v="34"/>
    <x v="1"/>
    <x v="2"/>
    <x v="0"/>
  </r>
  <r>
    <x v="170"/>
    <x v="162"/>
    <x v="162"/>
    <x v="0"/>
    <x v="0"/>
    <s v="Mobile Applications"/>
    <s v="Yes"/>
    <n v="1"/>
    <n v="0"/>
    <x v="2"/>
    <n v="25"/>
    <n v="0"/>
    <x v="1"/>
    <x v="1"/>
    <x v="53"/>
    <x v="37"/>
    <x v="1"/>
    <x v="2"/>
    <x v="0"/>
  </r>
  <r>
    <x v="171"/>
    <x v="163"/>
    <x v="163"/>
    <x v="0"/>
    <x v="0"/>
    <s v="Mobile Applications"/>
    <s v="Yes"/>
    <n v="1"/>
    <n v="0"/>
    <x v="2"/>
    <n v="25"/>
    <n v="0"/>
    <x v="1"/>
    <x v="1"/>
    <x v="53"/>
    <x v="37"/>
    <x v="1"/>
    <x v="2"/>
    <x v="0"/>
  </r>
  <r>
    <x v="172"/>
    <x v="164"/>
    <x v="164"/>
    <x v="0"/>
    <x v="1"/>
    <s v="Physical Security"/>
    <s v="Yes"/>
    <n v="1"/>
    <s v="No"/>
    <x v="2"/>
    <n v="20"/>
    <n v="0"/>
    <x v="18"/>
    <x v="1"/>
    <x v="42"/>
    <x v="38"/>
    <x v="46"/>
    <x v="46"/>
    <x v="27"/>
  </r>
  <r>
    <x v="173"/>
    <x v="165"/>
    <x v="165"/>
    <x v="0"/>
    <x v="0"/>
    <s v="Physical Security"/>
    <s v="No"/>
    <n v="1"/>
    <n v="0"/>
    <x v="2"/>
    <n v="25"/>
    <n v="0"/>
    <x v="0"/>
    <x v="1"/>
    <x v="50"/>
    <x v="39"/>
    <x v="47"/>
    <x v="47"/>
    <x v="34"/>
  </r>
  <r>
    <x v="174"/>
    <x v="166"/>
    <x v="166"/>
    <x v="0"/>
    <x v="1"/>
    <s v="Physical Security"/>
    <s v="Yes"/>
    <n v="1"/>
    <n v="0"/>
    <x v="2"/>
    <n v="20"/>
    <n v="0"/>
    <x v="18"/>
    <x v="1"/>
    <x v="54"/>
    <x v="40"/>
    <x v="48"/>
    <x v="48"/>
    <x v="27"/>
  </r>
  <r>
    <x v="175"/>
    <x v="167"/>
    <x v="167"/>
    <x v="0"/>
    <x v="1"/>
    <s v="Physical Security"/>
    <s v="Yes"/>
    <n v="1"/>
    <n v="0"/>
    <x v="2"/>
    <n v="20"/>
    <n v="0"/>
    <x v="18"/>
    <x v="1"/>
    <x v="55"/>
    <x v="40"/>
    <x v="48"/>
    <x v="48"/>
    <x v="27"/>
  </r>
  <r>
    <x v="176"/>
    <x v="168"/>
    <x v="168"/>
    <x v="0"/>
    <x v="1"/>
    <s v="Physical Security"/>
    <s v="Yes"/>
    <n v="1"/>
    <n v="0"/>
    <x v="2"/>
    <n v="15"/>
    <n v="0"/>
    <x v="4"/>
    <x v="1"/>
    <x v="56"/>
    <x v="25"/>
    <x v="49"/>
    <x v="47"/>
    <x v="27"/>
  </r>
  <r>
    <x v="177"/>
    <x v="169"/>
    <x v="169"/>
    <x v="0"/>
    <x v="1"/>
    <s v="Policies, Procedures, and Processes"/>
    <s v="Yes"/>
    <n v="1"/>
    <n v="0"/>
    <x v="2"/>
    <n v="20"/>
    <n v="0"/>
    <x v="5"/>
    <x v="1"/>
    <x v="57"/>
    <x v="41"/>
    <x v="50"/>
    <x v="49"/>
    <x v="35"/>
  </r>
  <r>
    <x v="178"/>
    <x v="170"/>
    <x v="170"/>
    <x v="0"/>
    <x v="0"/>
    <s v="Policies, Procedures, and Processes"/>
    <s v="Yes"/>
    <n v="1"/>
    <n v="0"/>
    <x v="2"/>
    <n v="25"/>
    <n v="0"/>
    <x v="24"/>
    <x v="1"/>
    <x v="31"/>
    <x v="42"/>
    <x v="1"/>
    <x v="50"/>
    <x v="36"/>
  </r>
  <r>
    <x v="179"/>
    <x v="171"/>
    <x v="171"/>
    <x v="0"/>
    <x v="1"/>
    <s v="Policies, Procedures, and Processes"/>
    <s v="Yes"/>
    <n v="1"/>
    <n v="0"/>
    <x v="2"/>
    <n v="20"/>
    <n v="0"/>
    <x v="0"/>
    <x v="1"/>
    <x v="58"/>
    <x v="1"/>
    <x v="1"/>
    <x v="50"/>
    <x v="0"/>
  </r>
  <r>
    <x v="180"/>
    <x v="172"/>
    <x v="172"/>
    <x v="0"/>
    <x v="0"/>
    <s v="Policies, Procedures, and Processes"/>
    <s v="Yes"/>
    <n v="1"/>
    <n v="0"/>
    <x v="2"/>
    <n v="25"/>
    <n v="0"/>
    <x v="25"/>
    <x v="1"/>
    <x v="52"/>
    <x v="1"/>
    <x v="1"/>
    <x v="50"/>
    <x v="37"/>
  </r>
  <r>
    <x v="181"/>
    <x v="173"/>
    <x v="173"/>
    <x v="0"/>
    <x v="1"/>
    <s v="Policies, Procedures, and Processes"/>
    <s v="Yes"/>
    <n v="1"/>
    <n v="0"/>
    <x v="2"/>
    <n v="20"/>
    <n v="0"/>
    <x v="24"/>
    <x v="1"/>
    <x v="52"/>
    <x v="1"/>
    <x v="1"/>
    <x v="50"/>
    <x v="38"/>
  </r>
  <r>
    <x v="182"/>
    <x v="174"/>
    <x v="174"/>
    <x v="0"/>
    <x v="0"/>
    <s v="Policies, Procedures, and Processes"/>
    <s v="Yes"/>
    <n v="1"/>
    <n v="0"/>
    <x v="2"/>
    <n v="25"/>
    <n v="0"/>
    <x v="24"/>
    <x v="1"/>
    <x v="59"/>
    <x v="43"/>
    <x v="1"/>
    <x v="50"/>
    <x v="39"/>
  </r>
  <r>
    <x v="183"/>
    <x v="175"/>
    <x v="175"/>
    <x v="0"/>
    <x v="1"/>
    <s v="Policies, Procedures, and Processes"/>
    <s v="Yes"/>
    <n v="1"/>
    <n v="0"/>
    <x v="2"/>
    <n v="20"/>
    <n v="0"/>
    <x v="3"/>
    <x v="5"/>
    <x v="3"/>
    <x v="4"/>
    <x v="4"/>
    <x v="4"/>
    <x v="40"/>
  </r>
  <r>
    <x v="184"/>
    <x v="176"/>
    <x v="176"/>
    <x v="0"/>
    <x v="1"/>
    <s v="Policies, Procedures, and Processes"/>
    <s v="Yes"/>
    <n v="1"/>
    <n v="0"/>
    <x v="2"/>
    <n v="20"/>
    <n v="0"/>
    <x v="24"/>
    <x v="1"/>
    <x v="52"/>
    <x v="1"/>
    <x v="51"/>
    <x v="50"/>
    <x v="41"/>
  </r>
  <r>
    <x v="185"/>
    <x v="177"/>
    <x v="177"/>
    <x v="0"/>
    <x v="1"/>
    <s v="Policies, Procedures, and Processes"/>
    <s v="Yes"/>
    <n v="1"/>
    <n v="0"/>
    <x v="2"/>
    <n v="20"/>
    <n v="0"/>
    <x v="24"/>
    <x v="1"/>
    <x v="52"/>
    <x v="44"/>
    <x v="1"/>
    <x v="51"/>
    <x v="39"/>
  </r>
  <r>
    <x v="186"/>
    <x v="178"/>
    <x v="178"/>
    <x v="0"/>
    <x v="0"/>
    <s v="Policies, Procedures, and Processes"/>
    <s v="Yes"/>
    <n v="1"/>
    <n v="0"/>
    <x v="2"/>
    <n v="25"/>
    <n v="0"/>
    <x v="22"/>
    <x v="1"/>
    <x v="60"/>
    <x v="3"/>
    <x v="52"/>
    <x v="52"/>
    <x v="42"/>
  </r>
  <r>
    <x v="187"/>
    <x v="179"/>
    <x v="179"/>
    <x v="0"/>
    <x v="0"/>
    <s v="Policies, Procedures, and Processes"/>
    <s v="Yes"/>
    <n v="1"/>
    <n v="0"/>
    <x v="2"/>
    <n v="25"/>
    <n v="0"/>
    <x v="22"/>
    <x v="1"/>
    <x v="0"/>
    <x v="0"/>
    <x v="53"/>
    <x v="53"/>
    <x v="1"/>
  </r>
  <r>
    <x v="188"/>
    <x v="180"/>
    <x v="180"/>
    <x v="0"/>
    <x v="1"/>
    <s v="Policies, Procedures, and Processes"/>
    <s v="Yes"/>
    <n v="1"/>
    <n v="0"/>
    <x v="2"/>
    <n v="15"/>
    <n v="0"/>
    <x v="0"/>
    <x v="1"/>
    <x v="0"/>
    <x v="1"/>
    <x v="42"/>
    <x v="54"/>
    <x v="1"/>
  </r>
  <r>
    <x v="189"/>
    <x v="181"/>
    <x v="181"/>
    <x v="0"/>
    <x v="1"/>
    <s v="Policies, Procedures, and Processes"/>
    <s v="Yes"/>
    <n v="1"/>
    <n v="0"/>
    <x v="2"/>
    <n v="20"/>
    <n v="0"/>
    <x v="22"/>
    <x v="1"/>
    <x v="0"/>
    <x v="0"/>
    <x v="1"/>
    <x v="50"/>
    <x v="0"/>
  </r>
  <r>
    <x v="190"/>
    <x v="182"/>
    <x v="182"/>
    <x v="0"/>
    <x v="1"/>
    <s v="Policies, Procedures, and Processes"/>
    <s v="Yes"/>
    <n v="1"/>
    <n v="0"/>
    <x v="2"/>
    <n v="15"/>
    <n v="0"/>
    <x v="12"/>
    <x v="1"/>
    <x v="61"/>
    <x v="45"/>
    <x v="54"/>
    <x v="55"/>
    <x v="43"/>
  </r>
  <r>
    <x v="191"/>
    <x v="183"/>
    <x v="183"/>
    <x v="0"/>
    <x v="1"/>
    <s v="Policies, Procedures, and Processes"/>
    <s v="Yes"/>
    <n v="1"/>
    <n v="0"/>
    <x v="2"/>
    <n v="15"/>
    <n v="0"/>
    <x v="26"/>
    <x v="1"/>
    <x v="62"/>
    <x v="45"/>
    <x v="1"/>
    <x v="50"/>
    <x v="44"/>
  </r>
  <r>
    <x v="192"/>
    <x v="184"/>
    <x v="184"/>
    <x v="0"/>
    <x v="0"/>
    <s v="Policies, Procedures, and Processes"/>
    <s v="Yes"/>
    <n v="1"/>
    <n v="0"/>
    <x v="2"/>
    <n v="25"/>
    <n v="0"/>
    <x v="26"/>
    <x v="2"/>
    <x v="57"/>
    <x v="0"/>
    <x v="1"/>
    <x v="50"/>
    <x v="45"/>
  </r>
  <r>
    <x v="193"/>
    <x v="185"/>
    <x v="185"/>
    <x v="0"/>
    <x v="0"/>
    <s v="Policies, Procedures, and Processes"/>
    <s v="Yes"/>
    <n v="1"/>
    <n v="0"/>
    <x v="2"/>
    <n v="25"/>
    <n v="0"/>
    <x v="26"/>
    <x v="6"/>
    <x v="63"/>
    <x v="46"/>
    <x v="55"/>
    <x v="56"/>
    <x v="46"/>
  </r>
  <r>
    <x v="194"/>
    <x v="186"/>
    <x v="186"/>
    <x v="0"/>
    <x v="1"/>
    <s v="Policies, Procedures, and Processes"/>
    <s v="Yes"/>
    <n v="1"/>
    <n v="0"/>
    <x v="2"/>
    <n v="20"/>
    <n v="0"/>
    <x v="26"/>
    <x v="6"/>
    <x v="63"/>
    <x v="46"/>
    <x v="56"/>
    <x v="57"/>
    <x v="46"/>
  </r>
  <r>
    <x v="195"/>
    <x v="187"/>
    <x v="187"/>
    <x v="0"/>
    <x v="1"/>
    <s v="Policies, Procedures, and Processes"/>
    <s v="Yes"/>
    <n v="1"/>
    <n v="0"/>
    <x v="2"/>
    <n v="20"/>
    <n v="0"/>
    <x v="26"/>
    <x v="1"/>
    <x v="64"/>
    <x v="9"/>
    <x v="57"/>
    <x v="50"/>
    <x v="47"/>
  </r>
  <r>
    <x v="196"/>
    <x v="188"/>
    <x v="188"/>
    <x v="0"/>
    <x v="1"/>
    <s v="Policies, Procedures, and Processes"/>
    <s v="Yes"/>
    <n v="1"/>
    <n v="0"/>
    <x v="2"/>
    <n v="20"/>
    <n v="0"/>
    <x v="5"/>
    <x v="1"/>
    <x v="65"/>
    <x v="1"/>
    <x v="1"/>
    <x v="58"/>
    <x v="0"/>
  </r>
  <r>
    <x v="197"/>
    <x v="189"/>
    <x v="189"/>
    <x v="0"/>
    <x v="1"/>
    <s v="Product Evaluation"/>
    <s v="Yes"/>
    <n v="1"/>
    <n v="0"/>
    <x v="2"/>
    <n v="15"/>
    <n v="0"/>
    <x v="5"/>
    <x v="1"/>
    <x v="1"/>
    <x v="1"/>
    <x v="1"/>
    <x v="2"/>
    <x v="0"/>
  </r>
  <r>
    <x v="198"/>
    <x v="190"/>
    <x v="190"/>
    <x v="0"/>
    <x v="1"/>
    <s v="Product Evaluation"/>
    <s v="Yes"/>
    <n v="1"/>
    <n v="0"/>
    <x v="2"/>
    <n v="15"/>
    <n v="0"/>
    <x v="5"/>
    <x v="1"/>
    <x v="1"/>
    <x v="47"/>
    <x v="1"/>
    <x v="2"/>
    <x v="0"/>
  </r>
  <r>
    <x v="199"/>
    <x v="191"/>
    <x v="191"/>
    <x v="0"/>
    <x v="1"/>
    <s v="Quality Assurance"/>
    <s v="Yes"/>
    <n v="1"/>
    <n v="0"/>
    <x v="2"/>
    <n v="15"/>
    <n v="0"/>
    <x v="0"/>
    <x v="1"/>
    <x v="1"/>
    <x v="1"/>
    <x v="1"/>
    <x v="2"/>
    <x v="0"/>
  </r>
  <r>
    <x v="200"/>
    <x v="192"/>
    <x v="192"/>
    <x v="0"/>
    <x v="1"/>
    <s v="Quality Assurance"/>
    <s v="Yes"/>
    <n v="1"/>
    <n v="0"/>
    <x v="2"/>
    <n v="15"/>
    <n v="0"/>
    <x v="0"/>
    <x v="1"/>
    <x v="0"/>
    <x v="1"/>
    <x v="1"/>
    <x v="2"/>
    <x v="0"/>
  </r>
  <r>
    <x v="201"/>
    <x v="193"/>
    <x v="193"/>
    <x v="0"/>
    <x v="1"/>
    <s v="Quality Assurance"/>
    <s v="Yes"/>
    <n v="1"/>
    <n v="0"/>
    <x v="2"/>
    <n v="15"/>
    <n v="0"/>
    <x v="0"/>
    <x v="1"/>
    <x v="1"/>
    <x v="1"/>
    <x v="1"/>
    <x v="2"/>
    <x v="0"/>
  </r>
  <r>
    <x v="202"/>
    <x v="194"/>
    <x v="194"/>
    <x v="0"/>
    <x v="1"/>
    <s v="Quality Assurance"/>
    <s v="Yes"/>
    <n v="1"/>
    <n v="0"/>
    <x v="2"/>
    <n v="15"/>
    <n v="0"/>
    <x v="5"/>
    <x v="1"/>
    <x v="1"/>
    <x v="1"/>
    <x v="1"/>
    <x v="2"/>
    <x v="0"/>
  </r>
  <r>
    <x v="203"/>
    <x v="195"/>
    <x v="195"/>
    <x v="0"/>
    <x v="1"/>
    <s v="Quality Assurance"/>
    <s v="Yes"/>
    <n v="1"/>
    <n v="0"/>
    <x v="2"/>
    <n v="15"/>
    <n v="0"/>
    <x v="26"/>
    <x v="1"/>
    <x v="1"/>
    <x v="1"/>
    <x v="1"/>
    <x v="2"/>
    <x v="0"/>
  </r>
  <r>
    <x v="204"/>
    <x v="196"/>
    <x v="196"/>
    <x v="0"/>
    <x v="0"/>
    <s v="Systems Management &amp; Configuration"/>
    <s v="Yes"/>
    <n v="1"/>
    <n v="0"/>
    <x v="2"/>
    <n v="25"/>
    <n v="0"/>
    <x v="9"/>
    <x v="1"/>
    <x v="45"/>
    <x v="48"/>
    <x v="41"/>
    <x v="11"/>
    <x v="0"/>
  </r>
  <r>
    <x v="205"/>
    <x v="197"/>
    <x v="197"/>
    <x v="0"/>
    <x v="1"/>
    <s v="Systems Management &amp; Configuration"/>
    <s v="Yes"/>
    <n v="1"/>
    <n v="0"/>
    <x v="2"/>
    <n v="10"/>
    <n v="0"/>
    <x v="18"/>
    <x v="1"/>
    <x v="1"/>
    <x v="49"/>
    <x v="58"/>
    <x v="59"/>
    <x v="0"/>
  </r>
  <r>
    <x v="206"/>
    <x v="198"/>
    <x v="198"/>
    <x v="0"/>
    <x v="1"/>
    <s v="Systems Management &amp; Configuration"/>
    <s v="Yes"/>
    <n v="1"/>
    <n v="0"/>
    <x v="2"/>
    <n v="15"/>
    <n v="0"/>
    <x v="18"/>
    <x v="1"/>
    <x v="66"/>
    <x v="1"/>
    <x v="59"/>
    <x v="2"/>
    <x v="0"/>
  </r>
  <r>
    <x v="207"/>
    <x v="199"/>
    <x v="199"/>
    <x v="0"/>
    <x v="1"/>
    <s v="Systems Management &amp; Configuration"/>
    <s v="Yes"/>
    <n v="1"/>
    <n v="0"/>
    <x v="2"/>
    <n v="20"/>
    <n v="0"/>
    <x v="18"/>
    <x v="1"/>
    <x v="16"/>
    <x v="50"/>
    <x v="60"/>
    <x v="60"/>
    <x v="0"/>
  </r>
  <r>
    <x v="208"/>
    <x v="200"/>
    <x v="200"/>
    <x v="0"/>
    <x v="0"/>
    <s v="Vulnerability Scanning"/>
    <s v="Yes"/>
    <n v="1"/>
    <n v="0"/>
    <x v="2"/>
    <n v="25"/>
    <n v="0"/>
    <x v="24"/>
    <x v="1"/>
    <x v="31"/>
    <x v="51"/>
    <x v="61"/>
    <x v="61"/>
    <x v="48"/>
  </r>
  <r>
    <x v="209"/>
    <x v="24"/>
    <x v="24"/>
    <x v="2"/>
    <x v="0"/>
    <s v="Vulnerability Scanning"/>
    <s v="Yes"/>
    <n v="0"/>
    <e v="#N/A"/>
    <x v="3"/>
    <s v=""/>
    <s v=""/>
    <x v="6"/>
    <x v="3"/>
    <x v="10"/>
    <x v="6"/>
    <x v="8"/>
    <x v="13"/>
    <x v="7"/>
  </r>
  <r>
    <x v="210"/>
    <x v="201"/>
    <x v="201"/>
    <x v="0"/>
    <x v="1"/>
    <s v="Vulnerability Scanning"/>
    <s v="Yes"/>
    <n v="1"/>
    <n v="0"/>
    <x v="2"/>
    <n v="20"/>
    <n v="0"/>
    <x v="24"/>
    <x v="1"/>
    <x v="1"/>
    <x v="51"/>
    <x v="61"/>
    <x v="61"/>
    <x v="48"/>
  </r>
  <r>
    <x v="211"/>
    <x v="202"/>
    <x v="202"/>
    <x v="0"/>
    <x v="0"/>
    <s v="Vulnerability Scanning"/>
    <s v="Yes"/>
    <n v="1"/>
    <n v="0"/>
    <x v="2"/>
    <n v="25"/>
    <n v="0"/>
    <x v="24"/>
    <x v="1"/>
    <x v="1"/>
    <x v="51"/>
    <x v="61"/>
    <x v="61"/>
    <x v="48"/>
  </r>
  <r>
    <x v="212"/>
    <x v="203"/>
    <x v="203"/>
    <x v="0"/>
    <x v="0"/>
    <s v="Vulnerability Scanning"/>
    <s v="Yes"/>
    <n v="1"/>
    <n v="0"/>
    <x v="2"/>
    <n v="25"/>
    <n v="0"/>
    <x v="24"/>
    <x v="1"/>
    <x v="1"/>
    <x v="51"/>
    <x v="1"/>
    <x v="61"/>
    <x v="48"/>
  </r>
  <r>
    <x v="213"/>
    <x v="204"/>
    <x v="204"/>
    <x v="0"/>
    <x v="1"/>
    <s v="Vulnerability Scanning"/>
    <s v="Yes"/>
    <n v="1"/>
    <n v="0"/>
    <x v="2"/>
    <n v="15"/>
    <n v="0"/>
    <x v="24"/>
    <x v="1"/>
    <x v="1"/>
    <x v="51"/>
    <x v="61"/>
    <x v="61"/>
    <x v="48"/>
  </r>
  <r>
    <x v="214"/>
    <x v="205"/>
    <x v="205"/>
    <x v="0"/>
    <x v="1"/>
    <s v="Vulnerability Scanning"/>
    <s v="Yes"/>
    <n v="1"/>
    <n v="0"/>
    <x v="2"/>
    <n v="15"/>
    <n v="0"/>
    <x v="24"/>
    <x v="1"/>
    <x v="1"/>
    <x v="51"/>
    <x v="1"/>
    <x v="61"/>
    <x v="48"/>
  </r>
  <r>
    <x v="215"/>
    <x v="206"/>
    <x v="206"/>
    <x v="0"/>
    <x v="1"/>
    <s v="Vulnerability Scanning"/>
    <s v="Yes"/>
    <n v="1"/>
    <n v="0"/>
    <x v="2"/>
    <n v="20"/>
    <n v="0"/>
    <x v="27"/>
    <x v="1"/>
    <x v="31"/>
    <x v="52"/>
    <x v="62"/>
    <x v="61"/>
    <x v="49"/>
  </r>
  <r>
    <x v="216"/>
    <x v="207"/>
    <x v="207"/>
    <x v="0"/>
    <x v="0"/>
    <s v="Vulnerability Scanning"/>
    <s v="Yes"/>
    <n v="1"/>
    <n v="0"/>
    <x v="2"/>
    <n v="25"/>
    <n v="0"/>
    <x v="28"/>
    <x v="1"/>
    <x v="67"/>
    <x v="51"/>
    <x v="61"/>
    <x v="61"/>
    <x v="50"/>
  </r>
  <r>
    <x v="217"/>
    <x v="208"/>
    <x v="208"/>
    <x v="0"/>
    <x v="1"/>
    <s v="HIPAA"/>
    <s v="Yes"/>
    <n v="1"/>
    <n v="0"/>
    <x v="2"/>
    <n v="20"/>
    <n v="0"/>
    <x v="26"/>
    <x v="6"/>
    <x v="68"/>
    <x v="0"/>
    <x v="63"/>
    <x v="62"/>
    <x v="0"/>
  </r>
  <r>
    <x v="218"/>
    <x v="209"/>
    <x v="209"/>
    <x v="0"/>
    <x v="1"/>
    <s v="HIPAA"/>
    <s v="Yes"/>
    <n v="1"/>
    <n v="0"/>
    <x v="2"/>
    <n v="20"/>
    <n v="0"/>
    <x v="0"/>
    <x v="7"/>
    <x v="0"/>
    <x v="0"/>
    <x v="1"/>
    <x v="2"/>
    <x v="0"/>
  </r>
  <r>
    <x v="219"/>
    <x v="210"/>
    <x v="210"/>
    <x v="0"/>
    <x v="0"/>
    <s v="HIPAA"/>
    <s v="Yes"/>
    <n v="1"/>
    <n v="0"/>
    <x v="2"/>
    <n v="25"/>
    <n v="0"/>
    <x v="26"/>
    <x v="8"/>
    <x v="0"/>
    <x v="0"/>
    <x v="1"/>
    <x v="2"/>
    <x v="0"/>
  </r>
  <r>
    <x v="220"/>
    <x v="211"/>
    <x v="211"/>
    <x v="0"/>
    <x v="0"/>
    <s v="HIPAA"/>
    <s v="Yes"/>
    <n v="1"/>
    <n v="0"/>
    <x v="2"/>
    <n v="25"/>
    <n v="0"/>
    <x v="0"/>
    <x v="1"/>
    <x v="0"/>
    <x v="0"/>
    <x v="1"/>
    <x v="2"/>
    <x v="0"/>
  </r>
  <r>
    <x v="221"/>
    <x v="212"/>
    <x v="212"/>
    <x v="0"/>
    <x v="1"/>
    <s v="HIPAA"/>
    <s v="Yes"/>
    <n v="1"/>
    <n v="0"/>
    <x v="2"/>
    <n v="20"/>
    <n v="0"/>
    <x v="22"/>
    <x v="9"/>
    <x v="69"/>
    <x v="0"/>
    <x v="64"/>
    <x v="63"/>
    <x v="51"/>
  </r>
  <r>
    <x v="222"/>
    <x v="213"/>
    <x v="213"/>
    <x v="0"/>
    <x v="0"/>
    <s v="HIPAA"/>
    <s v="Yes"/>
    <n v="1"/>
    <n v="0"/>
    <x v="2"/>
    <n v="25"/>
    <n v="0"/>
    <x v="22"/>
    <x v="10"/>
    <x v="70"/>
    <x v="0"/>
    <x v="65"/>
    <x v="64"/>
    <x v="1"/>
  </r>
  <r>
    <x v="223"/>
    <x v="214"/>
    <x v="214"/>
    <x v="0"/>
    <x v="0"/>
    <s v="HIPAA"/>
    <s v="Yes"/>
    <n v="1"/>
    <n v="0"/>
    <x v="2"/>
    <n v="25"/>
    <n v="0"/>
    <x v="0"/>
    <x v="2"/>
    <x v="1"/>
    <x v="0"/>
    <x v="1"/>
    <x v="2"/>
    <x v="52"/>
  </r>
  <r>
    <x v="224"/>
    <x v="215"/>
    <x v="215"/>
    <x v="0"/>
    <x v="1"/>
    <s v="HIPAA"/>
    <s v="Yes"/>
    <n v="1"/>
    <n v="0"/>
    <x v="2"/>
    <n v="20"/>
    <n v="0"/>
    <x v="24"/>
    <x v="11"/>
    <x v="1"/>
    <x v="0"/>
    <x v="1"/>
    <x v="2"/>
    <x v="52"/>
  </r>
  <r>
    <x v="225"/>
    <x v="216"/>
    <x v="216"/>
    <x v="0"/>
    <x v="1"/>
    <s v="HIPAA"/>
    <s v="Yes"/>
    <n v="1"/>
    <n v="0"/>
    <x v="2"/>
    <n v="20"/>
    <n v="0"/>
    <x v="24"/>
    <x v="4"/>
    <x v="1"/>
    <x v="0"/>
    <x v="1"/>
    <x v="2"/>
    <x v="52"/>
  </r>
  <r>
    <x v="226"/>
    <x v="217"/>
    <x v="217"/>
    <x v="0"/>
    <x v="1"/>
    <s v="HIPAA"/>
    <s v="Yes"/>
    <n v="1"/>
    <n v="0"/>
    <x v="2"/>
    <n v="20"/>
    <n v="0"/>
    <x v="13"/>
    <x v="12"/>
    <x v="22"/>
    <x v="0"/>
    <x v="13"/>
    <x v="20"/>
    <x v="0"/>
  </r>
  <r>
    <x v="227"/>
    <x v="218"/>
    <x v="218"/>
    <x v="0"/>
    <x v="1"/>
    <s v="HIPAA"/>
    <s v="Yes"/>
    <n v="1"/>
    <n v="0"/>
    <x v="2"/>
    <n v="20"/>
    <n v="0"/>
    <x v="13"/>
    <x v="12"/>
    <x v="22"/>
    <x v="0"/>
    <x v="66"/>
    <x v="21"/>
    <x v="0"/>
  </r>
  <r>
    <x v="228"/>
    <x v="219"/>
    <x v="219"/>
    <x v="0"/>
    <x v="1"/>
    <s v="HIPAA"/>
    <s v="Yes"/>
    <n v="1"/>
    <n v="0"/>
    <x v="2"/>
    <n v="20"/>
    <n v="0"/>
    <x v="13"/>
    <x v="13"/>
    <x v="22"/>
    <x v="0"/>
    <x v="67"/>
    <x v="65"/>
    <x v="0"/>
  </r>
  <r>
    <x v="229"/>
    <x v="220"/>
    <x v="220"/>
    <x v="0"/>
    <x v="1"/>
    <s v="HIPAA"/>
    <s v="Yes"/>
    <n v="1"/>
    <n v="0"/>
    <x v="2"/>
    <n v="20"/>
    <n v="0"/>
    <x v="13"/>
    <x v="14"/>
    <x v="22"/>
    <x v="0"/>
    <x v="68"/>
    <x v="66"/>
    <x v="13"/>
  </r>
  <r>
    <x v="230"/>
    <x v="221"/>
    <x v="221"/>
    <x v="0"/>
    <x v="0"/>
    <s v="HIPAA"/>
    <s v="No"/>
    <n v="1"/>
    <n v="0"/>
    <x v="2"/>
    <n v="25"/>
    <n v="0"/>
    <x v="13"/>
    <x v="15"/>
    <x v="22"/>
    <x v="0"/>
    <x v="17"/>
    <x v="21"/>
    <x v="13"/>
  </r>
  <r>
    <x v="231"/>
    <x v="222"/>
    <x v="222"/>
    <x v="0"/>
    <x v="1"/>
    <s v="HIPAA"/>
    <s v="Yes"/>
    <n v="1"/>
    <n v="0"/>
    <x v="2"/>
    <n v="20"/>
    <n v="0"/>
    <x v="13"/>
    <x v="15"/>
    <x v="1"/>
    <x v="0"/>
    <x v="1"/>
    <x v="2"/>
    <x v="13"/>
  </r>
  <r>
    <x v="232"/>
    <x v="223"/>
    <x v="223"/>
    <x v="0"/>
    <x v="1"/>
    <s v="HIPAA"/>
    <s v="Yes"/>
    <n v="1"/>
    <n v="0"/>
    <x v="2"/>
    <n v="20"/>
    <n v="0"/>
    <x v="13"/>
    <x v="16"/>
    <x v="1"/>
    <x v="0"/>
    <x v="7"/>
    <x v="2"/>
    <x v="13"/>
  </r>
  <r>
    <x v="233"/>
    <x v="224"/>
    <x v="224"/>
    <x v="0"/>
    <x v="1"/>
    <s v="HIPAA"/>
    <s v="Yes"/>
    <n v="1"/>
    <n v="0"/>
    <x v="2"/>
    <n v="20"/>
    <n v="0"/>
    <x v="29"/>
    <x v="17"/>
    <x v="13"/>
    <x v="0"/>
    <x v="69"/>
    <x v="2"/>
    <x v="13"/>
  </r>
  <r>
    <x v="234"/>
    <x v="225"/>
    <x v="225"/>
    <x v="0"/>
    <x v="1"/>
    <s v="HIPAA"/>
    <s v="Yes"/>
    <n v="1"/>
    <n v="0"/>
    <x v="2"/>
    <n v="20"/>
    <n v="0"/>
    <x v="13"/>
    <x v="18"/>
    <x v="71"/>
    <x v="0"/>
    <x v="7"/>
    <x v="2"/>
    <x v="13"/>
  </r>
  <r>
    <x v="235"/>
    <x v="226"/>
    <x v="226"/>
    <x v="0"/>
    <x v="1"/>
    <s v="HIPAA"/>
    <s v="No"/>
    <n v="1"/>
    <n v="0"/>
    <x v="2"/>
    <n v="20"/>
    <n v="0"/>
    <x v="13"/>
    <x v="19"/>
    <x v="71"/>
    <x v="0"/>
    <x v="1"/>
    <x v="2"/>
    <x v="0"/>
  </r>
  <r>
    <x v="236"/>
    <x v="227"/>
    <x v="227"/>
    <x v="0"/>
    <x v="1"/>
    <s v="HIPAA"/>
    <s v="Yes"/>
    <n v="1"/>
    <n v="0"/>
    <x v="2"/>
    <n v="20"/>
    <n v="0"/>
    <x v="30"/>
    <x v="19"/>
    <x v="1"/>
    <x v="0"/>
    <x v="44"/>
    <x v="67"/>
    <x v="13"/>
  </r>
  <r>
    <x v="237"/>
    <x v="228"/>
    <x v="228"/>
    <x v="0"/>
    <x v="1"/>
    <s v="HIPAA"/>
    <s v="Yes"/>
    <n v="1"/>
    <n v="0"/>
    <x v="2"/>
    <n v="20"/>
    <n v="0"/>
    <x v="14"/>
    <x v="20"/>
    <x v="48"/>
    <x v="0"/>
    <x v="70"/>
    <x v="68"/>
    <x v="17"/>
  </r>
  <r>
    <x v="238"/>
    <x v="229"/>
    <x v="229"/>
    <x v="0"/>
    <x v="1"/>
    <s v="HIPAA"/>
    <s v="Yes"/>
    <n v="1"/>
    <n v="0"/>
    <x v="2"/>
    <n v="20"/>
    <n v="0"/>
    <x v="14"/>
    <x v="21"/>
    <x v="48"/>
    <x v="0"/>
    <x v="1"/>
    <x v="2"/>
    <x v="17"/>
  </r>
  <r>
    <x v="239"/>
    <x v="230"/>
    <x v="230"/>
    <x v="0"/>
    <x v="1"/>
    <s v="HIPAA"/>
    <s v="Yes"/>
    <n v="1"/>
    <n v="0"/>
    <x v="2"/>
    <n v="20"/>
    <n v="0"/>
    <x v="14"/>
    <x v="21"/>
    <x v="48"/>
    <x v="0"/>
    <x v="1"/>
    <x v="2"/>
    <x v="17"/>
  </r>
  <r>
    <x v="240"/>
    <x v="231"/>
    <x v="231"/>
    <x v="0"/>
    <x v="1"/>
    <s v="HIPAA"/>
    <s v="Yes"/>
    <n v="1"/>
    <n v="0"/>
    <x v="2"/>
    <n v="20"/>
    <n v="0"/>
    <x v="14"/>
    <x v="21"/>
    <x v="48"/>
    <x v="0"/>
    <x v="1"/>
    <x v="2"/>
    <x v="17"/>
  </r>
  <r>
    <x v="241"/>
    <x v="232"/>
    <x v="232"/>
    <x v="0"/>
    <x v="1"/>
    <s v="HIPAA"/>
    <s v="Yes"/>
    <n v="1"/>
    <n v="0"/>
    <x v="2"/>
    <n v="20"/>
    <n v="0"/>
    <x v="14"/>
    <x v="21"/>
    <x v="48"/>
    <x v="0"/>
    <x v="1"/>
    <x v="2"/>
    <x v="17"/>
  </r>
  <r>
    <x v="242"/>
    <x v="233"/>
    <x v="233"/>
    <x v="0"/>
    <x v="1"/>
    <s v="HIPAA"/>
    <s v="Yes"/>
    <n v="1"/>
    <n v="0"/>
    <x v="2"/>
    <n v="20"/>
    <n v="0"/>
    <x v="2"/>
    <x v="22"/>
    <x v="0"/>
    <x v="0"/>
    <x v="1"/>
    <x v="2"/>
    <x v="17"/>
  </r>
  <r>
    <x v="243"/>
    <x v="234"/>
    <x v="234"/>
    <x v="0"/>
    <x v="1"/>
    <s v="HIPAA"/>
    <s v="Yes"/>
    <n v="1"/>
    <n v="0"/>
    <x v="2"/>
    <n v="20"/>
    <n v="0"/>
    <x v="2"/>
    <x v="23"/>
    <x v="24"/>
    <x v="0"/>
    <x v="23"/>
    <x v="2"/>
    <x v="2"/>
  </r>
  <r>
    <x v="244"/>
    <x v="235"/>
    <x v="235"/>
    <x v="0"/>
    <x v="1"/>
    <s v="HIPAA"/>
    <s v="Yes"/>
    <n v="1"/>
    <n v="0"/>
    <x v="2"/>
    <n v="20"/>
    <n v="0"/>
    <x v="2"/>
    <x v="23"/>
    <x v="26"/>
    <x v="0"/>
    <x v="71"/>
    <x v="2"/>
    <x v="2"/>
  </r>
  <r>
    <x v="245"/>
    <x v="236"/>
    <x v="236"/>
    <x v="0"/>
    <x v="1"/>
    <s v="HIPAA"/>
    <s v="Yes"/>
    <n v="1"/>
    <n v="0"/>
    <x v="2"/>
    <n v="20"/>
    <n v="0"/>
    <x v="2"/>
    <x v="24"/>
    <x v="0"/>
    <x v="0"/>
    <x v="1"/>
    <x v="2"/>
    <x v="17"/>
  </r>
  <r>
    <x v="246"/>
    <x v="237"/>
    <x v="237"/>
    <x v="0"/>
    <x v="1"/>
    <s v="HIPAA"/>
    <s v="Yes"/>
    <n v="1"/>
    <n v="0"/>
    <x v="2"/>
    <n v="20"/>
    <n v="0"/>
    <x v="2"/>
    <x v="25"/>
    <x v="0"/>
    <x v="0"/>
    <x v="1"/>
    <x v="2"/>
    <x v="0"/>
  </r>
  <r>
    <x v="247"/>
    <x v="238"/>
    <x v="238"/>
    <x v="0"/>
    <x v="1"/>
    <s v="HIPAA"/>
    <s v="Yes"/>
    <n v="1"/>
    <n v="0"/>
    <x v="2"/>
    <n v="20"/>
    <n v="0"/>
    <x v="2"/>
    <x v="26"/>
    <x v="0"/>
    <x v="0"/>
    <x v="1"/>
    <x v="2"/>
    <x v="1"/>
  </r>
  <r>
    <x v="248"/>
    <x v="239"/>
    <x v="239"/>
    <x v="0"/>
    <x v="1"/>
    <s v="PCI DSS"/>
    <s v="No"/>
    <n v="1"/>
    <n v="0"/>
    <x v="2"/>
    <n v="15"/>
    <n v="0"/>
    <x v="2"/>
    <x v="1"/>
    <x v="0"/>
    <x v="0"/>
    <x v="1"/>
    <x v="2"/>
    <x v="1"/>
  </r>
  <r>
    <x v="249"/>
    <x v="240"/>
    <x v="240"/>
    <x v="0"/>
    <x v="1"/>
    <s v="PCI DSS"/>
    <s v="Yes"/>
    <n v="1"/>
    <n v="0"/>
    <x v="2"/>
    <n v="20"/>
    <n v="0"/>
    <x v="2"/>
    <x v="1"/>
    <x v="0"/>
    <x v="0"/>
    <x v="1"/>
    <x v="2"/>
    <x v="1"/>
  </r>
  <r>
    <x v="250"/>
    <x v="241"/>
    <x v="241"/>
    <x v="0"/>
    <x v="0"/>
    <s v="PCI DSS"/>
    <s v="Yes"/>
    <n v="1"/>
    <n v="0"/>
    <x v="2"/>
    <n v="25"/>
    <n v="0"/>
    <x v="2"/>
    <x v="1"/>
    <x v="0"/>
    <x v="0"/>
    <x v="1"/>
    <x v="2"/>
    <x v="1"/>
  </r>
  <r>
    <x v="251"/>
    <x v="242"/>
    <x v="242"/>
    <x v="0"/>
    <x v="1"/>
    <s v="PCI DSS"/>
    <s v="Yes"/>
    <n v="1"/>
    <n v="0"/>
    <x v="2"/>
    <n v="20"/>
    <n v="0"/>
    <x v="5"/>
    <x v="1"/>
    <x v="1"/>
    <x v="0"/>
    <x v="1"/>
    <x v="2"/>
    <x v="1"/>
  </r>
  <r>
    <x v="252"/>
    <x v="243"/>
    <x v="243"/>
    <x v="0"/>
    <x v="1"/>
    <s v="PCI DSS"/>
    <s v="Yes"/>
    <n v="1"/>
    <n v="0"/>
    <x v="2"/>
    <n v="20"/>
    <n v="0"/>
    <x v="5"/>
    <x v="1"/>
    <x v="1"/>
    <x v="0"/>
    <x v="1"/>
    <x v="2"/>
    <x v="1"/>
  </r>
  <r>
    <x v="253"/>
    <x v="244"/>
    <x v="244"/>
    <x v="0"/>
    <x v="0"/>
    <s v="PCI DSS"/>
    <s v="Yes"/>
    <n v="1"/>
    <n v="0"/>
    <x v="2"/>
    <n v="25"/>
    <n v="0"/>
    <x v="5"/>
    <x v="1"/>
    <x v="1"/>
    <x v="0"/>
    <x v="1"/>
    <x v="2"/>
    <x v="1"/>
  </r>
  <r>
    <x v="254"/>
    <x v="245"/>
    <x v="245"/>
    <x v="0"/>
    <x v="1"/>
    <s v="PCI DSS"/>
    <s v="Yes"/>
    <n v="1"/>
    <n v="0"/>
    <x v="2"/>
    <n v="20"/>
    <n v="0"/>
    <x v="31"/>
    <x v="1"/>
    <x v="1"/>
    <x v="0"/>
    <x v="1"/>
    <x v="2"/>
    <x v="5"/>
  </r>
  <r>
    <x v="255"/>
    <x v="246"/>
    <x v="246"/>
    <x v="0"/>
    <x v="1"/>
    <s v="PCI DSS"/>
    <s v="Yes"/>
    <n v="1"/>
    <n v="0"/>
    <x v="2"/>
    <n v="20"/>
    <n v="0"/>
    <x v="1"/>
    <x v="1"/>
    <x v="1"/>
    <x v="0"/>
    <x v="1"/>
    <x v="2"/>
    <x v="1"/>
  </r>
  <r>
    <x v="256"/>
    <x v="247"/>
    <x v="247"/>
    <x v="0"/>
    <x v="0"/>
    <s v="PCI DSS"/>
    <s v="Yes"/>
    <n v="1"/>
    <n v="0"/>
    <x v="2"/>
    <n v="25"/>
    <n v="0"/>
    <x v="2"/>
    <x v="1"/>
    <x v="1"/>
    <x v="0"/>
    <x v="1"/>
    <x v="2"/>
    <x v="1"/>
  </r>
  <r>
    <x v="257"/>
    <x v="248"/>
    <x v="248"/>
    <x v="0"/>
    <x v="1"/>
    <s v="PCI DSS"/>
    <s v="Yes"/>
    <n v="1"/>
    <n v="0"/>
    <x v="2"/>
    <n v="20"/>
    <n v="0"/>
    <x v="5"/>
    <x v="1"/>
    <x v="1"/>
    <x v="0"/>
    <x v="1"/>
    <x v="2"/>
    <x v="1"/>
  </r>
  <r>
    <x v="258"/>
    <x v="249"/>
    <x v="249"/>
    <x v="0"/>
    <x v="1"/>
    <s v="PCI DSS"/>
    <s v="No"/>
    <n v="1"/>
    <n v="0"/>
    <x v="2"/>
    <n v="20"/>
    <n v="0"/>
    <x v="32"/>
    <x v="1"/>
    <x v="1"/>
    <x v="0"/>
    <x v="1"/>
    <x v="2"/>
    <x v="1"/>
  </r>
  <r>
    <x v="259"/>
    <x v="250"/>
    <x v="250"/>
    <x v="0"/>
    <x v="1"/>
    <s v="PCI DSS"/>
    <s v="No"/>
    <n v="1"/>
    <n v="0"/>
    <x v="2"/>
    <n v="20"/>
    <n v="0"/>
    <x v="2"/>
    <x v="1"/>
    <x v="1"/>
    <x v="0"/>
    <x v="1"/>
    <x v="2"/>
    <x v="1"/>
  </r>
  <r>
    <x v="260"/>
    <x v="251"/>
    <x v="251"/>
    <x v="0"/>
    <x v="1"/>
    <s v="Company"/>
    <m/>
    <n v="1"/>
    <n v="0"/>
    <x v="2"/>
    <n v="10"/>
    <n v="0"/>
    <x v="5"/>
    <x v="1"/>
    <x v="1"/>
    <x v="1"/>
    <x v="1"/>
    <x v="2"/>
    <x v="1"/>
  </r>
  <r>
    <x v="261"/>
    <x v="252"/>
    <x v="252"/>
    <x v="0"/>
    <x v="1"/>
    <s v="Company"/>
    <m/>
    <n v="1"/>
    <n v="0"/>
    <x v="2"/>
    <n v="10"/>
    <n v="0"/>
    <x v="5"/>
    <x v="1"/>
    <x v="1"/>
    <x v="1"/>
    <x v="1"/>
    <x v="2"/>
    <x v="1"/>
  </r>
  <r>
    <x v="262"/>
    <x v="253"/>
    <x v="253"/>
    <x v="0"/>
    <x v="1"/>
    <s v="Company"/>
    <s v="Yes"/>
    <n v="1"/>
    <n v="0"/>
    <x v="2"/>
    <n v="10"/>
    <n v="0"/>
    <x v="5"/>
    <x v="1"/>
    <x v="4"/>
    <x v="1"/>
    <x v="1"/>
    <x v="2"/>
    <x v="1"/>
  </r>
  <r>
    <x v="263"/>
    <x v="254"/>
    <x v="254"/>
    <x v="0"/>
    <x v="0"/>
    <s v="Company"/>
    <s v="No"/>
    <n v="1"/>
    <n v="0"/>
    <x v="2"/>
    <n v="25"/>
    <n v="0"/>
    <x v="5"/>
    <x v="1"/>
    <x v="1"/>
    <x v="1"/>
    <x v="1"/>
    <x v="2"/>
    <x v="0"/>
  </r>
  <r>
    <x v="264"/>
    <x v="255"/>
    <x v="255"/>
    <x v="0"/>
    <x v="0"/>
    <s v="Company"/>
    <s v="Yes"/>
    <n v="1"/>
    <n v="0"/>
    <x v="2"/>
    <n v="25"/>
    <n v="0"/>
    <x v="5"/>
    <x v="1"/>
    <x v="4"/>
    <x v="1"/>
    <x v="1"/>
    <x v="2"/>
    <x v="53"/>
  </r>
  <r>
    <x v="265"/>
    <x v="256"/>
    <x v="256"/>
    <x v="0"/>
    <x v="1"/>
    <s v="Company"/>
    <s v="Yes"/>
    <n v="1"/>
    <n v="0"/>
    <x v="2"/>
    <n v="15"/>
    <n v="0"/>
    <x v="5"/>
    <x v="1"/>
    <x v="52"/>
    <x v="1"/>
    <x v="1"/>
    <x v="69"/>
    <x v="1"/>
  </r>
  <r>
    <x v="266"/>
    <x v="257"/>
    <x v="257"/>
    <x v="0"/>
    <x v="0"/>
    <s v="Company"/>
    <m/>
    <n v="1"/>
    <n v="0"/>
    <x v="2"/>
    <n v="25"/>
    <n v="0"/>
    <x v="5"/>
    <x v="1"/>
    <x v="4"/>
    <x v="1"/>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K93" firstHeaderRow="1" firstDataRow="1" firstDataCol="11" rowPageCount="2" colPageCount="1"/>
  <pivotFields count="19">
    <pivotField axis="axisRow" outline="0" showAll="0" defaultSubtotal="0">
      <items count="275">
        <item x="0"/>
        <item x="1"/>
        <item x="2"/>
        <item x="3"/>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m="1" x="274"/>
        <item x="4"/>
        <item m="1" x="273"/>
        <item m="1" x="272"/>
        <item m="1" x="271"/>
        <item m="1" x="270"/>
        <item m="1" x="269"/>
        <item m="1" x="268"/>
        <item m="1" x="267"/>
      </items>
    </pivotField>
    <pivotField axis="axisRow" outline="0" showAll="0" defaultSubtotal="0">
      <items count="277">
        <item x="43"/>
        <item x="44"/>
        <item x="45"/>
        <item x="46"/>
        <item x="47"/>
        <item x="48"/>
        <item x="49"/>
        <item x="50"/>
        <item x="51"/>
        <item x="52"/>
        <item x="53"/>
        <item x="54"/>
        <item x="55"/>
        <item x="56"/>
        <item x="57"/>
        <item x="58"/>
        <item x="59"/>
        <item x="26"/>
        <item x="27"/>
        <item x="28"/>
        <item x="29"/>
        <item x="30"/>
        <item x="31"/>
        <item x="32"/>
        <item x="33"/>
        <item x="34"/>
        <item x="35"/>
        <item x="36"/>
        <item x="37"/>
        <item x="38"/>
        <item x="39"/>
        <item x="40"/>
        <item x="41"/>
        <item x="42"/>
        <item m="1" x="276"/>
        <item x="60"/>
        <item x="61"/>
        <item x="62"/>
        <item x="63"/>
        <item x="64"/>
        <item x="65"/>
        <item x="67"/>
        <item x="68"/>
        <item x="69"/>
        <item x="70"/>
        <item x="71"/>
        <item x="72"/>
        <item x="73"/>
        <item x="74"/>
        <item x="75"/>
        <item x="76"/>
        <item x="77"/>
        <item x="78"/>
        <item x="79"/>
        <item x="80"/>
        <item x="81"/>
        <item x="82"/>
        <item x="83"/>
        <item x="84"/>
        <item x="85"/>
        <item x="86"/>
        <item x="19"/>
        <item x="20"/>
        <item x="21"/>
        <item x="22"/>
        <item x="23"/>
        <item x="25"/>
        <item m="1" x="259"/>
        <item x="87"/>
        <item x="88"/>
        <item x="89"/>
        <item x="90"/>
        <item x="91"/>
        <item x="92"/>
        <item x="93"/>
        <item x="94"/>
        <item x="95"/>
        <item x="96"/>
        <item x="97"/>
        <item x="98"/>
        <item x="99"/>
        <item x="100"/>
        <item x="101"/>
        <item x="102"/>
        <item x="103"/>
        <item x="104"/>
        <item m="1" x="268"/>
        <item x="105"/>
        <item x="106"/>
        <item x="107"/>
        <item x="108"/>
        <item x="109"/>
        <item x="110"/>
        <item x="111"/>
        <item x="112"/>
        <item x="113"/>
        <item m="1" x="264"/>
        <item x="114"/>
        <item x="115"/>
        <item x="116"/>
        <item x="117"/>
        <item x="118"/>
        <item x="119"/>
        <item m="1" x="266"/>
        <item m="1" x="267"/>
        <item x="120"/>
        <item x="121"/>
        <item x="122"/>
        <item m="1" x="260"/>
        <item x="123"/>
        <item x="124"/>
        <item x="125"/>
        <item x="126"/>
        <item x="127"/>
        <item m="1" x="262"/>
        <item x="128"/>
        <item x="129"/>
        <item x="130"/>
        <item x="8"/>
        <item x="9"/>
        <item x="10"/>
        <item x="11"/>
        <item x="12"/>
        <item x="13"/>
        <item x="131"/>
        <item x="132"/>
        <item x="133"/>
        <item x="134"/>
        <item x="135"/>
        <item m="1" x="261"/>
        <item x="136"/>
        <item x="137"/>
        <item x="138"/>
        <item x="139"/>
        <item m="1" x="273"/>
        <item x="140"/>
        <item x="141"/>
        <item m="1" x="274"/>
        <item x="142"/>
        <item x="143"/>
        <item x="144"/>
        <item x="145"/>
        <item x="146"/>
        <item x="147"/>
        <item x="148"/>
        <item x="149"/>
        <item x="150"/>
        <item x="151"/>
        <item x="152"/>
        <item x="208"/>
        <item x="209"/>
        <item x="210"/>
        <item x="211"/>
        <item x="212"/>
        <item x="213"/>
        <item x="214"/>
        <item x="215"/>
        <item x="216"/>
        <item x="217"/>
        <item x="218"/>
        <item x="219"/>
        <item x="220"/>
        <item x="221"/>
        <item x="222"/>
        <item x="223"/>
        <item x="224"/>
        <item x="225"/>
        <item x="226"/>
        <item x="227"/>
        <item x="228"/>
        <item x="229"/>
        <item x="231"/>
        <item x="232"/>
        <item x="233"/>
        <item x="234"/>
        <item x="235"/>
        <item x="236"/>
        <item x="237"/>
        <item x="238"/>
        <item m="1" x="269"/>
        <item x="153"/>
        <item x="154"/>
        <item x="155"/>
        <item x="156"/>
        <item x="157"/>
        <item x="158"/>
        <item x="159"/>
        <item x="160"/>
        <item x="161"/>
        <item x="162"/>
        <item x="163"/>
        <item x="239"/>
        <item x="240"/>
        <item x="241"/>
        <item x="242"/>
        <item x="243"/>
        <item x="247"/>
        <item x="248"/>
        <item x="249"/>
        <item x="164"/>
        <item x="165"/>
        <item x="166"/>
        <item x="167"/>
        <item x="168"/>
        <item m="1" x="275"/>
        <item x="170"/>
        <item x="171"/>
        <item x="172"/>
        <item x="173"/>
        <item x="174"/>
        <item x="176"/>
        <item x="177"/>
        <item x="179"/>
        <item x="180"/>
        <item x="181"/>
        <item x="182"/>
        <item x="183"/>
        <item x="184"/>
        <item x="186"/>
        <item x="187"/>
        <item x="188"/>
        <item m="1" x="271"/>
        <item x="189"/>
        <item x="190"/>
        <item x="192"/>
        <item x="193"/>
        <item x="194"/>
        <item x="195"/>
        <item x="0"/>
        <item x="1"/>
        <item x="2"/>
        <item x="3"/>
        <item x="5"/>
        <item x="6"/>
        <item x="7"/>
        <item x="196"/>
        <item x="197"/>
        <item x="198"/>
        <item x="200"/>
        <item x="201"/>
        <item x="202"/>
        <item x="205"/>
        <item x="207"/>
        <item x="169"/>
        <item x="175"/>
        <item x="178"/>
        <item m="1" x="270"/>
        <item m="1" x="272"/>
        <item x="191"/>
        <item x="199"/>
        <item x="203"/>
        <item x="204"/>
        <item x="206"/>
        <item x="250"/>
        <item x="14"/>
        <item x="15"/>
        <item x="16"/>
        <item x="17"/>
        <item x="18"/>
        <item m="1" x="258"/>
        <item x="66"/>
        <item m="1" x="263"/>
        <item m="1" x="265"/>
        <item x="230"/>
        <item x="244"/>
        <item x="245"/>
        <item x="246"/>
        <item x="4"/>
        <item x="251"/>
        <item x="252"/>
        <item x="253"/>
        <item x="254"/>
        <item x="255"/>
        <item x="256"/>
        <item x="257"/>
        <item x="24"/>
        <item x="185"/>
      </items>
    </pivotField>
    <pivotField axis="axisRow" outline="0" showAll="0" defaultSubtotal="0">
      <items count="316">
        <item x="65"/>
        <item x="140"/>
        <item m="1" x="266"/>
        <item m="1" x="311"/>
        <item x="57"/>
        <item x="101"/>
        <item x="103"/>
        <item x="36"/>
        <item x="198"/>
        <item x="165"/>
        <item x="168"/>
        <item x="176"/>
        <item x="97"/>
        <item x="221"/>
        <item x="106"/>
        <item x="68"/>
        <item x="196"/>
        <item x="118"/>
        <item x="38"/>
        <item m="1" x="315"/>
        <item x="98"/>
        <item x="85"/>
        <item x="50"/>
        <item x="49"/>
        <item x="166"/>
        <item x="242"/>
        <item x="12"/>
        <item x="240"/>
        <item x="243"/>
        <item m="1" x="273"/>
        <item x="143"/>
        <item x="142"/>
        <item x="237"/>
        <item x="200"/>
        <item x="201"/>
        <item x="123"/>
        <item m="1" x="264"/>
        <item x="202"/>
        <item x="94"/>
        <item x="28"/>
        <item x="247"/>
        <item x="231"/>
        <item x="232"/>
        <item x="96"/>
        <item x="171"/>
        <item x="43"/>
        <item x="44"/>
        <item x="236"/>
        <item x="190"/>
        <item x="29"/>
        <item x="39"/>
        <item x="41"/>
        <item x="34"/>
        <item x="37"/>
        <item m="1" x="262"/>
        <item x="138"/>
        <item m="1" x="281"/>
        <item x="58"/>
        <item x="154"/>
        <item x="128"/>
        <item x="100"/>
        <item x="40"/>
        <item x="35"/>
        <item x="59"/>
        <item m="1" x="303"/>
        <item x="60"/>
        <item m="1" x="267"/>
        <item x="131"/>
        <item m="1" x="260"/>
        <item x="76"/>
        <item x="42"/>
        <item x="227"/>
        <item x="119"/>
        <item m="1" x="285"/>
        <item x="75"/>
        <item m="1" x="271"/>
        <item x="110"/>
        <item x="86"/>
        <item m="1" x="293"/>
        <item x="141"/>
        <item x="192"/>
        <item x="211"/>
        <item m="1" x="294"/>
        <item x="115"/>
        <item x="31"/>
        <item x="148"/>
        <item x="149"/>
        <item x="91"/>
        <item x="3"/>
        <item x="241"/>
        <item x="5"/>
        <item x="234"/>
        <item x="72"/>
        <item m="1" x="286"/>
        <item x="170"/>
        <item x="145"/>
        <item x="177"/>
        <item x="178"/>
        <item x="213"/>
        <item x="195"/>
        <item x="80"/>
        <item x="81"/>
        <item x="197"/>
        <item x="212"/>
        <item x="185"/>
        <item x="46"/>
        <item x="84"/>
        <item x="83"/>
        <item x="189"/>
        <item x="151"/>
        <item x="209"/>
        <item x="182"/>
        <item x="87"/>
        <item x="183"/>
        <item m="1" x="314"/>
        <item x="26"/>
        <item x="27"/>
        <item x="208"/>
        <item x="130"/>
        <item m="1" x="300"/>
        <item x="229"/>
        <item x="228"/>
        <item x="156"/>
        <item x="114"/>
        <item x="117"/>
        <item x="159"/>
        <item m="1" x="296"/>
        <item x="54"/>
        <item x="45"/>
        <item x="55"/>
        <item x="30"/>
        <item x="78"/>
        <item m="1" x="310"/>
        <item x="1"/>
        <item m="1" x="309"/>
        <item x="51"/>
        <item x="220"/>
        <item x="219"/>
        <item x="223"/>
        <item x="218"/>
        <item x="217"/>
        <item x="52"/>
        <item x="224"/>
        <item x="225"/>
        <item x="116"/>
        <item x="233"/>
        <item m="1" x="284"/>
        <item m="1" x="270"/>
        <item x="67"/>
        <item x="79"/>
        <item x="13"/>
        <item x="135"/>
        <item x="69"/>
        <item x="0"/>
        <item m="1" x="275"/>
        <item m="1" x="263"/>
        <item x="162"/>
        <item x="22"/>
        <item x="139"/>
        <item x="210"/>
        <item x="235"/>
        <item m="1" x="306"/>
        <item x="214"/>
        <item x="238"/>
        <item x="215"/>
        <item x="146"/>
        <item x="147"/>
        <item x="33"/>
        <item x="10"/>
        <item x="194"/>
        <item x="216"/>
        <item m="1" x="272"/>
        <item x="172"/>
        <item x="102"/>
        <item m="1" x="299"/>
        <item x="77"/>
        <item m="1" x="292"/>
        <item m="1" x="282"/>
        <item m="1" x="283"/>
        <item x="222"/>
        <item x="99"/>
        <item x="73"/>
        <item m="1" x="308"/>
        <item x="62"/>
        <item x="132"/>
        <item x="113"/>
        <item m="1" x="298"/>
        <item m="1" x="305"/>
        <item x="82"/>
        <item m="1" x="289"/>
        <item x="111"/>
        <item x="127"/>
        <item x="90"/>
        <item m="1" x="295"/>
        <item x="155"/>
        <item x="248"/>
        <item m="1" x="280"/>
        <item x="126"/>
        <item m="1" x="301"/>
        <item x="63"/>
        <item x="136"/>
        <item x="64"/>
        <item x="137"/>
        <item x="226"/>
        <item x="71"/>
        <item x="7"/>
        <item m="1" x="265"/>
        <item m="1" x="269"/>
        <item x="93"/>
        <item x="153"/>
        <item x="120"/>
        <item x="144"/>
        <item x="129"/>
        <item m="1" x="261"/>
        <item m="1" x="268"/>
        <item x="173"/>
        <item m="1" x="276"/>
        <item x="32"/>
        <item x="125"/>
        <item m="1" x="274"/>
        <item x="23"/>
        <item x="56"/>
        <item x="53"/>
        <item x="160"/>
        <item x="6"/>
        <item x="2"/>
        <item x="88"/>
        <item x="25"/>
        <item x="20"/>
        <item x="19"/>
        <item x="21"/>
        <item x="74"/>
        <item x="95"/>
        <item x="207"/>
        <item x="179"/>
        <item x="180"/>
        <item x="112"/>
        <item m="1" x="258"/>
        <item x="193"/>
        <item m="1" x="307"/>
        <item m="1" x="302"/>
        <item m="1" x="287"/>
        <item m="1" x="291"/>
        <item m="1" x="277"/>
        <item x="191"/>
        <item m="1" x="288"/>
        <item m="1" x="290"/>
        <item x="204"/>
        <item x="206"/>
        <item x="250"/>
        <item x="14"/>
        <item x="15"/>
        <item x="16"/>
        <item x="17"/>
        <item x="18"/>
        <item m="1" x="304"/>
        <item x="66"/>
        <item m="1" x="278"/>
        <item m="1" x="259"/>
        <item x="230"/>
        <item x="244"/>
        <item x="245"/>
        <item x="246"/>
        <item x="121"/>
        <item m="1" x="279"/>
        <item x="4"/>
        <item x="251"/>
        <item x="252"/>
        <item x="253"/>
        <item x="254"/>
        <item x="255"/>
        <item x="256"/>
        <item x="257"/>
        <item x="24"/>
        <item x="48"/>
        <item x="61"/>
        <item x="89"/>
        <item x="92"/>
        <item x="105"/>
        <item x="107"/>
        <item m="1" x="297"/>
        <item x="122"/>
        <item x="124"/>
        <item x="133"/>
        <item x="134"/>
        <item m="1" x="312"/>
        <item x="152"/>
        <item x="157"/>
        <item x="158"/>
        <item x="161"/>
        <item x="167"/>
        <item x="174"/>
        <item x="175"/>
        <item x="184"/>
        <item x="186"/>
        <item x="187"/>
        <item x="188"/>
        <item m="1" x="313"/>
        <item x="205"/>
        <item x="239"/>
        <item x="249"/>
        <item x="8"/>
        <item x="9"/>
        <item x="11"/>
        <item x="163"/>
        <item x="181"/>
        <item x="203"/>
        <item x="47"/>
        <item x="70"/>
        <item x="104"/>
        <item x="108"/>
        <item x="109"/>
        <item x="150"/>
        <item x="164"/>
        <item x="169"/>
        <item x="199"/>
      </items>
    </pivotField>
    <pivotField axis="axisRow" outline="0" showAll="0" defaultSubtotal="0">
      <items count="3">
        <item x="0"/>
        <item x="1"/>
        <item x="2"/>
      </items>
    </pivotField>
    <pivotField axis="axisPage" showAll="0" defaultSubtotal="0">
      <items count="3">
        <item x="1"/>
        <item x="0"/>
        <item x="2"/>
      </items>
    </pivotField>
    <pivotField showAll="0"/>
    <pivotField showAll="0"/>
    <pivotField showAll="0"/>
    <pivotField showAll="0"/>
    <pivotField axis="axisPage" showAll="0" defaultSubtotal="0">
      <items count="4">
        <item x="2"/>
        <item x="0"/>
        <item x="1"/>
        <item x="3"/>
      </items>
    </pivotField>
    <pivotField showAll="0"/>
    <pivotField showAll="0"/>
    <pivotField axis="axisRow" outline="0" showAll="0" defaultSubtotal="0">
      <items count="33">
        <item x="5"/>
        <item x="16"/>
        <item x="15"/>
        <item x="2"/>
        <item x="21"/>
        <item x="9"/>
        <item x="32"/>
        <item x="0"/>
        <item x="23"/>
        <item x="4"/>
        <item x="13"/>
        <item x="29"/>
        <item x="26"/>
        <item x="1"/>
        <item x="22"/>
        <item x="10"/>
        <item x="7"/>
        <item x="28"/>
        <item x="18"/>
        <item x="19"/>
        <item x="24"/>
        <item x="25"/>
        <item x="12"/>
        <item x="14"/>
        <item x="30"/>
        <item x="11"/>
        <item x="20"/>
        <item x="8"/>
        <item x="6"/>
        <item x="3"/>
        <item x="27"/>
        <item x="31"/>
        <item x="17"/>
      </items>
    </pivotField>
    <pivotField axis="axisRow" outline="0" showAll="0" defaultSubtotal="0">
      <items count="27">
        <item x="1"/>
        <item x="20"/>
        <item x="2"/>
        <item x="11"/>
        <item x="4"/>
        <item x="8"/>
        <item x="26"/>
        <item x="19"/>
        <item x="16"/>
        <item x="18"/>
        <item x="15"/>
        <item x="13"/>
        <item x="17"/>
        <item x="14"/>
        <item x="6"/>
        <item x="12"/>
        <item x="9"/>
        <item x="10"/>
        <item x="23"/>
        <item x="25"/>
        <item x="24"/>
        <item x="22"/>
        <item x="21"/>
        <item x="7"/>
        <item x="0"/>
        <item x="3"/>
        <item x="5"/>
      </items>
    </pivotField>
    <pivotField axis="axisRow" outline="0" showAll="0" defaultSubtotal="0">
      <items count="72">
        <item x="1"/>
        <item x="12"/>
        <item x="19"/>
        <item x="15"/>
        <item x="32"/>
        <item x="58"/>
        <item x="38"/>
        <item x="42"/>
        <item x="56"/>
        <item x="55"/>
        <item x="54"/>
        <item x="43"/>
        <item x="11"/>
        <item x="16"/>
        <item x="30"/>
        <item x="17"/>
        <item x="36"/>
        <item x="23"/>
        <item x="48"/>
        <item x="14"/>
        <item x="31"/>
        <item x="53"/>
        <item x="46"/>
        <item x="45"/>
        <item x="47"/>
        <item x="34"/>
        <item x="52"/>
        <item x="59"/>
        <item x="4"/>
        <item x="69"/>
        <item x="44"/>
        <item x="70"/>
        <item x="60"/>
        <item x="25"/>
        <item x="24"/>
        <item x="2"/>
        <item x="26"/>
        <item x="29"/>
        <item x="0"/>
        <item x="68"/>
        <item x="5"/>
        <item x="67"/>
        <item x="57"/>
        <item x="66"/>
        <item x="61"/>
        <item x="62"/>
        <item x="63"/>
        <item x="28"/>
        <item x="27"/>
        <item x="37"/>
        <item x="35"/>
        <item x="49"/>
        <item x="50"/>
        <item x="33"/>
        <item x="39"/>
        <item x="40"/>
        <item x="9"/>
        <item x="13"/>
        <item x="21"/>
        <item x="7"/>
        <item x="71"/>
        <item x="18"/>
        <item x="20"/>
        <item x="64"/>
        <item x="8"/>
        <item x="51"/>
        <item x="22"/>
        <item x="10"/>
        <item x="3"/>
        <item x="65"/>
        <item x="6"/>
        <item x="41"/>
      </items>
    </pivotField>
    <pivotField axis="axisRow" outline="0" showAll="0" defaultSubtotal="0">
      <items count="53">
        <item x="1"/>
        <item x="33"/>
        <item x="31"/>
        <item x="32"/>
        <item x="40"/>
        <item x="34"/>
        <item x="37"/>
        <item x="36"/>
        <item x="35"/>
        <item x="51"/>
        <item x="43"/>
        <item x="12"/>
        <item x="11"/>
        <item x="7"/>
        <item x="2"/>
        <item x="0"/>
        <item x="14"/>
        <item x="15"/>
        <item x="39"/>
        <item x="38"/>
        <item x="20"/>
        <item x="8"/>
        <item x="13"/>
        <item x="9"/>
        <item x="28"/>
        <item x="46"/>
        <item x="22"/>
        <item x="27"/>
        <item x="24"/>
        <item x="21"/>
        <item x="25"/>
        <item x="26"/>
        <item x="29"/>
        <item x="30"/>
        <item x="19"/>
        <item x="47"/>
        <item x="49"/>
        <item x="45"/>
        <item x="42"/>
        <item x="44"/>
        <item x="17"/>
        <item x="18"/>
        <item x="23"/>
        <item x="3"/>
        <item x="16"/>
        <item x="10"/>
        <item x="48"/>
        <item x="6"/>
        <item x="41"/>
        <item x="4"/>
        <item x="50"/>
        <item x="52"/>
        <item x="5"/>
      </items>
    </pivotField>
    <pivotField axis="axisRow" outline="0" showAll="0" defaultSubtotal="0">
      <items count="72">
        <item x="1"/>
        <item x="19"/>
        <item x="12"/>
        <item x="68"/>
        <item x="10"/>
        <item x="45"/>
        <item x="31"/>
        <item x="7"/>
        <item x="6"/>
        <item x="69"/>
        <item x="30"/>
        <item x="41"/>
        <item x="29"/>
        <item x="11"/>
        <item x="57"/>
        <item x="20"/>
        <item x="67"/>
        <item x="48"/>
        <item x="61"/>
        <item x="23"/>
        <item x="35"/>
        <item x="59"/>
        <item x="51"/>
        <item x="28"/>
        <item x="55"/>
        <item x="24"/>
        <item x="56"/>
        <item x="63"/>
        <item x="44"/>
        <item x="70"/>
        <item x="58"/>
        <item x="25"/>
        <item x="26"/>
        <item x="27"/>
        <item x="9"/>
        <item x="16"/>
        <item x="17"/>
        <item x="18"/>
        <item x="15"/>
        <item x="13"/>
        <item x="14"/>
        <item x="66"/>
        <item x="52"/>
        <item x="64"/>
        <item x="43"/>
        <item x="42"/>
        <item x="53"/>
        <item x="65"/>
        <item x="71"/>
        <item x="38"/>
        <item x="49"/>
        <item x="39"/>
        <item x="33"/>
        <item x="40"/>
        <item x="47"/>
        <item x="37"/>
        <item x="36"/>
        <item x="5"/>
        <item x="46"/>
        <item x="32"/>
        <item x="34"/>
        <item x="54"/>
        <item x="2"/>
        <item x="0"/>
        <item x="3"/>
        <item x="8"/>
        <item x="50"/>
        <item x="4"/>
        <item x="60"/>
        <item x="62"/>
        <item x="21"/>
        <item x="22"/>
      </items>
    </pivotField>
    <pivotField axis="axisRow" outline="0" showAll="0" defaultSubtotal="0">
      <items count="70">
        <item x="2"/>
        <item x="66"/>
        <item x="14"/>
        <item x="45"/>
        <item x="19"/>
        <item x="41"/>
        <item x="39"/>
        <item x="32"/>
        <item x="16"/>
        <item x="11"/>
        <item x="31"/>
        <item x="18"/>
        <item x="28"/>
        <item x="24"/>
        <item x="65"/>
        <item x="57"/>
        <item x="56"/>
        <item x="62"/>
        <item x="29"/>
        <item x="44"/>
        <item x="67"/>
        <item x="68"/>
        <item x="3"/>
        <item x="27"/>
        <item x="54"/>
        <item x="5"/>
        <item x="50"/>
        <item x="53"/>
        <item x="52"/>
        <item x="55"/>
        <item x="17"/>
        <item x="15"/>
        <item x="59"/>
        <item x="30"/>
        <item x="51"/>
        <item x="35"/>
        <item x="38"/>
        <item x="37"/>
        <item x="1"/>
        <item x="22"/>
        <item x="20"/>
        <item x="23"/>
        <item x="21"/>
        <item x="43"/>
        <item x="63"/>
        <item x="64"/>
        <item x="12"/>
        <item x="33"/>
        <item x="47"/>
        <item x="46"/>
        <item x="34"/>
        <item x="42"/>
        <item x="7"/>
        <item x="48"/>
        <item x="0"/>
        <item x="6"/>
        <item x="36"/>
        <item x="40"/>
        <item x="61"/>
        <item x="13"/>
        <item x="49"/>
        <item x="4"/>
        <item x="58"/>
        <item x="60"/>
        <item x="8"/>
        <item x="9"/>
        <item x="10"/>
        <item x="69"/>
        <item x="25"/>
        <item x="26"/>
      </items>
    </pivotField>
    <pivotField axis="axisRow" showAll="0" defaultSubtotal="0">
      <items count="54">
        <item x="0"/>
        <item x="29"/>
        <item x="10"/>
        <item x="33"/>
        <item x="38"/>
        <item x="17"/>
        <item x="48"/>
        <item x="30"/>
        <item x="31"/>
        <item x="2"/>
        <item x="52"/>
        <item x="46"/>
        <item x="43"/>
        <item x="1"/>
        <item x="28"/>
        <item x="32"/>
        <item x="15"/>
        <item x="49"/>
        <item x="50"/>
        <item x="23"/>
        <item x="47"/>
        <item x="20"/>
        <item x="21"/>
        <item x="45"/>
        <item x="34"/>
        <item x="6"/>
        <item x="51"/>
        <item x="42"/>
        <item x="24"/>
        <item x="22"/>
        <item x="35"/>
        <item x="37"/>
        <item x="44"/>
        <item x="26"/>
        <item x="9"/>
        <item x="25"/>
        <item x="11"/>
        <item x="14"/>
        <item x="41"/>
        <item x="39"/>
        <item x="40"/>
        <item x="19"/>
        <item x="18"/>
        <item x="36"/>
        <item x="8"/>
        <item x="12"/>
        <item x="13"/>
        <item x="27"/>
        <item x="5"/>
        <item x="4"/>
        <item x="7"/>
        <item x="3"/>
        <item x="53"/>
        <item x="16"/>
      </items>
    </pivotField>
  </pivotFields>
  <rowFields count="11">
    <field x="0"/>
    <field x="1"/>
    <field x="2"/>
    <field x="3"/>
    <field x="12"/>
    <field x="13"/>
    <field x="14"/>
    <field x="15"/>
    <field x="16"/>
    <field x="17"/>
    <field x="18"/>
  </rowFields>
  <rowItems count="89">
    <i>
      <x v="10"/>
      <x v="121"/>
      <x v="303"/>
      <x/>
      <x/>
      <x/>
      <x v="38"/>
      <x/>
      <x/>
      <x v="55"/>
      <x v="25"/>
    </i>
    <i>
      <x v="12"/>
      <x v="123"/>
      <x v="150"/>
      <x/>
      <x/>
      <x v="2"/>
      <x v="40"/>
      <x v="15"/>
      <x v="63"/>
      <x v="55"/>
      <x/>
    </i>
    <i>
      <x v="13"/>
      <x v="254"/>
      <x v="250"/>
      <x/>
      <x v="7"/>
      <x/>
      <x v="70"/>
      <x v="52"/>
      <x v="57"/>
      <x v="64"/>
      <x v="13"/>
    </i>
    <i>
      <x v="14"/>
      <x v="255"/>
      <x v="251"/>
      <x/>
      <x v="7"/>
      <x/>
      <x v="70"/>
      <x v="52"/>
      <x v="57"/>
      <x/>
      <x v="13"/>
    </i>
    <i>
      <x v="15"/>
      <x v="256"/>
      <x v="252"/>
      <x/>
      <x v="7"/>
      <x/>
      <x v="70"/>
      <x v="15"/>
      <x/>
      <x v="65"/>
      <x v="13"/>
    </i>
    <i>
      <x v="16"/>
      <x v="257"/>
      <x v="253"/>
      <x/>
      <x/>
      <x/>
      <x v="70"/>
      <x v="14"/>
      <x/>
      <x v="66"/>
      <x v="13"/>
    </i>
    <i>
      <x v="19"/>
      <x v="62"/>
      <x v="228"/>
      <x/>
      <x v="9"/>
      <x/>
      <x v="64"/>
      <x v="14"/>
      <x v="7"/>
      <x/>
      <x/>
    </i>
    <i>
      <x v="22"/>
      <x v="65"/>
      <x v="220"/>
      <x/>
      <x v="7"/>
      <x/>
      <x v="56"/>
      <x v="14"/>
      <x v="57"/>
      <x v="46"/>
      <x/>
    </i>
    <i>
      <x v="24"/>
      <x v="66"/>
      <x v="227"/>
      <x/>
      <x v="9"/>
      <x/>
      <x v="56"/>
      <x v="14"/>
      <x/>
      <x/>
      <x/>
    </i>
    <i>
      <x v="26"/>
      <x v="17"/>
      <x v="115"/>
      <x/>
      <x v="13"/>
      <x/>
      <x/>
      <x v="13"/>
      <x/>
      <x/>
      <x/>
    </i>
    <i>
      <x v="27"/>
      <x v="18"/>
      <x v="116"/>
      <x/>
      <x v="16"/>
      <x/>
      <x v="12"/>
      <x v="13"/>
      <x/>
      <x/>
      <x/>
    </i>
    <i>
      <x v="31"/>
      <x v="22"/>
      <x v="84"/>
      <x/>
      <x v="5"/>
      <x/>
      <x v="1"/>
      <x v="45"/>
      <x v="4"/>
      <x v="8"/>
      <x/>
    </i>
    <i>
      <x v="33"/>
      <x v="24"/>
      <x v="167"/>
      <x/>
      <x/>
      <x/>
      <x v="3"/>
      <x/>
      <x/>
      <x/>
      <x v="34"/>
    </i>
    <i>
      <x v="35"/>
      <x v="26"/>
      <x v="62"/>
      <x/>
      <x v="15"/>
      <x/>
      <x v="13"/>
      <x v="11"/>
      <x/>
      <x v="30"/>
      <x v="2"/>
    </i>
    <i>
      <x v="36"/>
      <x v="27"/>
      <x v="7"/>
      <x/>
      <x v="7"/>
      <x/>
      <x v="15"/>
      <x/>
      <x/>
      <x/>
      <x/>
    </i>
    <i>
      <x v="39"/>
      <x v="30"/>
      <x v="50"/>
      <x/>
      <x v="15"/>
      <x/>
      <x/>
      <x/>
      <x/>
      <x/>
      <x/>
    </i>
    <i>
      <x v="40"/>
      <x v="31"/>
      <x v="61"/>
      <x/>
      <x v="9"/>
      <x/>
      <x v="61"/>
      <x v="23"/>
      <x v="13"/>
      <x v="11"/>
      <x v="36"/>
    </i>
    <i>
      <x v="41"/>
      <x v="32"/>
      <x v="51"/>
      <x/>
      <x v="22"/>
      <x/>
      <x v="2"/>
      <x v="23"/>
      <x v="2"/>
      <x v="4"/>
      <x v="45"/>
    </i>
    <i>
      <x v="43"/>
      <x/>
      <x v="45"/>
      <x/>
      <x v="10"/>
      <x/>
      <x v="62"/>
      <x v="16"/>
      <x v="39"/>
      <x v="40"/>
      <x v="46"/>
    </i>
    <i>
      <x v="44"/>
      <x v="1"/>
      <x v="46"/>
      <x/>
      <x v="10"/>
      <x/>
      <x v="62"/>
      <x v="16"/>
      <x v="40"/>
      <x v="42"/>
      <x v="46"/>
    </i>
    <i>
      <x v="45"/>
      <x v="2"/>
      <x v="128"/>
      <x/>
      <x v="10"/>
      <x/>
      <x v="62"/>
      <x v="16"/>
      <x/>
      <x/>
      <x v="46"/>
    </i>
    <i>
      <x v="47"/>
      <x v="4"/>
      <x v="307"/>
      <x/>
      <x v="10"/>
      <x/>
      <x v="58"/>
      <x v="16"/>
      <x v="35"/>
      <x v="39"/>
      <x v="46"/>
    </i>
    <i>
      <x v="48"/>
      <x v="5"/>
      <x v="274"/>
      <x/>
      <x v="10"/>
      <x/>
      <x v="56"/>
      <x/>
      <x/>
      <x/>
      <x v="37"/>
    </i>
    <i>
      <x v="49"/>
      <x v="6"/>
      <x v="23"/>
      <x/>
      <x v="10"/>
      <x/>
      <x v="56"/>
      <x v="16"/>
      <x/>
      <x/>
      <x v="46"/>
    </i>
    <i>
      <x v="50"/>
      <x v="7"/>
      <x v="22"/>
      <x/>
      <x v="10"/>
      <x/>
      <x v="56"/>
      <x v="16"/>
      <x v="36"/>
      <x v="42"/>
      <x v="46"/>
    </i>
    <i>
      <x v="53"/>
      <x v="10"/>
      <x v="222"/>
      <x/>
      <x v="10"/>
      <x/>
      <x v="56"/>
      <x v="17"/>
      <x/>
      <x/>
      <x v="46"/>
    </i>
    <i>
      <x v="55"/>
      <x v="12"/>
      <x v="129"/>
      <x/>
      <x v="10"/>
      <x/>
      <x/>
      <x v="17"/>
      <x/>
      <x/>
      <x/>
    </i>
    <i>
      <x v="56"/>
      <x v="13"/>
      <x v="221"/>
      <x/>
      <x v="10"/>
      <x/>
      <x/>
      <x v="17"/>
      <x v="1"/>
      <x/>
      <x v="46"/>
    </i>
    <i>
      <x v="57"/>
      <x v="14"/>
      <x v="4"/>
      <x/>
      <x v="23"/>
      <x/>
      <x v="17"/>
      <x v="44"/>
      <x v="15"/>
      <x v="13"/>
      <x v="16"/>
    </i>
    <i>
      <x v="58"/>
      <x v="15"/>
      <x v="57"/>
      <x/>
      <x v="23"/>
      <x/>
      <x v="17"/>
      <x v="44"/>
      <x v="70"/>
      <x v="68"/>
      <x v="53"/>
    </i>
    <i>
      <x v="60"/>
      <x v="35"/>
      <x v="65"/>
      <x/>
      <x v="3"/>
      <x/>
      <x v="34"/>
      <x v="43"/>
      <x v="19"/>
      <x v="23"/>
      <x/>
    </i>
    <i>
      <x v="65"/>
      <x v="40"/>
      <x/>
      <x/>
      <x v="3"/>
      <x/>
      <x v="35"/>
      <x v="43"/>
      <x v="19"/>
      <x v="23"/>
      <x/>
    </i>
    <i>
      <x v="66"/>
      <x v="260"/>
      <x v="256"/>
      <x/>
      <x v="3"/>
      <x/>
      <x v="36"/>
      <x v="43"/>
      <x v="19"/>
      <x v="23"/>
      <x/>
    </i>
    <i>
      <x v="72"/>
      <x v="46"/>
      <x v="92"/>
      <x/>
      <x v="3"/>
      <x/>
      <x v="14"/>
      <x v="40"/>
      <x v="31"/>
      <x v="33"/>
      <x v="42"/>
    </i>
    <i>
      <x v="76"/>
      <x v="50"/>
      <x v="69"/>
      <x/>
      <x v="15"/>
      <x/>
      <x/>
      <x/>
      <x/>
      <x v="33"/>
      <x v="21"/>
    </i>
    <i>
      <x v="79"/>
      <x v="53"/>
      <x v="149"/>
      <x/>
      <x v="15"/>
      <x/>
      <x v="13"/>
      <x v="34"/>
      <x v="33"/>
      <x v="33"/>
      <x v="9"/>
    </i>
    <i>
      <x v="87"/>
      <x v="68"/>
      <x v="112"/>
      <x/>
      <x v="5"/>
      <x/>
      <x/>
      <x v="20"/>
      <x v="12"/>
      <x v="10"/>
      <x v="13"/>
    </i>
    <i>
      <x v="89"/>
      <x v="70"/>
      <x v="276"/>
      <x/>
      <x v="7"/>
      <x/>
      <x v="4"/>
      <x v="29"/>
      <x/>
      <x/>
      <x v="33"/>
    </i>
    <i>
      <x v="90"/>
      <x v="71"/>
      <x v="192"/>
      <x/>
      <x v="7"/>
      <x/>
      <x v="53"/>
      <x v="26"/>
      <x v="6"/>
      <x v="47"/>
      <x v="13"/>
    </i>
    <i>
      <x v="91"/>
      <x v="72"/>
      <x v="87"/>
      <x/>
      <x v="7"/>
      <x/>
      <x v="53"/>
      <x/>
      <x v="59"/>
      <x/>
      <x v="9"/>
    </i>
    <i>
      <x v="92"/>
      <x v="73"/>
      <x v="277"/>
      <x/>
      <x v="7"/>
      <x/>
      <x v="25"/>
      <x v="29"/>
      <x/>
      <x v="50"/>
      <x v="33"/>
    </i>
    <i>
      <x v="94"/>
      <x v="75"/>
      <x v="38"/>
      <x/>
      <x v="7"/>
      <x/>
      <x v="50"/>
      <x/>
      <x v="52"/>
      <x v="46"/>
      <x v="13"/>
    </i>
    <i>
      <x v="97"/>
      <x v="78"/>
      <x v="12"/>
      <x/>
      <x v="7"/>
      <x/>
      <x v="49"/>
      <x/>
      <x v="52"/>
      <x/>
      <x v="13"/>
    </i>
    <i>
      <x v="103"/>
      <x v="84"/>
      <x v="6"/>
      <x/>
      <x v="3"/>
      <x/>
      <x v="16"/>
      <x v="28"/>
      <x v="60"/>
      <x v="35"/>
      <x/>
    </i>
    <i>
      <x v="108"/>
      <x v="90"/>
      <x v="310"/>
      <x/>
      <x v="7"/>
      <x/>
      <x v="54"/>
      <x v="30"/>
      <x v="49"/>
      <x v="36"/>
      <x v="47"/>
    </i>
    <i>
      <x v="113"/>
      <x v="95"/>
      <x v="185"/>
      <x/>
      <x v="32"/>
      <x/>
      <x v="71"/>
      <x v="22"/>
      <x/>
      <x/>
      <x/>
    </i>
    <i>
      <x v="114"/>
      <x v="97"/>
      <x v="123"/>
      <x/>
      <x v="7"/>
      <x/>
      <x v="4"/>
      <x v="26"/>
      <x/>
      <x/>
      <x/>
    </i>
    <i>
      <x v="115"/>
      <x v="98"/>
      <x v="83"/>
      <x/>
      <x v="7"/>
      <x/>
      <x v="4"/>
      <x v="27"/>
      <x/>
      <x/>
      <x/>
    </i>
    <i>
      <x v="119"/>
      <x v="102"/>
      <x v="72"/>
      <x/>
      <x v="19"/>
      <x/>
      <x/>
      <x/>
      <x/>
      <x v="9"/>
      <x v="13"/>
    </i>
    <i>
      <x v="124"/>
      <x v="107"/>
      <x v="281"/>
      <x/>
      <x v="5"/>
      <x/>
      <x v="38"/>
      <x/>
      <x/>
      <x/>
      <x v="14"/>
    </i>
    <i>
      <x v="135"/>
      <x v="124"/>
      <x v="67"/>
      <x/>
      <x v="3"/>
      <x/>
      <x v="34"/>
      <x v="43"/>
      <x v="19"/>
      <x v="12"/>
      <x v="13"/>
    </i>
    <i>
      <x v="141"/>
      <x v="130"/>
      <x v="200"/>
      <x/>
      <x v="3"/>
      <x/>
      <x/>
      <x v="43"/>
      <x v="19"/>
      <x v="12"/>
      <x v="13"/>
    </i>
    <i>
      <x v="148"/>
      <x v="138"/>
      <x v="31"/>
      <x/>
      <x v="26"/>
      <x/>
      <x v="23"/>
      <x v="33"/>
      <x/>
      <x/>
      <x v="1"/>
    </i>
    <i>
      <x v="149"/>
      <x v="139"/>
      <x v="30"/>
      <x/>
      <x v="26"/>
      <x/>
      <x v="23"/>
      <x v="33"/>
      <x/>
      <x/>
      <x v="1"/>
    </i>
    <i>
      <x v="151"/>
      <x v="141"/>
      <x v="95"/>
      <x/>
      <x v="26"/>
      <x/>
      <x v="14"/>
      <x v="24"/>
      <x/>
      <x/>
      <x v="1"/>
    </i>
    <i>
      <x v="152"/>
      <x v="142"/>
      <x v="165"/>
      <x/>
      <x v="14"/>
      <x/>
      <x v="24"/>
      <x v="2"/>
      <x v="44"/>
      <x v="43"/>
      <x v="7"/>
    </i>
    <i>
      <x v="154"/>
      <x v="144"/>
      <x v="85"/>
      <x/>
      <x v="14"/>
      <x/>
      <x v="24"/>
      <x v="2"/>
      <x v="44"/>
      <x v="43"/>
      <x v="7"/>
    </i>
    <i>
      <x v="159"/>
      <x v="148"/>
      <x v="286"/>
      <x/>
      <x v="23"/>
      <x/>
      <x v="18"/>
      <x v="1"/>
      <x v="28"/>
      <x v="19"/>
      <x v="15"/>
    </i>
    <i>
      <x v="162"/>
      <x v="182"/>
      <x v="194"/>
      <x/>
      <x v="13"/>
      <x/>
      <x/>
      <x v="5"/>
      <x/>
      <x/>
      <x/>
    </i>
    <i>
      <x v="164"/>
      <x v="184"/>
      <x v="287"/>
      <x/>
      <x v="7"/>
      <x/>
      <x v="52"/>
      <x v="8"/>
      <x v="5"/>
      <x v="3"/>
      <x v="3"/>
    </i>
    <i>
      <x v="165"/>
      <x v="185"/>
      <x v="288"/>
      <x/>
      <x v="9"/>
      <x/>
      <x v="52"/>
      <x v="7"/>
      <x/>
      <x/>
      <x/>
    </i>
    <i>
      <x v="166"/>
      <x v="186"/>
      <x v="125"/>
      <x/>
      <x v="10"/>
      <x/>
      <x v="65"/>
      <x/>
      <x/>
      <x/>
      <x/>
    </i>
    <i>
      <x v="168"/>
      <x v="188"/>
      <x v="289"/>
      <x/>
      <x v="13"/>
      <x/>
      <x v="26"/>
      <x v="5"/>
      <x/>
      <x/>
      <x/>
    </i>
    <i>
      <x v="169"/>
      <x v="189"/>
      <x v="156"/>
      <x/>
      <x v="13"/>
      <x/>
      <x v="21"/>
      <x v="6"/>
      <x/>
      <x/>
      <x/>
    </i>
    <i>
      <x v="170"/>
      <x v="190"/>
      <x v="304"/>
      <x/>
      <x v="13"/>
      <x/>
      <x v="21"/>
      <x v="6"/>
      <x/>
      <x/>
      <x/>
    </i>
    <i>
      <x v="172"/>
      <x v="200"/>
      <x v="9"/>
      <x/>
      <x v="7"/>
      <x/>
      <x v="52"/>
      <x v="18"/>
      <x v="54"/>
      <x v="48"/>
      <x v="24"/>
    </i>
    <i>
      <x v="177"/>
      <x v="205"/>
      <x v="94"/>
      <x/>
      <x v="20"/>
      <x/>
      <x v="20"/>
      <x v="38"/>
      <x/>
      <x v="26"/>
      <x v="43"/>
    </i>
    <i>
      <x v="179"/>
      <x v="207"/>
      <x v="172"/>
      <x/>
      <x v="21"/>
      <x/>
      <x v="26"/>
      <x/>
      <x/>
      <x v="26"/>
      <x v="31"/>
    </i>
    <i>
      <x v="181"/>
      <x v="209"/>
      <x v="291"/>
      <x/>
      <x v="20"/>
      <x/>
      <x v="27"/>
      <x v="10"/>
      <x/>
      <x v="26"/>
      <x v="39"/>
    </i>
    <i>
      <x v="185"/>
      <x v="245"/>
      <x v="97"/>
      <x/>
      <x v="14"/>
      <x/>
      <x v="32"/>
      <x v="43"/>
      <x v="42"/>
      <x v="28"/>
      <x v="27"/>
    </i>
    <i>
      <x v="186"/>
      <x v="212"/>
      <x v="234"/>
      <x/>
      <x v="14"/>
      <x/>
      <x v="38"/>
      <x v="15"/>
      <x v="46"/>
      <x v="27"/>
      <x v="13"/>
    </i>
    <i>
      <x v="191"/>
      <x v="217"/>
      <x v="293"/>
      <x/>
      <x v="12"/>
      <x v="2"/>
      <x v="42"/>
      <x v="15"/>
      <x/>
      <x v="26"/>
      <x v="23"/>
    </i>
    <i>
      <x v="192"/>
      <x v="276"/>
      <x v="104"/>
      <x/>
      <x v="12"/>
      <x v="14"/>
      <x v="46"/>
      <x v="25"/>
      <x v="24"/>
      <x v="16"/>
      <x v="11"/>
    </i>
    <i>
      <x v="203"/>
      <x v="235"/>
      <x v="16"/>
      <x/>
      <x v="5"/>
      <x/>
      <x v="23"/>
      <x v="46"/>
      <x v="11"/>
      <x v="9"/>
      <x/>
    </i>
    <i>
      <x v="207"/>
      <x v="238"/>
      <x v="33"/>
      <x/>
      <x v="20"/>
      <x/>
      <x v="20"/>
      <x v="9"/>
      <x v="18"/>
      <x v="58"/>
      <x v="6"/>
    </i>
    <i>
      <x v="210"/>
      <x v="240"/>
      <x v="37"/>
      <x/>
      <x v="20"/>
      <x/>
      <x/>
      <x v="9"/>
      <x v="18"/>
      <x v="58"/>
      <x v="6"/>
    </i>
    <i>
      <x v="211"/>
      <x v="250"/>
      <x v="306"/>
      <x/>
      <x v="20"/>
      <x/>
      <x/>
      <x v="9"/>
      <x/>
      <x v="58"/>
      <x v="6"/>
    </i>
    <i>
      <x v="215"/>
      <x v="242"/>
      <x v="233"/>
      <x/>
      <x v="17"/>
      <x/>
      <x v="41"/>
      <x v="9"/>
      <x v="18"/>
      <x v="58"/>
      <x v="18"/>
    </i>
    <i>
      <x v="218"/>
      <x v="151"/>
      <x v="159"/>
      <x/>
      <x v="12"/>
      <x v="5"/>
      <x v="38"/>
      <x v="15"/>
      <x/>
      <x/>
      <x/>
    </i>
    <i>
      <x v="219"/>
      <x v="152"/>
      <x v="81"/>
      <x/>
      <x v="7"/>
      <x/>
      <x v="38"/>
      <x v="15"/>
      <x/>
      <x/>
      <x/>
    </i>
    <i>
      <x v="221"/>
      <x v="154"/>
      <x v="98"/>
      <x/>
      <x v="14"/>
      <x v="17"/>
      <x v="31"/>
      <x v="15"/>
      <x v="47"/>
      <x v="45"/>
      <x v="13"/>
    </i>
    <i>
      <x v="222"/>
      <x v="155"/>
      <x v="162"/>
      <x/>
      <x v="7"/>
      <x v="2"/>
      <x/>
      <x v="15"/>
      <x/>
      <x/>
      <x v="10"/>
    </i>
    <i>
      <x v="229"/>
      <x v="162"/>
      <x v="13"/>
      <x/>
      <x v="10"/>
      <x v="10"/>
      <x v="66"/>
      <x v="15"/>
      <x v="36"/>
      <x v="42"/>
      <x v="46"/>
    </i>
    <i>
      <x v="249"/>
      <x v="193"/>
      <x v="89"/>
      <x/>
      <x v="3"/>
      <x/>
      <x v="38"/>
      <x v="15"/>
      <x/>
      <x/>
      <x v="13"/>
    </i>
    <i>
      <x v="252"/>
      <x v="264"/>
      <x v="260"/>
      <x/>
      <x/>
      <x/>
      <x/>
      <x v="15"/>
      <x/>
      <x/>
      <x v="13"/>
    </i>
    <i>
      <x v="255"/>
      <x v="196"/>
      <x v="40"/>
      <x/>
      <x v="3"/>
      <x/>
      <x/>
      <x v="15"/>
      <x/>
      <x/>
      <x v="13"/>
    </i>
    <i>
      <x v="262"/>
      <x v="271"/>
      <x v="269"/>
      <x/>
      <x/>
      <x/>
      <x/>
      <x/>
      <x/>
      <x/>
      <x/>
    </i>
    <i>
      <x v="263"/>
      <x v="272"/>
      <x v="270"/>
      <x/>
      <x/>
      <x/>
      <x v="28"/>
      <x/>
      <x/>
      <x/>
      <x v="52"/>
    </i>
    <i>
      <x v="265"/>
      <x v="274"/>
      <x v="272"/>
      <x/>
      <x/>
      <x/>
      <x v="28"/>
      <x/>
      <x/>
      <x/>
      <x v="13"/>
    </i>
  </rowItems>
  <colItems count="1">
    <i/>
  </colItems>
  <pageFields count="2">
    <pageField fld="4" item="1" hier="-1"/>
    <pageField fld="9" item="0" hier="-1"/>
  </pageFields>
  <formats count="2390">
    <format dxfId="2389">
      <pivotArea type="all" dataOnly="0" outline="0" fieldPosition="0"/>
    </format>
    <format dxfId="2388">
      <pivotArea field="0" type="button" dataOnly="0" labelOnly="1" outline="0" axis="axisRow" fieldPosition="0"/>
    </format>
    <format dxfId="2387">
      <pivotArea dataOnly="0" labelOnly="1" fieldPosition="0">
        <references count="1">
          <reference field="0" count="50">
            <x v="0"/>
            <x v="2"/>
            <x v="3"/>
            <x v="4"/>
            <x v="5"/>
            <x v="7"/>
            <x v="9"/>
            <x v="10"/>
            <x v="11"/>
            <x v="12"/>
            <x v="16"/>
            <x v="18"/>
            <x v="22"/>
            <x v="25"/>
            <x v="26"/>
            <x v="28"/>
            <x v="29"/>
            <x v="30"/>
            <x v="31"/>
            <x v="35"/>
            <x v="36"/>
            <x v="37"/>
            <x v="38"/>
            <x v="39"/>
            <x v="40"/>
            <x v="41"/>
            <x v="42"/>
            <x v="43"/>
            <x v="44"/>
            <x v="45"/>
            <x v="46"/>
            <x v="47"/>
            <x v="49"/>
            <x v="55"/>
            <x v="56"/>
            <x v="62"/>
            <x v="63"/>
            <x v="64"/>
            <x v="65"/>
            <x v="66"/>
            <x v="67"/>
            <x v="68"/>
            <x v="79"/>
            <x v="81"/>
            <x v="82"/>
            <x v="83"/>
            <x v="84"/>
            <x v="85"/>
            <x v="86"/>
            <x v="87"/>
          </reference>
        </references>
      </pivotArea>
    </format>
    <format dxfId="2386">
      <pivotArea dataOnly="0" labelOnly="1" fieldPosition="0">
        <references count="1">
          <reference field="0" count="50">
            <x v="88"/>
            <x v="89"/>
            <x v="90"/>
            <x v="91"/>
            <x v="93"/>
            <x v="94"/>
            <x v="95"/>
            <x v="96"/>
            <x v="97"/>
            <x v="98"/>
            <x v="99"/>
            <x v="100"/>
            <x v="101"/>
            <x v="102"/>
            <x v="103"/>
            <x v="104"/>
            <x v="105"/>
            <x v="106"/>
            <x v="107"/>
            <x v="108"/>
            <x v="110"/>
            <x v="111"/>
            <x v="113"/>
            <x v="119"/>
            <x v="120"/>
            <x v="121"/>
            <x v="122"/>
            <x v="123"/>
            <x v="124"/>
            <x v="125"/>
            <x v="126"/>
            <x v="127"/>
            <x v="128"/>
            <x v="129"/>
            <x v="130"/>
            <x v="134"/>
            <x v="135"/>
            <x v="136"/>
            <x v="144"/>
            <x v="146"/>
            <x v="147"/>
            <x v="148"/>
            <x v="149"/>
            <x v="150"/>
            <x v="151"/>
            <x v="152"/>
            <x v="153"/>
            <x v="154"/>
            <x v="155"/>
            <x v="159"/>
          </reference>
        </references>
      </pivotArea>
    </format>
    <format dxfId="2385">
      <pivotArea dataOnly="0" labelOnly="1" fieldPosition="0">
        <references count="1">
          <reference field="0" count="50">
            <x v="160"/>
            <x v="161"/>
            <x v="162"/>
            <x v="164"/>
            <x v="165"/>
            <x v="166"/>
            <x v="167"/>
            <x v="168"/>
            <x v="171"/>
            <x v="172"/>
            <x v="173"/>
            <x v="175"/>
            <x v="176"/>
            <x v="177"/>
            <x v="178"/>
            <x v="179"/>
            <x v="180"/>
            <x v="181"/>
            <x v="182"/>
            <x v="183"/>
            <x v="184"/>
            <x v="185"/>
            <x v="186"/>
            <x v="187"/>
            <x v="188"/>
            <x v="189"/>
            <x v="192"/>
            <x v="193"/>
            <x v="197"/>
            <x v="199"/>
            <x v="200"/>
            <x v="201"/>
            <x v="204"/>
            <x v="206"/>
            <x v="207"/>
            <x v="208"/>
            <x v="209"/>
            <x v="210"/>
            <x v="211"/>
            <x v="212"/>
            <x v="214"/>
            <x v="215"/>
            <x v="216"/>
            <x v="217"/>
            <x v="218"/>
            <x v="219"/>
            <x v="220"/>
            <x v="221"/>
            <x v="223"/>
            <x v="224"/>
          </reference>
        </references>
      </pivotArea>
    </format>
    <format dxfId="2384">
      <pivotArea dataOnly="0" labelOnly="1" fieldPosition="0">
        <references count="1">
          <reference field="0" count="18">
            <x v="225"/>
            <x v="226"/>
            <x v="227"/>
            <x v="228"/>
            <x v="229"/>
            <x v="230"/>
            <x v="231"/>
            <x v="232"/>
            <x v="233"/>
            <x v="234"/>
            <x v="235"/>
            <x v="236"/>
            <x v="237"/>
            <x v="238"/>
            <x v="239"/>
            <x v="240"/>
            <x v="241"/>
            <x v="242"/>
          </reference>
        </references>
      </pivotArea>
    </format>
    <format dxfId="2383">
      <pivotArea dataOnly="0" labelOnly="1" grandRow="1" outline="0" fieldPosition="0"/>
    </format>
    <format dxfId="2382">
      <pivotArea dataOnly="0" labelOnly="1" fieldPosition="0">
        <references count="2">
          <reference field="0" count="1" selected="0">
            <x v="0"/>
          </reference>
          <reference field="1" count="1">
            <x v="228"/>
          </reference>
        </references>
      </pivotArea>
    </format>
    <format dxfId="2381">
      <pivotArea dataOnly="0" labelOnly="1" fieldPosition="0">
        <references count="2">
          <reference field="0" count="1" selected="0">
            <x v="2"/>
          </reference>
          <reference field="1" count="1">
            <x v="230"/>
          </reference>
        </references>
      </pivotArea>
    </format>
    <format dxfId="2380">
      <pivotArea dataOnly="0" labelOnly="1" fieldPosition="0">
        <references count="2">
          <reference field="0" count="1" selected="0">
            <x v="3"/>
          </reference>
          <reference field="1" count="1">
            <x v="231"/>
          </reference>
        </references>
      </pivotArea>
    </format>
    <format dxfId="2379">
      <pivotArea dataOnly="0" labelOnly="1" fieldPosition="0">
        <references count="2">
          <reference field="0" count="1" selected="0">
            <x v="4"/>
          </reference>
          <reference field="1" count="1">
            <x v="232"/>
          </reference>
        </references>
      </pivotArea>
    </format>
    <format dxfId="2378">
      <pivotArea dataOnly="0" labelOnly="1" fieldPosition="0">
        <references count="2">
          <reference field="0" count="1" selected="0">
            <x v="5"/>
          </reference>
          <reference field="1" count="1">
            <x v="233"/>
          </reference>
        </references>
      </pivotArea>
    </format>
    <format dxfId="2377">
      <pivotArea dataOnly="0" labelOnly="1" fieldPosition="0">
        <references count="2">
          <reference field="0" count="1" selected="0">
            <x v="7"/>
          </reference>
          <reference field="1" count="1">
            <x v="118"/>
          </reference>
        </references>
      </pivotArea>
    </format>
    <format dxfId="2376">
      <pivotArea dataOnly="0" labelOnly="1" fieldPosition="0">
        <references count="2">
          <reference field="0" count="1" selected="0">
            <x v="9"/>
          </reference>
          <reference field="1" count="1">
            <x v="120"/>
          </reference>
        </references>
      </pivotArea>
    </format>
    <format dxfId="2375">
      <pivotArea dataOnly="0" labelOnly="1" fieldPosition="0">
        <references count="2">
          <reference field="0" count="1" selected="0">
            <x v="10"/>
          </reference>
          <reference field="1" count="1">
            <x v="121"/>
          </reference>
        </references>
      </pivotArea>
    </format>
    <format dxfId="2374">
      <pivotArea dataOnly="0" labelOnly="1" fieldPosition="0">
        <references count="2">
          <reference field="0" count="1" selected="0">
            <x v="11"/>
          </reference>
          <reference field="1" count="1">
            <x v="122"/>
          </reference>
        </references>
      </pivotArea>
    </format>
    <format dxfId="2373">
      <pivotArea dataOnly="0" labelOnly="1" fieldPosition="0">
        <references count="2">
          <reference field="0" count="1" selected="0">
            <x v="12"/>
          </reference>
          <reference field="1" count="1">
            <x v="123"/>
          </reference>
        </references>
      </pivotArea>
    </format>
    <format dxfId="2372">
      <pivotArea dataOnly="0" labelOnly="1" fieldPosition="0">
        <references count="2">
          <reference field="0" count="1" selected="0">
            <x v="16"/>
          </reference>
          <reference field="1" count="1">
            <x v="64"/>
          </reference>
        </references>
      </pivotArea>
    </format>
    <format dxfId="2371">
      <pivotArea dataOnly="0" labelOnly="1" fieldPosition="0">
        <references count="2">
          <reference field="0" count="1" selected="0">
            <x v="18"/>
          </reference>
          <reference field="1" count="1">
            <x v="66"/>
          </reference>
        </references>
      </pivotArea>
    </format>
    <format dxfId="2370">
      <pivotArea dataOnly="0" labelOnly="1" fieldPosition="0">
        <references count="2">
          <reference field="0" count="1" selected="0">
            <x v="22"/>
          </reference>
          <reference field="1" count="1">
            <x v="19"/>
          </reference>
        </references>
      </pivotArea>
    </format>
    <format dxfId="2369">
      <pivotArea dataOnly="0" labelOnly="1" fieldPosition="0">
        <references count="2">
          <reference field="0" count="1" selected="0">
            <x v="25"/>
          </reference>
          <reference field="1" count="1">
            <x v="22"/>
          </reference>
        </references>
      </pivotArea>
    </format>
    <format dxfId="2368">
      <pivotArea dataOnly="0" labelOnly="1" fieldPosition="0">
        <references count="2">
          <reference field="0" count="1" selected="0">
            <x v="26"/>
          </reference>
          <reference field="1" count="1">
            <x v="23"/>
          </reference>
        </references>
      </pivotArea>
    </format>
    <format dxfId="2367">
      <pivotArea dataOnly="0" labelOnly="1" fieldPosition="0">
        <references count="2">
          <reference field="0" count="1" selected="0">
            <x v="28"/>
          </reference>
          <reference field="1" count="1">
            <x v="25"/>
          </reference>
        </references>
      </pivotArea>
    </format>
    <format dxfId="2366">
      <pivotArea dataOnly="0" labelOnly="1" fieldPosition="0">
        <references count="2">
          <reference field="0" count="1" selected="0">
            <x v="29"/>
          </reference>
          <reference field="1" count="1">
            <x v="26"/>
          </reference>
        </references>
      </pivotArea>
    </format>
    <format dxfId="2365">
      <pivotArea dataOnly="0" labelOnly="1" fieldPosition="0">
        <references count="2">
          <reference field="0" count="1" selected="0">
            <x v="30"/>
          </reference>
          <reference field="1" count="1">
            <x v="27"/>
          </reference>
        </references>
      </pivotArea>
    </format>
    <format dxfId="2364">
      <pivotArea dataOnly="0" labelOnly="1" fieldPosition="0">
        <references count="2">
          <reference field="0" count="1" selected="0">
            <x v="31"/>
          </reference>
          <reference field="1" count="1">
            <x v="28"/>
          </reference>
        </references>
      </pivotArea>
    </format>
    <format dxfId="2363">
      <pivotArea dataOnly="0" labelOnly="1" fieldPosition="0">
        <references count="2">
          <reference field="0" count="1" selected="0">
            <x v="35"/>
          </reference>
          <reference field="1" count="1">
            <x v="32"/>
          </reference>
        </references>
      </pivotArea>
    </format>
    <format dxfId="2362">
      <pivotArea dataOnly="0" labelOnly="1" fieldPosition="0">
        <references count="2">
          <reference field="0" count="1" selected="0">
            <x v="36"/>
          </reference>
          <reference field="1" count="1">
            <x v="33"/>
          </reference>
        </references>
      </pivotArea>
    </format>
    <format dxfId="2361">
      <pivotArea dataOnly="0" labelOnly="1" fieldPosition="0">
        <references count="2">
          <reference field="0" count="1" selected="0">
            <x v="37"/>
          </reference>
          <reference field="1" count="1">
            <x v="34"/>
          </reference>
        </references>
      </pivotArea>
    </format>
    <format dxfId="2360">
      <pivotArea dataOnly="0" labelOnly="1" fieldPosition="0">
        <references count="2">
          <reference field="0" count="1" selected="0">
            <x v="38"/>
          </reference>
          <reference field="1" count="1">
            <x v="0"/>
          </reference>
        </references>
      </pivotArea>
    </format>
    <format dxfId="2359">
      <pivotArea dataOnly="0" labelOnly="1" fieldPosition="0">
        <references count="2">
          <reference field="0" count="1" selected="0">
            <x v="39"/>
          </reference>
          <reference field="1" count="1">
            <x v="1"/>
          </reference>
        </references>
      </pivotArea>
    </format>
    <format dxfId="2358">
      <pivotArea dataOnly="0" labelOnly="1" fieldPosition="0">
        <references count="2">
          <reference field="0" count="1" selected="0">
            <x v="40"/>
          </reference>
          <reference field="1" count="1">
            <x v="2"/>
          </reference>
        </references>
      </pivotArea>
    </format>
    <format dxfId="2357">
      <pivotArea dataOnly="0" labelOnly="1" fieldPosition="0">
        <references count="2">
          <reference field="0" count="1" selected="0">
            <x v="41"/>
          </reference>
          <reference field="1" count="1">
            <x v="3"/>
          </reference>
        </references>
      </pivotArea>
    </format>
    <format dxfId="2356">
      <pivotArea dataOnly="0" labelOnly="1" fieldPosition="0">
        <references count="2">
          <reference field="0" count="1" selected="0">
            <x v="42"/>
          </reference>
          <reference field="1" count="1">
            <x v="4"/>
          </reference>
        </references>
      </pivotArea>
    </format>
    <format dxfId="2355">
      <pivotArea dataOnly="0" labelOnly="1" fieldPosition="0">
        <references count="2">
          <reference field="0" count="1" selected="0">
            <x v="43"/>
          </reference>
          <reference field="1" count="1">
            <x v="5"/>
          </reference>
        </references>
      </pivotArea>
    </format>
    <format dxfId="2354">
      <pivotArea dataOnly="0" labelOnly="1" fieldPosition="0">
        <references count="2">
          <reference field="0" count="1" selected="0">
            <x v="44"/>
          </reference>
          <reference field="1" count="1">
            <x v="6"/>
          </reference>
        </references>
      </pivotArea>
    </format>
    <format dxfId="2353">
      <pivotArea dataOnly="0" labelOnly="1" fieldPosition="0">
        <references count="2">
          <reference field="0" count="1" selected="0">
            <x v="45"/>
          </reference>
          <reference field="1" count="1">
            <x v="7"/>
          </reference>
        </references>
      </pivotArea>
    </format>
    <format dxfId="2352">
      <pivotArea dataOnly="0" labelOnly="1" fieldPosition="0">
        <references count="2">
          <reference field="0" count="1" selected="0">
            <x v="46"/>
          </reference>
          <reference field="1" count="1">
            <x v="8"/>
          </reference>
        </references>
      </pivotArea>
    </format>
    <format dxfId="2351">
      <pivotArea dataOnly="0" labelOnly="1" fieldPosition="0">
        <references count="2">
          <reference field="0" count="1" selected="0">
            <x v="47"/>
          </reference>
          <reference field="1" count="1">
            <x v="9"/>
          </reference>
        </references>
      </pivotArea>
    </format>
    <format dxfId="2350">
      <pivotArea dataOnly="0" labelOnly="1" fieldPosition="0">
        <references count="2">
          <reference field="0" count="1" selected="0">
            <x v="49"/>
          </reference>
          <reference field="1" count="1">
            <x v="11"/>
          </reference>
        </references>
      </pivotArea>
    </format>
    <format dxfId="2349">
      <pivotArea dataOnly="0" labelOnly="1" fieldPosition="0">
        <references count="2">
          <reference field="0" count="1" selected="0">
            <x v="55"/>
          </reference>
          <reference field="1" count="1">
            <x v="35"/>
          </reference>
        </references>
      </pivotArea>
    </format>
    <format dxfId="2348">
      <pivotArea dataOnly="0" labelOnly="1" fieldPosition="0">
        <references count="2">
          <reference field="0" count="1" selected="0">
            <x v="56"/>
          </reference>
          <reference field="1" count="1">
            <x v="36"/>
          </reference>
        </references>
      </pivotArea>
    </format>
    <format dxfId="2347">
      <pivotArea dataOnly="0" labelOnly="1" fieldPosition="0">
        <references count="2">
          <reference field="0" count="1" selected="0">
            <x v="62"/>
          </reference>
          <reference field="1" count="1">
            <x v="42"/>
          </reference>
        </references>
      </pivotArea>
    </format>
    <format dxfId="2346">
      <pivotArea dataOnly="0" labelOnly="1" fieldPosition="0">
        <references count="2">
          <reference field="0" count="1" selected="0">
            <x v="63"/>
          </reference>
          <reference field="1" count="1">
            <x v="43"/>
          </reference>
        </references>
      </pivotArea>
    </format>
    <format dxfId="2345">
      <pivotArea dataOnly="0" labelOnly="1" fieldPosition="0">
        <references count="2">
          <reference field="0" count="1" selected="0">
            <x v="64"/>
          </reference>
          <reference field="1" count="1">
            <x v="44"/>
          </reference>
        </references>
      </pivotArea>
    </format>
    <format dxfId="2344">
      <pivotArea dataOnly="0" labelOnly="1" fieldPosition="0">
        <references count="2">
          <reference field="0" count="1" selected="0">
            <x v="65"/>
          </reference>
          <reference field="1" count="1">
            <x v="45"/>
          </reference>
        </references>
      </pivotArea>
    </format>
    <format dxfId="2343">
      <pivotArea dataOnly="0" labelOnly="1" fieldPosition="0">
        <references count="2">
          <reference field="0" count="1" selected="0">
            <x v="66"/>
          </reference>
          <reference field="1" count="1">
            <x v="46"/>
          </reference>
        </references>
      </pivotArea>
    </format>
    <format dxfId="2342">
      <pivotArea dataOnly="0" labelOnly="1" fieldPosition="0">
        <references count="2">
          <reference field="0" count="1" selected="0">
            <x v="67"/>
          </reference>
          <reference field="1" count="1">
            <x v="47"/>
          </reference>
        </references>
      </pivotArea>
    </format>
    <format dxfId="2341">
      <pivotArea dataOnly="0" labelOnly="1" fieldPosition="0">
        <references count="2">
          <reference field="0" count="1" selected="0">
            <x v="68"/>
          </reference>
          <reference field="1" count="1">
            <x v="48"/>
          </reference>
        </references>
      </pivotArea>
    </format>
    <format dxfId="2340">
      <pivotArea dataOnly="0" labelOnly="1" fieldPosition="0">
        <references count="2">
          <reference field="0" count="1" selected="0">
            <x v="79"/>
          </reference>
          <reference field="1" count="1">
            <x v="59"/>
          </reference>
        </references>
      </pivotArea>
    </format>
    <format dxfId="2339">
      <pivotArea dataOnly="0" labelOnly="1" fieldPosition="0">
        <references count="2">
          <reference field="0" count="1" selected="0">
            <x v="81"/>
          </reference>
          <reference field="1" count="1">
            <x v="68"/>
          </reference>
        </references>
      </pivotArea>
    </format>
    <format dxfId="2338">
      <pivotArea dataOnly="0" labelOnly="1" fieldPosition="0">
        <references count="2">
          <reference field="0" count="1" selected="0">
            <x v="82"/>
          </reference>
          <reference field="1" count="1">
            <x v="69"/>
          </reference>
        </references>
      </pivotArea>
    </format>
    <format dxfId="2337">
      <pivotArea dataOnly="0" labelOnly="1" fieldPosition="0">
        <references count="2">
          <reference field="0" count="1" selected="0">
            <x v="83"/>
          </reference>
          <reference field="1" count="1">
            <x v="70"/>
          </reference>
        </references>
      </pivotArea>
    </format>
    <format dxfId="2336">
      <pivotArea dataOnly="0" labelOnly="1" fieldPosition="0">
        <references count="2">
          <reference field="0" count="1" selected="0">
            <x v="84"/>
          </reference>
          <reference field="1" count="1">
            <x v="71"/>
          </reference>
        </references>
      </pivotArea>
    </format>
    <format dxfId="2335">
      <pivotArea dataOnly="0" labelOnly="1" fieldPosition="0">
        <references count="2">
          <reference field="0" count="1" selected="0">
            <x v="85"/>
          </reference>
          <reference field="1" count="1">
            <x v="72"/>
          </reference>
        </references>
      </pivotArea>
    </format>
    <format dxfId="2334">
      <pivotArea dataOnly="0" labelOnly="1" fieldPosition="0">
        <references count="2">
          <reference field="0" count="1" selected="0">
            <x v="86"/>
          </reference>
          <reference field="1" count="1">
            <x v="73"/>
          </reference>
        </references>
      </pivotArea>
    </format>
    <format dxfId="2333">
      <pivotArea dataOnly="0" labelOnly="1" fieldPosition="0">
        <references count="2">
          <reference field="0" count="1" selected="0">
            <x v="87"/>
          </reference>
          <reference field="1" count="1">
            <x v="74"/>
          </reference>
        </references>
      </pivotArea>
    </format>
    <format dxfId="2332">
      <pivotArea dataOnly="0" labelOnly="1" fieldPosition="0">
        <references count="2">
          <reference field="0" count="1" selected="0">
            <x v="88"/>
          </reference>
          <reference field="1" count="1">
            <x v="75"/>
          </reference>
        </references>
      </pivotArea>
    </format>
    <format dxfId="2331">
      <pivotArea dataOnly="0" labelOnly="1" fieldPosition="0">
        <references count="2">
          <reference field="0" count="1" selected="0">
            <x v="89"/>
          </reference>
          <reference field="1" count="1">
            <x v="76"/>
          </reference>
        </references>
      </pivotArea>
    </format>
    <format dxfId="2330">
      <pivotArea dataOnly="0" labelOnly="1" fieldPosition="0">
        <references count="2">
          <reference field="0" count="1" selected="0">
            <x v="90"/>
          </reference>
          <reference field="1" count="1">
            <x v="77"/>
          </reference>
        </references>
      </pivotArea>
    </format>
    <format dxfId="2329">
      <pivotArea dataOnly="0" labelOnly="1" fieldPosition="0">
        <references count="2">
          <reference field="0" count="1" selected="0">
            <x v="91"/>
          </reference>
          <reference field="1" count="1">
            <x v="78"/>
          </reference>
        </references>
      </pivotArea>
    </format>
    <format dxfId="2328">
      <pivotArea dataOnly="0" labelOnly="1" fieldPosition="0">
        <references count="2">
          <reference field="0" count="1" selected="0">
            <x v="93"/>
          </reference>
          <reference field="1" count="1">
            <x v="80"/>
          </reference>
        </references>
      </pivotArea>
    </format>
    <format dxfId="2327">
      <pivotArea dataOnly="0" labelOnly="1" fieldPosition="0">
        <references count="2">
          <reference field="0" count="1" selected="0">
            <x v="94"/>
          </reference>
          <reference field="1" count="1">
            <x v="81"/>
          </reference>
        </references>
      </pivotArea>
    </format>
    <format dxfId="2326">
      <pivotArea dataOnly="0" labelOnly="1" fieldPosition="0">
        <references count="2">
          <reference field="0" count="1" selected="0">
            <x v="95"/>
          </reference>
          <reference field="1" count="1">
            <x v="82"/>
          </reference>
        </references>
      </pivotArea>
    </format>
    <format dxfId="2325">
      <pivotArea dataOnly="0" labelOnly="1" fieldPosition="0">
        <references count="2">
          <reference field="0" count="1" selected="0">
            <x v="96"/>
          </reference>
          <reference field="1" count="1">
            <x v="83"/>
          </reference>
        </references>
      </pivotArea>
    </format>
    <format dxfId="2324">
      <pivotArea dataOnly="0" labelOnly="1" fieldPosition="0">
        <references count="2">
          <reference field="0" count="1" selected="0">
            <x v="97"/>
          </reference>
          <reference field="1" count="1">
            <x v="84"/>
          </reference>
        </references>
      </pivotArea>
    </format>
    <format dxfId="2323">
      <pivotArea dataOnly="0" labelOnly="1" fieldPosition="0">
        <references count="2">
          <reference field="0" count="1" selected="0">
            <x v="98"/>
          </reference>
          <reference field="1" count="1">
            <x v="85"/>
          </reference>
        </references>
      </pivotArea>
    </format>
    <format dxfId="2322">
      <pivotArea dataOnly="0" labelOnly="1" fieldPosition="0">
        <references count="2">
          <reference field="0" count="1" selected="0">
            <x v="99"/>
          </reference>
          <reference field="1" count="1">
            <x v="86"/>
          </reference>
        </references>
      </pivotArea>
    </format>
    <format dxfId="2321">
      <pivotArea dataOnly="0" labelOnly="1" fieldPosition="0">
        <references count="2">
          <reference field="0" count="1" selected="0">
            <x v="100"/>
          </reference>
          <reference field="1" count="1">
            <x v="87"/>
          </reference>
        </references>
      </pivotArea>
    </format>
    <format dxfId="2320">
      <pivotArea dataOnly="0" labelOnly="1" fieldPosition="0">
        <references count="2">
          <reference field="0" count="1" selected="0">
            <x v="101"/>
          </reference>
          <reference field="1" count="1">
            <x v="88"/>
          </reference>
        </references>
      </pivotArea>
    </format>
    <format dxfId="2319">
      <pivotArea dataOnly="0" labelOnly="1" fieldPosition="0">
        <references count="2">
          <reference field="0" count="1" selected="0">
            <x v="102"/>
          </reference>
          <reference field="1" count="1">
            <x v="89"/>
          </reference>
        </references>
      </pivotArea>
    </format>
    <format dxfId="2318">
      <pivotArea dataOnly="0" labelOnly="1" fieldPosition="0">
        <references count="2">
          <reference field="0" count="1" selected="0">
            <x v="103"/>
          </reference>
          <reference field="1" count="1">
            <x v="90"/>
          </reference>
        </references>
      </pivotArea>
    </format>
    <format dxfId="2317">
      <pivotArea dataOnly="0" labelOnly="1" fieldPosition="0">
        <references count="2">
          <reference field="0" count="1" selected="0">
            <x v="104"/>
          </reference>
          <reference field="1" count="1">
            <x v="91"/>
          </reference>
        </references>
      </pivotArea>
    </format>
    <format dxfId="2316">
      <pivotArea dataOnly="0" labelOnly="1" fieldPosition="0">
        <references count="2">
          <reference field="0" count="1" selected="0">
            <x v="105"/>
          </reference>
          <reference field="1" count="1">
            <x v="92"/>
          </reference>
        </references>
      </pivotArea>
    </format>
    <format dxfId="2315">
      <pivotArea dataOnly="0" labelOnly="1" fieldPosition="0">
        <references count="2">
          <reference field="0" count="1" selected="0">
            <x v="106"/>
          </reference>
          <reference field="1" count="1">
            <x v="93"/>
          </reference>
        </references>
      </pivotArea>
    </format>
    <format dxfId="2314">
      <pivotArea dataOnly="0" labelOnly="1" fieldPosition="0">
        <references count="2">
          <reference field="0" count="1" selected="0">
            <x v="107"/>
          </reference>
          <reference field="1" count="1">
            <x v="94"/>
          </reference>
        </references>
      </pivotArea>
    </format>
    <format dxfId="2313">
      <pivotArea dataOnly="0" labelOnly="1" fieldPosition="0">
        <references count="2">
          <reference field="0" count="1" selected="0">
            <x v="108"/>
          </reference>
          <reference field="1" count="1">
            <x v="95"/>
          </reference>
        </references>
      </pivotArea>
    </format>
    <format dxfId="2312">
      <pivotArea dataOnly="0" labelOnly="1" fieldPosition="0">
        <references count="2">
          <reference field="0" count="1" selected="0">
            <x v="110"/>
          </reference>
          <reference field="1" count="1">
            <x v="97"/>
          </reference>
        </references>
      </pivotArea>
    </format>
    <format dxfId="2311">
      <pivotArea dataOnly="0" labelOnly="1" fieldPosition="0">
        <references count="2">
          <reference field="0" count="1" selected="0">
            <x v="111"/>
          </reference>
          <reference field="1" count="1">
            <x v="98"/>
          </reference>
        </references>
      </pivotArea>
    </format>
    <format dxfId="2310">
      <pivotArea dataOnly="0" labelOnly="1" fieldPosition="0">
        <references count="2">
          <reference field="0" count="1" selected="0">
            <x v="113"/>
          </reference>
          <reference field="1" count="1">
            <x v="100"/>
          </reference>
        </references>
      </pivotArea>
    </format>
    <format dxfId="2309">
      <pivotArea dataOnly="0" labelOnly="1" fieldPosition="0">
        <references count="2">
          <reference field="0" count="1" selected="0">
            <x v="119"/>
          </reference>
          <reference field="1" count="1">
            <x v="106"/>
          </reference>
        </references>
      </pivotArea>
    </format>
    <format dxfId="2308">
      <pivotArea dataOnly="0" labelOnly="1" fieldPosition="0">
        <references count="2">
          <reference field="0" count="1" selected="0">
            <x v="120"/>
          </reference>
          <reference field="1" count="1">
            <x v="107"/>
          </reference>
        </references>
      </pivotArea>
    </format>
    <format dxfId="2307">
      <pivotArea dataOnly="0" labelOnly="1" fieldPosition="0">
        <references count="2">
          <reference field="0" count="1" selected="0">
            <x v="121"/>
          </reference>
          <reference field="1" count="1">
            <x v="108"/>
          </reference>
        </references>
      </pivotArea>
    </format>
    <format dxfId="2306">
      <pivotArea dataOnly="0" labelOnly="1" fieldPosition="0">
        <references count="2">
          <reference field="0" count="1" selected="0">
            <x v="122"/>
          </reference>
          <reference field="1" count="1">
            <x v="109"/>
          </reference>
        </references>
      </pivotArea>
    </format>
    <format dxfId="2305">
      <pivotArea dataOnly="0" labelOnly="1" fieldPosition="0">
        <references count="2">
          <reference field="0" count="1" selected="0">
            <x v="123"/>
          </reference>
          <reference field="1" count="1">
            <x v="110"/>
          </reference>
        </references>
      </pivotArea>
    </format>
    <format dxfId="2304">
      <pivotArea dataOnly="0" labelOnly="1" fieldPosition="0">
        <references count="2">
          <reference field="0" count="1" selected="0">
            <x v="124"/>
          </reference>
          <reference field="1" count="1">
            <x v="111"/>
          </reference>
        </references>
      </pivotArea>
    </format>
    <format dxfId="2303">
      <pivotArea dataOnly="0" labelOnly="1" fieldPosition="0">
        <references count="2">
          <reference field="0" count="1" selected="0">
            <x v="125"/>
          </reference>
          <reference field="1" count="1">
            <x v="112"/>
          </reference>
        </references>
      </pivotArea>
    </format>
    <format dxfId="2302">
      <pivotArea dataOnly="0" labelOnly="1" fieldPosition="0">
        <references count="2">
          <reference field="0" count="1" selected="0">
            <x v="126"/>
          </reference>
          <reference field="1" count="1">
            <x v="113"/>
          </reference>
        </references>
      </pivotArea>
    </format>
    <format dxfId="2301">
      <pivotArea dataOnly="0" labelOnly="1" fieldPosition="0">
        <references count="2">
          <reference field="0" count="1" selected="0">
            <x v="127"/>
          </reference>
          <reference field="1" count="1">
            <x v="114"/>
          </reference>
        </references>
      </pivotArea>
    </format>
    <format dxfId="2300">
      <pivotArea dataOnly="0" labelOnly="1" fieldPosition="0">
        <references count="2">
          <reference field="0" count="1" selected="0">
            <x v="128"/>
          </reference>
          <reference field="1" count="1">
            <x v="115"/>
          </reference>
        </references>
      </pivotArea>
    </format>
    <format dxfId="2299">
      <pivotArea dataOnly="0" labelOnly="1" fieldPosition="0">
        <references count="2">
          <reference field="0" count="1" selected="0">
            <x v="129"/>
          </reference>
          <reference field="1" count="1">
            <x v="116"/>
          </reference>
        </references>
      </pivotArea>
    </format>
    <format dxfId="2298">
      <pivotArea dataOnly="0" labelOnly="1" fieldPosition="0">
        <references count="2">
          <reference field="0" count="1" selected="0">
            <x v="130"/>
          </reference>
          <reference field="1" count="1">
            <x v="117"/>
          </reference>
        </references>
      </pivotArea>
    </format>
    <format dxfId="2297">
      <pivotArea dataOnly="0" labelOnly="1" fieldPosition="0">
        <references count="2">
          <reference field="0" count="1" selected="0">
            <x v="134"/>
          </reference>
          <reference field="1" count="1">
            <x v="127"/>
          </reference>
        </references>
      </pivotArea>
    </format>
    <format dxfId="2296">
      <pivotArea dataOnly="0" labelOnly="1" fieldPosition="0">
        <references count="2">
          <reference field="0" count="1" selected="0">
            <x v="135"/>
          </reference>
          <reference field="1" count="1">
            <x v="128"/>
          </reference>
        </references>
      </pivotArea>
    </format>
    <format dxfId="2295">
      <pivotArea dataOnly="0" labelOnly="1" fieldPosition="0">
        <references count="2">
          <reference field="0" count="1" selected="0">
            <x v="136"/>
          </reference>
          <reference field="1" count="1">
            <x v="129"/>
          </reference>
        </references>
      </pivotArea>
    </format>
    <format dxfId="2294">
      <pivotArea dataOnly="0" labelOnly="1" fieldPosition="0">
        <references count="2">
          <reference field="0" count="1" selected="0">
            <x v="144"/>
          </reference>
          <reference field="1" count="1">
            <x v="137"/>
          </reference>
        </references>
      </pivotArea>
    </format>
    <format dxfId="2293">
      <pivotArea dataOnly="0" labelOnly="1" fieldPosition="0">
        <references count="2">
          <reference field="0" count="1" selected="0">
            <x v="146"/>
          </reference>
          <reference field="1" count="1">
            <x v="139"/>
          </reference>
        </references>
      </pivotArea>
    </format>
    <format dxfId="2292">
      <pivotArea dataOnly="0" labelOnly="1" fieldPosition="0">
        <references count="2">
          <reference field="0" count="1" selected="0">
            <x v="147"/>
          </reference>
          <reference field="1" count="1">
            <x v="140"/>
          </reference>
        </references>
      </pivotArea>
    </format>
    <format dxfId="2291">
      <pivotArea dataOnly="0" labelOnly="1" fieldPosition="0">
        <references count="2">
          <reference field="0" count="1" selected="0">
            <x v="148"/>
          </reference>
          <reference field="1" count="1">
            <x v="141"/>
          </reference>
        </references>
      </pivotArea>
    </format>
    <format dxfId="2290">
      <pivotArea dataOnly="0" labelOnly="1" fieldPosition="0">
        <references count="2">
          <reference field="0" count="1" selected="0">
            <x v="149"/>
          </reference>
          <reference field="1" count="1">
            <x v="142"/>
          </reference>
        </references>
      </pivotArea>
    </format>
    <format dxfId="2289">
      <pivotArea dataOnly="0" labelOnly="1" fieldPosition="0">
        <references count="2">
          <reference field="0" count="1" selected="0">
            <x v="150"/>
          </reference>
          <reference field="1" count="1">
            <x v="143"/>
          </reference>
        </references>
      </pivotArea>
    </format>
    <format dxfId="2288">
      <pivotArea dataOnly="0" labelOnly="1" fieldPosition="0">
        <references count="2">
          <reference field="0" count="1" selected="0">
            <x v="151"/>
          </reference>
          <reference field="1" count="1">
            <x v="144"/>
          </reference>
        </references>
      </pivotArea>
    </format>
    <format dxfId="2287">
      <pivotArea dataOnly="0" labelOnly="1" fieldPosition="0">
        <references count="2">
          <reference field="0" count="1" selected="0">
            <x v="152"/>
          </reference>
          <reference field="1" count="1">
            <x v="145"/>
          </reference>
        </references>
      </pivotArea>
    </format>
    <format dxfId="2286">
      <pivotArea dataOnly="0" labelOnly="1" fieldPosition="0">
        <references count="2">
          <reference field="0" count="1" selected="0">
            <x v="153"/>
          </reference>
          <reference field="1" count="1">
            <x v="146"/>
          </reference>
        </references>
      </pivotArea>
    </format>
    <format dxfId="2285">
      <pivotArea dataOnly="0" labelOnly="1" fieldPosition="0">
        <references count="2">
          <reference field="0" count="1" selected="0">
            <x v="154"/>
          </reference>
          <reference field="1" count="1">
            <x v="147"/>
          </reference>
        </references>
      </pivotArea>
    </format>
    <format dxfId="2284">
      <pivotArea dataOnly="0" labelOnly="1" fieldPosition="0">
        <references count="2">
          <reference field="0" count="1" selected="0">
            <x v="155"/>
          </reference>
          <reference field="1" count="1">
            <x v="148"/>
          </reference>
        </references>
      </pivotArea>
    </format>
    <format dxfId="2283">
      <pivotArea dataOnly="0" labelOnly="1" fieldPosition="0">
        <references count="2">
          <reference field="0" count="1" selected="0">
            <x v="159"/>
          </reference>
          <reference field="1" count="1">
            <x v="183"/>
          </reference>
        </references>
      </pivotArea>
    </format>
    <format dxfId="2282">
      <pivotArea dataOnly="0" labelOnly="1" fieldPosition="0">
        <references count="2">
          <reference field="0" count="1" selected="0">
            <x v="160"/>
          </reference>
          <reference field="1" count="1">
            <x v="184"/>
          </reference>
        </references>
      </pivotArea>
    </format>
    <format dxfId="2281">
      <pivotArea dataOnly="0" labelOnly="1" fieldPosition="0">
        <references count="2">
          <reference field="0" count="1" selected="0">
            <x v="161"/>
          </reference>
          <reference field="1" count="1">
            <x v="185"/>
          </reference>
        </references>
      </pivotArea>
    </format>
    <format dxfId="2280">
      <pivotArea dataOnly="0" labelOnly="1" fieldPosition="0">
        <references count="2">
          <reference field="0" count="1" selected="0">
            <x v="162"/>
          </reference>
          <reference field="1" count="1">
            <x v="186"/>
          </reference>
        </references>
      </pivotArea>
    </format>
    <format dxfId="2279">
      <pivotArea dataOnly="0" labelOnly="1" fieldPosition="0">
        <references count="2">
          <reference field="0" count="1" selected="0">
            <x v="164"/>
          </reference>
          <reference field="1" count="1">
            <x v="188"/>
          </reference>
        </references>
      </pivotArea>
    </format>
    <format dxfId="2278">
      <pivotArea dataOnly="0" labelOnly="1" fieldPosition="0">
        <references count="2">
          <reference field="0" count="1" selected="0">
            <x v="165"/>
          </reference>
          <reference field="1" count="1">
            <x v="189"/>
          </reference>
        </references>
      </pivotArea>
    </format>
    <format dxfId="2277">
      <pivotArea dataOnly="0" labelOnly="1" fieldPosition="0">
        <references count="2">
          <reference field="0" count="1" selected="0">
            <x v="166"/>
          </reference>
          <reference field="1" count="1">
            <x v="190"/>
          </reference>
        </references>
      </pivotArea>
    </format>
    <format dxfId="2276">
      <pivotArea dataOnly="0" labelOnly="1" fieldPosition="0">
        <references count="2">
          <reference field="0" count="1" selected="0">
            <x v="167"/>
          </reference>
          <reference field="1" count="1">
            <x v="199"/>
          </reference>
        </references>
      </pivotArea>
    </format>
    <format dxfId="2275">
      <pivotArea dataOnly="0" labelOnly="1" fieldPosition="0">
        <references count="2">
          <reference field="0" count="1" selected="0">
            <x v="168"/>
          </reference>
          <reference field="1" count="1">
            <x v="200"/>
          </reference>
        </references>
      </pivotArea>
    </format>
    <format dxfId="2274">
      <pivotArea dataOnly="0" labelOnly="1" fieldPosition="0">
        <references count="2">
          <reference field="0" count="1" selected="0">
            <x v="171"/>
          </reference>
          <reference field="1" count="1">
            <x v="203"/>
          </reference>
        </references>
      </pivotArea>
    </format>
    <format dxfId="2273">
      <pivotArea dataOnly="0" labelOnly="1" fieldPosition="0">
        <references count="2">
          <reference field="0" count="1" selected="0">
            <x v="172"/>
          </reference>
          <reference field="1" count="1">
            <x v="204"/>
          </reference>
        </references>
      </pivotArea>
    </format>
    <format dxfId="2272">
      <pivotArea dataOnly="0" labelOnly="1" fieldPosition="0">
        <references count="2">
          <reference field="0" count="1" selected="0">
            <x v="173"/>
          </reference>
          <reference field="1" count="1">
            <x v="205"/>
          </reference>
        </references>
      </pivotArea>
    </format>
    <format dxfId="2271">
      <pivotArea dataOnly="0" labelOnly="1" fieldPosition="0">
        <references count="2">
          <reference field="0" count="1" selected="0">
            <x v="175"/>
          </reference>
          <reference field="1" count="1">
            <x v="207"/>
          </reference>
        </references>
      </pivotArea>
    </format>
    <format dxfId="2270">
      <pivotArea dataOnly="0" labelOnly="1" fieldPosition="0">
        <references count="2">
          <reference field="0" count="1" selected="0">
            <x v="176"/>
          </reference>
          <reference field="1" count="1">
            <x v="208"/>
          </reference>
        </references>
      </pivotArea>
    </format>
    <format dxfId="2269">
      <pivotArea dataOnly="0" labelOnly="1" fieldPosition="0">
        <references count="2">
          <reference field="0" count="1" selected="0">
            <x v="177"/>
          </reference>
          <reference field="1" count="1">
            <x v="209"/>
          </reference>
        </references>
      </pivotArea>
    </format>
    <format dxfId="2268">
      <pivotArea dataOnly="0" labelOnly="1" fieldPosition="0">
        <references count="2">
          <reference field="0" count="1" selected="0">
            <x v="178"/>
          </reference>
          <reference field="1" count="1">
            <x v="210"/>
          </reference>
        </references>
      </pivotArea>
    </format>
    <format dxfId="2267">
      <pivotArea dataOnly="0" labelOnly="1" fieldPosition="0">
        <references count="2">
          <reference field="0" count="1" selected="0">
            <x v="179"/>
          </reference>
          <reference field="1" count="1">
            <x v="211"/>
          </reference>
        </references>
      </pivotArea>
    </format>
    <format dxfId="2266">
      <pivotArea dataOnly="0" labelOnly="1" fieldPosition="0">
        <references count="2">
          <reference field="0" count="1" selected="0">
            <x v="180"/>
          </reference>
          <reference field="1" count="1">
            <x v="212"/>
          </reference>
        </references>
      </pivotArea>
    </format>
    <format dxfId="2265">
      <pivotArea dataOnly="0" labelOnly="1" fieldPosition="0">
        <references count="2">
          <reference field="0" count="1" selected="0">
            <x v="181"/>
          </reference>
          <reference field="1" count="1">
            <x v="213"/>
          </reference>
        </references>
      </pivotArea>
    </format>
    <format dxfId="2264">
      <pivotArea dataOnly="0" labelOnly="1" fieldPosition="0">
        <references count="2">
          <reference field="0" count="1" selected="0">
            <x v="182"/>
          </reference>
          <reference field="1" count="1">
            <x v="214"/>
          </reference>
        </references>
      </pivotArea>
    </format>
    <format dxfId="2263">
      <pivotArea dataOnly="0" labelOnly="1" fieldPosition="0">
        <references count="2">
          <reference field="0" count="1" selected="0">
            <x v="183"/>
          </reference>
          <reference field="1" count="1">
            <x v="215"/>
          </reference>
        </references>
      </pivotArea>
    </format>
    <format dxfId="2262">
      <pivotArea dataOnly="0" labelOnly="1" fieldPosition="0">
        <references count="2">
          <reference field="0" count="1" selected="0">
            <x v="184"/>
          </reference>
          <reference field="1" count="1">
            <x v="216"/>
          </reference>
        </references>
      </pivotArea>
    </format>
    <format dxfId="2261">
      <pivotArea dataOnly="0" labelOnly="1" fieldPosition="0">
        <references count="2">
          <reference field="0" count="1" selected="0">
            <x v="185"/>
          </reference>
          <reference field="1" count="1">
            <x v="217"/>
          </reference>
        </references>
      </pivotArea>
    </format>
    <format dxfId="2260">
      <pivotArea dataOnly="0" labelOnly="1" fieldPosition="0">
        <references count="2">
          <reference field="0" count="1" selected="0">
            <x v="186"/>
          </reference>
          <reference field="1" count="1">
            <x v="218"/>
          </reference>
        </references>
      </pivotArea>
    </format>
    <format dxfId="2259">
      <pivotArea dataOnly="0" labelOnly="1" fieldPosition="0">
        <references count="2">
          <reference field="0" count="1" selected="0">
            <x v="187"/>
          </reference>
          <reference field="1" count="1">
            <x v="219"/>
          </reference>
        </references>
      </pivotArea>
    </format>
    <format dxfId="2258">
      <pivotArea dataOnly="0" labelOnly="1" fieldPosition="0">
        <references count="2">
          <reference field="0" count="1" selected="0">
            <x v="188"/>
          </reference>
          <reference field="1" count="1">
            <x v="220"/>
          </reference>
        </references>
      </pivotArea>
    </format>
    <format dxfId="2257">
      <pivotArea dataOnly="0" labelOnly="1" fieldPosition="0">
        <references count="2">
          <reference field="0" count="1" selected="0">
            <x v="189"/>
          </reference>
          <reference field="1" count="1">
            <x v="221"/>
          </reference>
        </references>
      </pivotArea>
    </format>
    <format dxfId="2256">
      <pivotArea dataOnly="0" labelOnly="1" fieldPosition="0">
        <references count="2">
          <reference field="0" count="1" selected="0">
            <x v="192"/>
          </reference>
          <reference field="1" count="1">
            <x v="224"/>
          </reference>
        </references>
      </pivotArea>
    </format>
    <format dxfId="2255">
      <pivotArea dataOnly="0" labelOnly="1" fieldPosition="0">
        <references count="2">
          <reference field="0" count="1" selected="0">
            <x v="193"/>
          </reference>
          <reference field="1" count="1">
            <x v="225"/>
          </reference>
        </references>
      </pivotArea>
    </format>
    <format dxfId="2254">
      <pivotArea dataOnly="0" labelOnly="1" fieldPosition="0">
        <references count="2">
          <reference field="0" count="1" selected="0">
            <x v="197"/>
          </reference>
          <reference field="1" count="1">
            <x v="236"/>
          </reference>
        </references>
      </pivotArea>
    </format>
    <format dxfId="2253">
      <pivotArea dataOnly="0" labelOnly="1" fieldPosition="0">
        <references count="2">
          <reference field="0" count="1" selected="0">
            <x v="199"/>
          </reference>
          <reference field="1" count="1">
            <x v="238"/>
          </reference>
        </references>
      </pivotArea>
    </format>
    <format dxfId="2252">
      <pivotArea dataOnly="0" labelOnly="1" fieldPosition="0">
        <references count="2">
          <reference field="0" count="1" selected="0">
            <x v="200"/>
          </reference>
          <reference field="1" count="1">
            <x v="239"/>
          </reference>
        </references>
      </pivotArea>
    </format>
    <format dxfId="2251">
      <pivotArea dataOnly="0" labelOnly="1" fieldPosition="0">
        <references count="2">
          <reference field="0" count="1" selected="0">
            <x v="201"/>
          </reference>
          <reference field="1" count="1">
            <x v="240"/>
          </reference>
        </references>
      </pivotArea>
    </format>
    <format dxfId="2250">
      <pivotArea dataOnly="0" labelOnly="1" fieldPosition="0">
        <references count="2">
          <reference field="0" count="1" selected="0">
            <x v="204"/>
          </reference>
          <reference field="1" count="1">
            <x v="149"/>
          </reference>
        </references>
      </pivotArea>
    </format>
    <format dxfId="2249">
      <pivotArea dataOnly="0" labelOnly="1" fieldPosition="0">
        <references count="2">
          <reference field="0" count="1" selected="0">
            <x v="206"/>
          </reference>
          <reference field="1" count="1">
            <x v="151"/>
          </reference>
        </references>
      </pivotArea>
    </format>
    <format dxfId="2248">
      <pivotArea dataOnly="0" labelOnly="1" fieldPosition="0">
        <references count="2">
          <reference field="0" count="1" selected="0">
            <x v="207"/>
          </reference>
          <reference field="1" count="1">
            <x v="152"/>
          </reference>
        </references>
      </pivotArea>
    </format>
    <format dxfId="2247">
      <pivotArea dataOnly="0" labelOnly="1" fieldPosition="0">
        <references count="2">
          <reference field="0" count="1" selected="0">
            <x v="208"/>
          </reference>
          <reference field="1" count="1">
            <x v="153"/>
          </reference>
        </references>
      </pivotArea>
    </format>
    <format dxfId="2246">
      <pivotArea dataOnly="0" labelOnly="1" fieldPosition="0">
        <references count="2">
          <reference field="0" count="1" selected="0">
            <x v="209"/>
          </reference>
          <reference field="1" count="1">
            <x v="154"/>
          </reference>
        </references>
      </pivotArea>
    </format>
    <format dxfId="2245">
      <pivotArea dataOnly="0" labelOnly="1" fieldPosition="0">
        <references count="2">
          <reference field="0" count="1" selected="0">
            <x v="210"/>
          </reference>
          <reference field="1" count="1">
            <x v="155"/>
          </reference>
        </references>
      </pivotArea>
    </format>
    <format dxfId="2244">
      <pivotArea dataOnly="0" labelOnly="1" fieldPosition="0">
        <references count="2">
          <reference field="0" count="1" selected="0">
            <x v="211"/>
          </reference>
          <reference field="1" count="1">
            <x v="156"/>
          </reference>
        </references>
      </pivotArea>
    </format>
    <format dxfId="2243">
      <pivotArea dataOnly="0" labelOnly="1" fieldPosition="0">
        <references count="2">
          <reference field="0" count="1" selected="0">
            <x v="212"/>
          </reference>
          <reference field="1" count="1">
            <x v="157"/>
          </reference>
        </references>
      </pivotArea>
    </format>
    <format dxfId="2242">
      <pivotArea dataOnly="0" labelOnly="1" fieldPosition="0">
        <references count="2">
          <reference field="0" count="1" selected="0">
            <x v="214"/>
          </reference>
          <reference field="1" count="1">
            <x v="159"/>
          </reference>
        </references>
      </pivotArea>
    </format>
    <format dxfId="2241">
      <pivotArea dataOnly="0" labelOnly="1" fieldPosition="0">
        <references count="2">
          <reference field="0" count="1" selected="0">
            <x v="215"/>
          </reference>
          <reference field="1" count="1">
            <x v="160"/>
          </reference>
        </references>
      </pivotArea>
    </format>
    <format dxfId="2240">
      <pivotArea dataOnly="0" labelOnly="1" fieldPosition="0">
        <references count="2">
          <reference field="0" count="1" selected="0">
            <x v="216"/>
          </reference>
          <reference field="1" count="1">
            <x v="161"/>
          </reference>
        </references>
      </pivotArea>
    </format>
    <format dxfId="2239">
      <pivotArea dataOnly="0" labelOnly="1" fieldPosition="0">
        <references count="2">
          <reference field="0" count="1" selected="0">
            <x v="217"/>
          </reference>
          <reference field="1" count="1">
            <x v="162"/>
          </reference>
        </references>
      </pivotArea>
    </format>
    <format dxfId="2238">
      <pivotArea dataOnly="0" labelOnly="1" fieldPosition="0">
        <references count="2">
          <reference field="0" count="1" selected="0">
            <x v="218"/>
          </reference>
          <reference field="1" count="1">
            <x v="163"/>
          </reference>
        </references>
      </pivotArea>
    </format>
    <format dxfId="2237">
      <pivotArea dataOnly="0" labelOnly="1" fieldPosition="0">
        <references count="2">
          <reference field="0" count="1" selected="0">
            <x v="219"/>
          </reference>
          <reference field="1" count="1">
            <x v="164"/>
          </reference>
        </references>
      </pivotArea>
    </format>
    <format dxfId="2236">
      <pivotArea dataOnly="0" labelOnly="1" fieldPosition="0">
        <references count="2">
          <reference field="0" count="1" selected="0">
            <x v="220"/>
          </reference>
          <reference field="1" count="1">
            <x v="165"/>
          </reference>
        </references>
      </pivotArea>
    </format>
    <format dxfId="2235">
      <pivotArea dataOnly="0" labelOnly="1" fieldPosition="0">
        <references count="2">
          <reference field="0" count="1" selected="0">
            <x v="221"/>
          </reference>
          <reference field="1" count="1">
            <x v="166"/>
          </reference>
        </references>
      </pivotArea>
    </format>
    <format dxfId="2234">
      <pivotArea dataOnly="0" labelOnly="1" fieldPosition="0">
        <references count="2">
          <reference field="0" count="1" selected="0">
            <x v="223"/>
          </reference>
          <reference field="1" count="1">
            <x v="168"/>
          </reference>
        </references>
      </pivotArea>
    </format>
    <format dxfId="2233">
      <pivotArea dataOnly="0" labelOnly="1" fieldPosition="0">
        <references count="2">
          <reference field="0" count="1" selected="0">
            <x v="224"/>
          </reference>
          <reference field="1" count="1">
            <x v="169"/>
          </reference>
        </references>
      </pivotArea>
    </format>
    <format dxfId="2232">
      <pivotArea dataOnly="0" labelOnly="1" fieldPosition="0">
        <references count="2">
          <reference field="0" count="1" selected="0">
            <x v="225"/>
          </reference>
          <reference field="1" count="1">
            <x v="170"/>
          </reference>
        </references>
      </pivotArea>
    </format>
    <format dxfId="2231">
      <pivotArea dataOnly="0" labelOnly="1" fieldPosition="0">
        <references count="2">
          <reference field="0" count="1" selected="0">
            <x v="226"/>
          </reference>
          <reference field="1" count="1">
            <x v="171"/>
          </reference>
        </references>
      </pivotArea>
    </format>
    <format dxfId="2230">
      <pivotArea dataOnly="0" labelOnly="1" fieldPosition="0">
        <references count="2">
          <reference field="0" count="1" selected="0">
            <x v="227"/>
          </reference>
          <reference field="1" count="1">
            <x v="172"/>
          </reference>
        </references>
      </pivotArea>
    </format>
    <format dxfId="2229">
      <pivotArea dataOnly="0" labelOnly="1" fieldPosition="0">
        <references count="2">
          <reference field="0" count="1" selected="0">
            <x v="228"/>
          </reference>
          <reference field="1" count="1">
            <x v="173"/>
          </reference>
        </references>
      </pivotArea>
    </format>
    <format dxfId="2228">
      <pivotArea dataOnly="0" labelOnly="1" fieldPosition="0">
        <references count="2">
          <reference field="0" count="1" selected="0">
            <x v="229"/>
          </reference>
          <reference field="1" count="1">
            <x v="174"/>
          </reference>
        </references>
      </pivotArea>
    </format>
    <format dxfId="2227">
      <pivotArea dataOnly="0" labelOnly="1" fieldPosition="0">
        <references count="2">
          <reference field="0" count="1" selected="0">
            <x v="230"/>
          </reference>
          <reference field="1" count="1">
            <x v="175"/>
          </reference>
        </references>
      </pivotArea>
    </format>
    <format dxfId="2226">
      <pivotArea dataOnly="0" labelOnly="1" fieldPosition="0">
        <references count="2">
          <reference field="0" count="1" selected="0">
            <x v="231"/>
          </reference>
          <reference field="1" count="1">
            <x v="176"/>
          </reference>
        </references>
      </pivotArea>
    </format>
    <format dxfId="2225">
      <pivotArea dataOnly="0" labelOnly="1" fieldPosition="0">
        <references count="2">
          <reference field="0" count="1" selected="0">
            <x v="232"/>
          </reference>
          <reference field="1" count="1">
            <x v="177"/>
          </reference>
        </references>
      </pivotArea>
    </format>
    <format dxfId="2224">
      <pivotArea dataOnly="0" labelOnly="1" fieldPosition="0">
        <references count="2">
          <reference field="0" count="1" selected="0">
            <x v="233"/>
          </reference>
          <reference field="1" count="1">
            <x v="178"/>
          </reference>
        </references>
      </pivotArea>
    </format>
    <format dxfId="2223">
      <pivotArea dataOnly="0" labelOnly="1" fieldPosition="0">
        <references count="2">
          <reference field="0" count="1" selected="0">
            <x v="234"/>
          </reference>
          <reference field="1" count="1">
            <x v="179"/>
          </reference>
        </references>
      </pivotArea>
    </format>
    <format dxfId="2222">
      <pivotArea dataOnly="0" labelOnly="1" fieldPosition="0">
        <references count="2">
          <reference field="0" count="1" selected="0">
            <x v="235"/>
          </reference>
          <reference field="1" count="1">
            <x v="191"/>
          </reference>
        </references>
      </pivotArea>
    </format>
    <format dxfId="2221">
      <pivotArea dataOnly="0" labelOnly="1" fieldPosition="0">
        <references count="2">
          <reference field="0" count="1" selected="0">
            <x v="236"/>
          </reference>
          <reference field="1" count="1">
            <x v="192"/>
          </reference>
        </references>
      </pivotArea>
    </format>
    <format dxfId="2220">
      <pivotArea dataOnly="0" labelOnly="1" fieldPosition="0">
        <references count="2">
          <reference field="0" count="1" selected="0">
            <x v="237"/>
          </reference>
          <reference field="1" count="1">
            <x v="193"/>
          </reference>
        </references>
      </pivotArea>
    </format>
    <format dxfId="2219">
      <pivotArea dataOnly="0" labelOnly="1" fieldPosition="0">
        <references count="2">
          <reference field="0" count="1" selected="0">
            <x v="238"/>
          </reference>
          <reference field="1" count="1">
            <x v="194"/>
          </reference>
        </references>
      </pivotArea>
    </format>
    <format dxfId="2218">
      <pivotArea dataOnly="0" labelOnly="1" fieldPosition="0">
        <references count="2">
          <reference field="0" count="1" selected="0">
            <x v="239"/>
          </reference>
          <reference field="1" count="1">
            <x v="195"/>
          </reference>
        </references>
      </pivotArea>
    </format>
    <format dxfId="2217">
      <pivotArea dataOnly="0" labelOnly="1" fieldPosition="0">
        <references count="2">
          <reference field="0" count="1" selected="0">
            <x v="240"/>
          </reference>
          <reference field="1" count="1">
            <x v="196"/>
          </reference>
        </references>
      </pivotArea>
    </format>
    <format dxfId="2216">
      <pivotArea dataOnly="0" labelOnly="1" fieldPosition="0">
        <references count="2">
          <reference field="0" count="1" selected="0">
            <x v="241"/>
          </reference>
          <reference field="1" count="1">
            <x v="197"/>
          </reference>
        </references>
      </pivotArea>
    </format>
    <format dxfId="2215">
      <pivotArea dataOnly="0" labelOnly="1" fieldPosition="0">
        <references count="2">
          <reference field="0" count="1" selected="0">
            <x v="242"/>
          </reference>
          <reference field="1" count="1">
            <x v="198"/>
          </reference>
        </references>
      </pivotArea>
    </format>
    <format dxfId="2214">
      <pivotArea dataOnly="0" labelOnly="1" fieldPosition="0">
        <references count="3">
          <reference field="0" count="1" selected="0">
            <x v="0"/>
          </reference>
          <reference field="1" count="1" selected="0">
            <x v="228"/>
          </reference>
          <reference field="2" count="1">
            <x v="153"/>
          </reference>
        </references>
      </pivotArea>
    </format>
    <format dxfId="2213">
      <pivotArea dataOnly="0" labelOnly="1" fieldPosition="0">
        <references count="3">
          <reference field="0" count="1" selected="0">
            <x v="2"/>
          </reference>
          <reference field="1" count="1" selected="0">
            <x v="230"/>
          </reference>
          <reference field="2" count="1">
            <x v="225"/>
          </reference>
        </references>
      </pivotArea>
    </format>
    <format dxfId="2212">
      <pivotArea dataOnly="0" labelOnly="1" fieldPosition="0">
        <references count="3">
          <reference field="0" count="1" selected="0">
            <x v="3"/>
          </reference>
          <reference field="1" count="1" selected="0">
            <x v="231"/>
          </reference>
          <reference field="2" count="1">
            <x v="88"/>
          </reference>
        </references>
      </pivotArea>
    </format>
    <format dxfId="2211">
      <pivotArea dataOnly="0" labelOnly="1" fieldPosition="0">
        <references count="3">
          <reference field="0" count="1" selected="0">
            <x v="4"/>
          </reference>
          <reference field="1" count="1" selected="0">
            <x v="232"/>
          </reference>
          <reference field="2" count="1">
            <x v="90"/>
          </reference>
        </references>
      </pivotArea>
    </format>
    <format dxfId="2210">
      <pivotArea dataOnly="0" labelOnly="1" fieldPosition="0">
        <references count="3">
          <reference field="0" count="1" selected="0">
            <x v="5"/>
          </reference>
          <reference field="1" count="1" selected="0">
            <x v="233"/>
          </reference>
          <reference field="2" count="1">
            <x v="224"/>
          </reference>
        </references>
      </pivotArea>
    </format>
    <format dxfId="2209">
      <pivotArea dataOnly="0" labelOnly="1" fieldPosition="0">
        <references count="3">
          <reference field="0" count="1" selected="0">
            <x v="7"/>
          </reference>
          <reference field="1" count="1" selected="0">
            <x v="118"/>
          </reference>
          <reference field="2" count="1">
            <x v="171"/>
          </reference>
        </references>
      </pivotArea>
    </format>
    <format dxfId="2208">
      <pivotArea dataOnly="0" labelOnly="1" fieldPosition="0">
        <references count="3">
          <reference field="0" count="1" selected="0">
            <x v="9"/>
          </reference>
          <reference field="1" count="1" selected="0">
            <x v="120"/>
          </reference>
          <reference field="2" count="1">
            <x v="168"/>
          </reference>
        </references>
      </pivotArea>
    </format>
    <format dxfId="2207">
      <pivotArea dataOnly="0" labelOnly="1" fieldPosition="0">
        <references count="3">
          <reference field="0" count="1" selected="0">
            <x v="10"/>
          </reference>
          <reference field="1" count="1" selected="0">
            <x v="121"/>
          </reference>
          <reference field="2" count="1">
            <x v="82"/>
          </reference>
        </references>
      </pivotArea>
    </format>
    <format dxfId="2206">
      <pivotArea dataOnly="0" labelOnly="1" fieldPosition="0">
        <references count="3">
          <reference field="0" count="1" selected="0">
            <x v="11"/>
          </reference>
          <reference field="1" count="1" selected="0">
            <x v="122"/>
          </reference>
          <reference field="2" count="1">
            <x v="26"/>
          </reference>
        </references>
      </pivotArea>
    </format>
    <format dxfId="2205">
      <pivotArea dataOnly="0" labelOnly="1" fieldPosition="0">
        <references count="3">
          <reference field="0" count="1" selected="0">
            <x v="12"/>
          </reference>
          <reference field="1" count="1" selected="0">
            <x v="123"/>
          </reference>
          <reference field="2" count="1">
            <x v="150"/>
          </reference>
        </references>
      </pivotArea>
    </format>
    <format dxfId="2204">
      <pivotArea dataOnly="0" labelOnly="1" fieldPosition="0">
        <references count="3">
          <reference field="0" count="1" selected="0">
            <x v="16"/>
          </reference>
          <reference field="1" count="1" selected="0">
            <x v="64"/>
          </reference>
          <reference field="2" count="1">
            <x v="157"/>
          </reference>
        </references>
      </pivotArea>
    </format>
    <format dxfId="2203">
      <pivotArea dataOnly="0" labelOnly="1" fieldPosition="0">
        <references count="3">
          <reference field="0" count="1" selected="0">
            <x v="18"/>
          </reference>
          <reference field="1" count="1" selected="0">
            <x v="66"/>
          </reference>
          <reference field="2" count="1">
            <x v="189"/>
          </reference>
        </references>
      </pivotArea>
    </format>
    <format dxfId="2202">
      <pivotArea dataOnly="0" labelOnly="1" fieldPosition="0">
        <references count="3">
          <reference field="0" count="1" selected="0">
            <x v="22"/>
          </reference>
          <reference field="1" count="1" selected="0">
            <x v="19"/>
          </reference>
          <reference field="2" count="1">
            <x v="39"/>
          </reference>
        </references>
      </pivotArea>
    </format>
    <format dxfId="2201">
      <pivotArea dataOnly="0" labelOnly="1" fieldPosition="0">
        <references count="3">
          <reference field="0" count="1" selected="0">
            <x v="25"/>
          </reference>
          <reference field="1" count="1" selected="0">
            <x v="22"/>
          </reference>
          <reference field="2" count="1">
            <x v="84"/>
          </reference>
        </references>
      </pivotArea>
    </format>
    <format dxfId="2200">
      <pivotArea dataOnly="0" labelOnly="1" fieldPosition="0">
        <references count="3">
          <reference field="0" count="1" selected="0">
            <x v="26"/>
          </reference>
          <reference field="1" count="1" selected="0">
            <x v="23"/>
          </reference>
          <reference field="2" count="1">
            <x v="217"/>
          </reference>
        </references>
      </pivotArea>
    </format>
    <format dxfId="2199">
      <pivotArea dataOnly="0" labelOnly="1" fieldPosition="0">
        <references count="3">
          <reference field="0" count="1" selected="0">
            <x v="28"/>
          </reference>
          <reference field="1" count="1" selected="0">
            <x v="25"/>
          </reference>
          <reference field="2" count="1">
            <x v="52"/>
          </reference>
        </references>
      </pivotArea>
    </format>
    <format dxfId="2198">
      <pivotArea dataOnly="0" labelOnly="1" fieldPosition="0">
        <references count="3">
          <reference field="0" count="1" selected="0">
            <x v="29"/>
          </reference>
          <reference field="1" count="1" selected="0">
            <x v="26"/>
          </reference>
          <reference field="2" count="1">
            <x v="62"/>
          </reference>
        </references>
      </pivotArea>
    </format>
    <format dxfId="2197">
      <pivotArea dataOnly="0" labelOnly="1" fieldPosition="0">
        <references count="3">
          <reference field="0" count="1" selected="0">
            <x v="30"/>
          </reference>
          <reference field="1" count="1" selected="0">
            <x v="27"/>
          </reference>
          <reference field="2" count="1">
            <x v="7"/>
          </reference>
        </references>
      </pivotArea>
    </format>
    <format dxfId="2196">
      <pivotArea dataOnly="0" labelOnly="1" fieldPosition="0">
        <references count="3">
          <reference field="0" count="1" selected="0">
            <x v="31"/>
          </reference>
          <reference field="1" count="1" selected="0">
            <x v="28"/>
          </reference>
          <reference field="2" count="1">
            <x v="53"/>
          </reference>
        </references>
      </pivotArea>
    </format>
    <format dxfId="2195">
      <pivotArea dataOnly="0" labelOnly="1" fieldPosition="0">
        <references count="3">
          <reference field="0" count="1" selected="0">
            <x v="35"/>
          </reference>
          <reference field="1" count="1" selected="0">
            <x v="32"/>
          </reference>
          <reference field="2" count="1">
            <x v="51"/>
          </reference>
        </references>
      </pivotArea>
    </format>
    <format dxfId="2194">
      <pivotArea dataOnly="0" labelOnly="1" fieldPosition="0">
        <references count="3">
          <reference field="0" count="1" selected="0">
            <x v="36"/>
          </reference>
          <reference field="1" count="1" selected="0">
            <x v="33"/>
          </reference>
          <reference field="2" count="1">
            <x v="130"/>
          </reference>
        </references>
      </pivotArea>
    </format>
    <format dxfId="2193">
      <pivotArea dataOnly="0" labelOnly="1" fieldPosition="0">
        <references count="3">
          <reference field="0" count="1" selected="0">
            <x v="37"/>
          </reference>
          <reference field="1" count="1" selected="0">
            <x v="34"/>
          </reference>
          <reference field="2" count="1">
            <x v="70"/>
          </reference>
        </references>
      </pivotArea>
    </format>
    <format dxfId="2192">
      <pivotArea dataOnly="0" labelOnly="1" fieldPosition="0">
        <references count="3">
          <reference field="0" count="1" selected="0">
            <x v="38"/>
          </reference>
          <reference field="1" count="1" selected="0">
            <x v="0"/>
          </reference>
          <reference field="2" count="1">
            <x v="45"/>
          </reference>
        </references>
      </pivotArea>
    </format>
    <format dxfId="2191">
      <pivotArea dataOnly="0" labelOnly="1" fieldPosition="0">
        <references count="3">
          <reference field="0" count="1" selected="0">
            <x v="39"/>
          </reference>
          <reference field="1" count="1" selected="0">
            <x v="1"/>
          </reference>
          <reference field="2" count="1">
            <x v="46"/>
          </reference>
        </references>
      </pivotArea>
    </format>
    <format dxfId="2190">
      <pivotArea dataOnly="0" labelOnly="1" fieldPosition="0">
        <references count="3">
          <reference field="0" count="1" selected="0">
            <x v="40"/>
          </reference>
          <reference field="1" count="1" selected="0">
            <x v="2"/>
          </reference>
          <reference field="2" count="1">
            <x v="128"/>
          </reference>
        </references>
      </pivotArea>
    </format>
    <format dxfId="2189">
      <pivotArea dataOnly="0" labelOnly="1" fieldPosition="0">
        <references count="3">
          <reference field="0" count="1" selected="0">
            <x v="41"/>
          </reference>
          <reference field="1" count="1" selected="0">
            <x v="3"/>
          </reference>
          <reference field="2" count="1">
            <x v="105"/>
          </reference>
        </references>
      </pivotArea>
    </format>
    <format dxfId="2188">
      <pivotArea dataOnly="0" labelOnly="1" fieldPosition="0">
        <references count="3">
          <reference field="0" count="1" selected="0">
            <x v="42"/>
          </reference>
          <reference field="1" count="1" selected="0">
            <x v="4"/>
          </reference>
          <reference field="2" count="1">
            <x v="64"/>
          </reference>
        </references>
      </pivotArea>
    </format>
    <format dxfId="2187">
      <pivotArea dataOnly="0" labelOnly="1" fieldPosition="0">
        <references count="3">
          <reference field="0" count="1" selected="0">
            <x v="43"/>
          </reference>
          <reference field="1" count="1" selected="0">
            <x v="5"/>
          </reference>
          <reference field="2" count="1">
            <x v="19"/>
          </reference>
        </references>
      </pivotArea>
    </format>
    <format dxfId="2186">
      <pivotArea dataOnly="0" labelOnly="1" fieldPosition="0">
        <references count="3">
          <reference field="0" count="1" selected="0">
            <x v="44"/>
          </reference>
          <reference field="1" count="1" selected="0">
            <x v="6"/>
          </reference>
          <reference field="2" count="1">
            <x v="23"/>
          </reference>
        </references>
      </pivotArea>
    </format>
    <format dxfId="2185">
      <pivotArea dataOnly="0" labelOnly="1" fieldPosition="0">
        <references count="3">
          <reference field="0" count="1" selected="0">
            <x v="45"/>
          </reference>
          <reference field="1" count="1" selected="0">
            <x v="7"/>
          </reference>
          <reference field="2" count="1">
            <x v="22"/>
          </reference>
        </references>
      </pivotArea>
    </format>
    <format dxfId="2184">
      <pivotArea dataOnly="0" labelOnly="1" fieldPosition="0">
        <references count="3">
          <reference field="0" count="1" selected="0">
            <x v="46"/>
          </reference>
          <reference field="1" count="1" selected="0">
            <x v="8"/>
          </reference>
          <reference field="2" count="1">
            <x v="135"/>
          </reference>
        </references>
      </pivotArea>
    </format>
    <format dxfId="2183">
      <pivotArea dataOnly="0" labelOnly="1" fieldPosition="0">
        <references count="3">
          <reference field="0" count="1" selected="0">
            <x v="47"/>
          </reference>
          <reference field="1" count="1" selected="0">
            <x v="9"/>
          </reference>
          <reference field="2" count="1">
            <x v="141"/>
          </reference>
        </references>
      </pivotArea>
    </format>
    <format dxfId="2182">
      <pivotArea dataOnly="0" labelOnly="1" fieldPosition="0">
        <references count="3">
          <reference field="0" count="1" selected="0">
            <x v="49"/>
          </reference>
          <reference field="1" count="1" selected="0">
            <x v="11"/>
          </reference>
          <reference field="2" count="1">
            <x v="127"/>
          </reference>
        </references>
      </pivotArea>
    </format>
    <format dxfId="2181">
      <pivotArea dataOnly="0" labelOnly="1" fieldPosition="0">
        <references count="3">
          <reference field="0" count="1" selected="0">
            <x v="55"/>
          </reference>
          <reference field="1" count="1" selected="0">
            <x v="35"/>
          </reference>
          <reference field="2" count="1">
            <x v="65"/>
          </reference>
        </references>
      </pivotArea>
    </format>
    <format dxfId="2180">
      <pivotArea dataOnly="0" labelOnly="1" fieldPosition="0">
        <references count="3">
          <reference field="0" count="1" selected="0">
            <x v="56"/>
          </reference>
          <reference field="1" count="1" selected="0">
            <x v="36"/>
          </reference>
          <reference field="2" count="1">
            <x v="183"/>
          </reference>
        </references>
      </pivotArea>
    </format>
    <format dxfId="2179">
      <pivotArea dataOnly="0" labelOnly="1" fieldPosition="0">
        <references count="3">
          <reference field="0" count="1" selected="0">
            <x v="62"/>
          </reference>
          <reference field="1" count="1" selected="0">
            <x v="42"/>
          </reference>
          <reference field="2" count="1">
            <x v="15"/>
          </reference>
        </references>
      </pivotArea>
    </format>
    <format dxfId="2178">
      <pivotArea dataOnly="0" labelOnly="1" fieldPosition="0">
        <references count="3">
          <reference field="0" count="1" selected="0">
            <x v="63"/>
          </reference>
          <reference field="1" count="1" selected="0">
            <x v="43"/>
          </reference>
          <reference field="2" count="1">
            <x v="152"/>
          </reference>
        </references>
      </pivotArea>
    </format>
    <format dxfId="2177">
      <pivotArea dataOnly="0" labelOnly="1" fieldPosition="0">
        <references count="3">
          <reference field="0" count="1" selected="0">
            <x v="64"/>
          </reference>
          <reference field="1" count="1" selected="0">
            <x v="44"/>
          </reference>
          <reference field="2" count="1">
            <x v="146"/>
          </reference>
        </references>
      </pivotArea>
    </format>
    <format dxfId="2176">
      <pivotArea dataOnly="0" labelOnly="1" fieldPosition="0">
        <references count="3">
          <reference field="0" count="1" selected="0">
            <x v="65"/>
          </reference>
          <reference field="1" count="1" selected="0">
            <x v="45"/>
          </reference>
          <reference field="2" count="1">
            <x v="204"/>
          </reference>
        </references>
      </pivotArea>
    </format>
    <format dxfId="2175">
      <pivotArea dataOnly="0" labelOnly="1" fieldPosition="0">
        <references count="3">
          <reference field="0" count="1" selected="0">
            <x v="66"/>
          </reference>
          <reference field="1" count="1" selected="0">
            <x v="46"/>
          </reference>
          <reference field="2" count="1">
            <x v="92"/>
          </reference>
        </references>
      </pivotArea>
    </format>
    <format dxfId="2174">
      <pivotArea dataOnly="0" labelOnly="1" fieldPosition="0">
        <references count="3">
          <reference field="0" count="1" selected="0">
            <x v="67"/>
          </reference>
          <reference field="1" count="1" selected="0">
            <x v="47"/>
          </reference>
          <reference field="2" count="1">
            <x v="181"/>
          </reference>
        </references>
      </pivotArea>
    </format>
    <format dxfId="2173">
      <pivotArea dataOnly="0" labelOnly="1" fieldPosition="0">
        <references count="3">
          <reference field="0" count="1" selected="0">
            <x v="68"/>
          </reference>
          <reference field="1" count="1" selected="0">
            <x v="48"/>
          </reference>
          <reference field="2" count="1">
            <x v="231"/>
          </reference>
        </references>
      </pivotArea>
    </format>
    <format dxfId="2172">
      <pivotArea dataOnly="0" labelOnly="1" fieldPosition="0">
        <references count="3">
          <reference field="0" count="1" selected="0">
            <x v="79"/>
          </reference>
          <reference field="1" count="1" selected="0">
            <x v="59"/>
          </reference>
          <reference field="2" count="1">
            <x v="21"/>
          </reference>
        </references>
      </pivotArea>
    </format>
    <format dxfId="2171">
      <pivotArea dataOnly="0" labelOnly="1" fieldPosition="0">
        <references count="3">
          <reference field="0" count="1" selected="0">
            <x v="81"/>
          </reference>
          <reference field="1" count="1" selected="0">
            <x v="68"/>
          </reference>
          <reference field="2" count="1">
            <x v="112"/>
          </reference>
        </references>
      </pivotArea>
    </format>
    <format dxfId="2170">
      <pivotArea dataOnly="0" labelOnly="1" fieldPosition="0">
        <references count="3">
          <reference field="0" count="1" selected="0">
            <x v="82"/>
          </reference>
          <reference field="1" count="1" selected="0">
            <x v="69"/>
          </reference>
          <reference field="2" count="1">
            <x v="226"/>
          </reference>
        </references>
      </pivotArea>
    </format>
    <format dxfId="2169">
      <pivotArea dataOnly="0" labelOnly="1" fieldPosition="0">
        <references count="3">
          <reference field="0" count="1" selected="0">
            <x v="83"/>
          </reference>
          <reference field="1" count="1" selected="0">
            <x v="70"/>
          </reference>
          <reference field="2" count="1">
            <x v="193"/>
          </reference>
        </references>
      </pivotArea>
    </format>
    <format dxfId="2168">
      <pivotArea dataOnly="0" labelOnly="1" fieldPosition="0">
        <references count="3">
          <reference field="0" count="1" selected="0">
            <x v="84"/>
          </reference>
          <reference field="1" count="1" selected="0">
            <x v="71"/>
          </reference>
          <reference field="2" count="1">
            <x v="192"/>
          </reference>
        </references>
      </pivotArea>
    </format>
    <format dxfId="2167">
      <pivotArea dataOnly="0" labelOnly="1" fieldPosition="0">
        <references count="3">
          <reference field="0" count="1" selected="0">
            <x v="85"/>
          </reference>
          <reference field="1" count="1" selected="0">
            <x v="72"/>
          </reference>
          <reference field="2" count="1">
            <x v="87"/>
          </reference>
        </references>
      </pivotArea>
    </format>
    <format dxfId="2166">
      <pivotArea dataOnly="0" labelOnly="1" fieldPosition="0">
        <references count="3">
          <reference field="0" count="1" selected="0">
            <x v="86"/>
          </reference>
          <reference field="1" count="1" selected="0">
            <x v="73"/>
          </reference>
          <reference field="2" count="1">
            <x v="154"/>
          </reference>
        </references>
      </pivotArea>
    </format>
    <format dxfId="2165">
      <pivotArea dataOnly="0" labelOnly="1" fieldPosition="0">
        <references count="3">
          <reference field="0" count="1" selected="0">
            <x v="87"/>
          </reference>
          <reference field="1" count="1" selected="0">
            <x v="74"/>
          </reference>
          <reference field="2" count="1">
            <x v="208"/>
          </reference>
        </references>
      </pivotArea>
    </format>
    <format dxfId="2164">
      <pivotArea dataOnly="0" labelOnly="1" fieldPosition="0">
        <references count="3">
          <reference field="0" count="1" selected="0">
            <x v="88"/>
          </reference>
          <reference field="1" count="1" selected="0">
            <x v="75"/>
          </reference>
          <reference field="2" count="1">
            <x v="38"/>
          </reference>
        </references>
      </pivotArea>
    </format>
    <format dxfId="2163">
      <pivotArea dataOnly="0" labelOnly="1" fieldPosition="0">
        <references count="3">
          <reference field="0" count="1" selected="0">
            <x v="89"/>
          </reference>
          <reference field="1" count="1" selected="0">
            <x v="76"/>
          </reference>
          <reference field="2" count="1">
            <x v="232"/>
          </reference>
        </references>
      </pivotArea>
    </format>
    <format dxfId="2162">
      <pivotArea dataOnly="0" labelOnly="1" fieldPosition="0">
        <references count="3">
          <reference field="0" count="1" selected="0">
            <x v="90"/>
          </reference>
          <reference field="1" count="1" selected="0">
            <x v="77"/>
          </reference>
          <reference field="2" count="1">
            <x v="43"/>
          </reference>
        </references>
      </pivotArea>
    </format>
    <format dxfId="2161">
      <pivotArea dataOnly="0" labelOnly="1" fieldPosition="0">
        <references count="3">
          <reference field="0" count="1" selected="0">
            <x v="91"/>
          </reference>
          <reference field="1" count="1" selected="0">
            <x v="78"/>
          </reference>
          <reference field="2" count="1">
            <x v="12"/>
          </reference>
        </references>
      </pivotArea>
    </format>
    <format dxfId="2160">
      <pivotArea dataOnly="0" labelOnly="1" fieldPosition="0">
        <references count="3">
          <reference field="0" count="1" selected="0">
            <x v="93"/>
          </reference>
          <reference field="1" count="1" selected="0">
            <x v="80"/>
          </reference>
          <reference field="2" count="1">
            <x v="180"/>
          </reference>
        </references>
      </pivotArea>
    </format>
    <format dxfId="2159">
      <pivotArea dataOnly="0" labelOnly="1" fieldPosition="0">
        <references count="3">
          <reference field="0" count="1" selected="0">
            <x v="94"/>
          </reference>
          <reference field="1" count="1" selected="0">
            <x v="81"/>
          </reference>
          <reference field="2" count="1">
            <x v="60"/>
          </reference>
        </references>
      </pivotArea>
    </format>
    <format dxfId="2158">
      <pivotArea dataOnly="0" labelOnly="1" fieldPosition="0">
        <references count="3">
          <reference field="0" count="1" selected="0">
            <x v="95"/>
          </reference>
          <reference field="1" count="1" selected="0">
            <x v="82"/>
          </reference>
          <reference field="2" count="1">
            <x v="5"/>
          </reference>
        </references>
      </pivotArea>
    </format>
    <format dxfId="2157">
      <pivotArea dataOnly="0" labelOnly="1" fieldPosition="0">
        <references count="3">
          <reference field="0" count="1" selected="0">
            <x v="96"/>
          </reference>
          <reference field="1" count="1" selected="0">
            <x v="83"/>
          </reference>
          <reference field="2" count="1">
            <x v="173"/>
          </reference>
        </references>
      </pivotArea>
    </format>
    <format dxfId="2156">
      <pivotArea dataOnly="0" labelOnly="1" fieldPosition="0">
        <references count="3">
          <reference field="0" count="1" selected="0">
            <x v="97"/>
          </reference>
          <reference field="1" count="1" selected="0">
            <x v="84"/>
          </reference>
          <reference field="2" count="1">
            <x v="6"/>
          </reference>
        </references>
      </pivotArea>
    </format>
    <format dxfId="2155">
      <pivotArea dataOnly="0" labelOnly="1" fieldPosition="0">
        <references count="3">
          <reference field="0" count="1" selected="0">
            <x v="98"/>
          </reference>
          <reference field="1" count="1" selected="0">
            <x v="85"/>
          </reference>
          <reference field="2" count="1">
            <x v="214"/>
          </reference>
        </references>
      </pivotArea>
    </format>
    <format dxfId="2154">
      <pivotArea dataOnly="0" labelOnly="1" fieldPosition="0">
        <references count="3">
          <reference field="0" count="1" selected="0">
            <x v="99"/>
          </reference>
          <reference field="1" count="1" selected="0">
            <x v="86"/>
          </reference>
          <reference field="2" count="1">
            <x v="66"/>
          </reference>
        </references>
      </pivotArea>
    </format>
    <format dxfId="2153">
      <pivotArea dataOnly="0" labelOnly="1" fieldPosition="0">
        <references count="3">
          <reference field="0" count="1" selected="0">
            <x v="100"/>
          </reference>
          <reference field="1" count="1" selected="0">
            <x v="87"/>
          </reference>
          <reference field="2" count="1">
            <x v="75"/>
          </reference>
        </references>
      </pivotArea>
    </format>
    <format dxfId="2152">
      <pivotArea dataOnly="0" labelOnly="1" fieldPosition="0">
        <references count="3">
          <reference field="0" count="1" selected="0">
            <x v="101"/>
          </reference>
          <reference field="1" count="1" selected="0">
            <x v="88"/>
          </reference>
          <reference field="2" count="1">
            <x v="29"/>
          </reference>
        </references>
      </pivotArea>
    </format>
    <format dxfId="2151">
      <pivotArea dataOnly="0" labelOnly="1" fieldPosition="0">
        <references count="3">
          <reference field="0" count="1" selected="0">
            <x v="102"/>
          </reference>
          <reference field="1" count="1" selected="0">
            <x v="89"/>
          </reference>
          <reference field="2" count="1">
            <x v="14"/>
          </reference>
        </references>
      </pivotArea>
    </format>
    <format dxfId="2150">
      <pivotArea dataOnly="0" labelOnly="1" fieldPosition="0">
        <references count="3">
          <reference field="0" count="1" selected="0">
            <x v="103"/>
          </reference>
          <reference field="1" count="1" selected="0">
            <x v="90"/>
          </reference>
          <reference field="2" count="1">
            <x v="73"/>
          </reference>
        </references>
      </pivotArea>
    </format>
    <format dxfId="2149">
      <pivotArea dataOnly="0" labelOnly="1" fieldPosition="0">
        <references count="3">
          <reference field="0" count="1" selected="0">
            <x v="104"/>
          </reference>
          <reference field="1" count="1" selected="0">
            <x v="91"/>
          </reference>
          <reference field="2" count="1">
            <x v="68"/>
          </reference>
        </references>
      </pivotArea>
    </format>
    <format dxfId="2148">
      <pivotArea dataOnly="0" labelOnly="1" fieldPosition="0">
        <references count="3">
          <reference field="0" count="1" selected="0">
            <x v="105"/>
          </reference>
          <reference field="1" count="1" selected="0">
            <x v="92"/>
          </reference>
          <reference field="2" count="1">
            <x v="134"/>
          </reference>
        </references>
      </pivotArea>
    </format>
    <format dxfId="2147">
      <pivotArea dataOnly="0" labelOnly="1" fieldPosition="0">
        <references count="3">
          <reference field="0" count="1" selected="0">
            <x v="106"/>
          </reference>
          <reference field="1" count="1" selected="0">
            <x v="93"/>
          </reference>
          <reference field="2" count="1">
            <x v="76"/>
          </reference>
        </references>
      </pivotArea>
    </format>
    <format dxfId="2146">
      <pivotArea dataOnly="0" labelOnly="1" fieldPosition="0">
        <references count="3">
          <reference field="0" count="1" selected="0">
            <x v="107"/>
          </reference>
          <reference field="1" count="1" selected="0">
            <x v="94"/>
          </reference>
          <reference field="2" count="1">
            <x v="190"/>
          </reference>
        </references>
      </pivotArea>
    </format>
    <format dxfId="2145">
      <pivotArea dataOnly="0" labelOnly="1" fieldPosition="0">
        <references count="3">
          <reference field="0" count="1" selected="0">
            <x v="108"/>
          </reference>
          <reference field="1" count="1" selected="0">
            <x v="95"/>
          </reference>
          <reference field="2" count="1">
            <x v="236"/>
          </reference>
        </references>
      </pivotArea>
    </format>
    <format dxfId="2144">
      <pivotArea dataOnly="0" labelOnly="1" fieldPosition="0">
        <references count="3">
          <reference field="0" count="1" selected="0">
            <x v="110"/>
          </reference>
          <reference field="1" count="1" selected="0">
            <x v="97"/>
          </reference>
          <reference field="2" count="1">
            <x v="123"/>
          </reference>
        </references>
      </pivotArea>
    </format>
    <format dxfId="2143">
      <pivotArea dataOnly="0" labelOnly="1" fieldPosition="0">
        <references count="3">
          <reference field="0" count="1" selected="0">
            <x v="111"/>
          </reference>
          <reference field="1" count="1" selected="0">
            <x v="98"/>
          </reference>
          <reference field="2" count="1">
            <x v="83"/>
          </reference>
        </references>
      </pivotArea>
    </format>
    <format dxfId="2142">
      <pivotArea dataOnly="0" labelOnly="1" fieldPosition="0">
        <references count="3">
          <reference field="0" count="1" selected="0">
            <x v="113"/>
          </reference>
          <reference field="1" count="1" selected="0">
            <x v="100"/>
          </reference>
          <reference field="2" count="1">
            <x v="124"/>
          </reference>
        </references>
      </pivotArea>
    </format>
    <format dxfId="2141">
      <pivotArea dataOnly="0" labelOnly="1" fieldPosition="0">
        <references count="3">
          <reference field="0" count="1" selected="0">
            <x v="121"/>
          </reference>
          <reference field="1" count="1" selected="0">
            <x v="108"/>
          </reference>
          <reference field="2" count="1">
            <x v="207"/>
          </reference>
        </references>
      </pivotArea>
    </format>
    <format dxfId="2140">
      <pivotArea dataOnly="0" labelOnly="1" fieldPosition="0">
        <references count="3">
          <reference field="0" count="1" selected="0">
            <x v="122"/>
          </reference>
          <reference field="1" count="1" selected="0">
            <x v="109"/>
          </reference>
          <reference field="2" count="1">
            <x v="35"/>
          </reference>
        </references>
      </pivotArea>
    </format>
    <format dxfId="2139">
      <pivotArea dataOnly="0" labelOnly="1" fieldPosition="0">
        <references count="3">
          <reference field="0" count="1" selected="0">
            <x v="123"/>
          </reference>
          <reference field="1" count="1" selected="0">
            <x v="110"/>
          </reference>
          <reference field="2" count="1">
            <x v="176"/>
          </reference>
        </references>
      </pivotArea>
    </format>
    <format dxfId="2138">
      <pivotArea dataOnly="0" labelOnly="1" fieldPosition="0">
        <references count="3">
          <reference field="0" count="1" selected="0">
            <x v="124"/>
          </reference>
          <reference field="1" count="1" selected="0">
            <x v="111"/>
          </reference>
          <reference field="2" count="1">
            <x v="218"/>
          </reference>
        </references>
      </pivotArea>
    </format>
    <format dxfId="2137">
      <pivotArea dataOnly="0" labelOnly="1" fieldPosition="0">
        <references count="3">
          <reference field="0" count="1" selected="0">
            <x v="125"/>
          </reference>
          <reference field="1" count="1" selected="0">
            <x v="112"/>
          </reference>
          <reference field="2" count="1">
            <x v="197"/>
          </reference>
        </references>
      </pivotArea>
    </format>
    <format dxfId="2136">
      <pivotArea dataOnly="0" labelOnly="1" fieldPosition="0">
        <references count="3">
          <reference field="0" count="1" selected="0">
            <x v="126"/>
          </reference>
          <reference field="1" count="1" selected="0">
            <x v="113"/>
          </reference>
          <reference field="2" count="1">
            <x v="191"/>
          </reference>
        </references>
      </pivotArea>
    </format>
    <format dxfId="2135">
      <pivotArea dataOnly="0" labelOnly="1" fieldPosition="0">
        <references count="3">
          <reference field="0" count="1" selected="0">
            <x v="127"/>
          </reference>
          <reference field="1" count="1" selected="0">
            <x v="114"/>
          </reference>
          <reference field="2" count="1">
            <x v="174"/>
          </reference>
        </references>
      </pivotArea>
    </format>
    <format dxfId="2134">
      <pivotArea dataOnly="0" labelOnly="1" fieldPosition="0">
        <references count="3">
          <reference field="0" count="1" selected="0">
            <x v="128"/>
          </reference>
          <reference field="1" count="1" selected="0">
            <x v="115"/>
          </reference>
          <reference field="2" count="1">
            <x v="59"/>
          </reference>
        </references>
      </pivotArea>
    </format>
    <format dxfId="2133">
      <pivotArea dataOnly="0" labelOnly="1" fieldPosition="0">
        <references count="3">
          <reference field="0" count="1" selected="0">
            <x v="129"/>
          </reference>
          <reference field="1" count="1" selected="0">
            <x v="116"/>
          </reference>
          <reference field="2" count="1">
            <x v="212"/>
          </reference>
        </references>
      </pivotArea>
    </format>
    <format dxfId="2132">
      <pivotArea dataOnly="0" labelOnly="1" fieldPosition="0">
        <references count="3">
          <reference field="0" count="1" selected="0">
            <x v="130"/>
          </reference>
          <reference field="1" count="1" selected="0">
            <x v="117"/>
          </reference>
          <reference field="2" count="1">
            <x v="118"/>
          </reference>
        </references>
      </pivotArea>
    </format>
    <format dxfId="2131">
      <pivotArea dataOnly="0" labelOnly="1" fieldPosition="0">
        <references count="3">
          <reference field="0" count="1" selected="0">
            <x v="134"/>
          </reference>
          <reference field="1" count="1" selected="0">
            <x v="127"/>
          </reference>
          <reference field="2" count="1">
            <x v="2"/>
          </reference>
        </references>
      </pivotArea>
    </format>
    <format dxfId="2130">
      <pivotArea dataOnly="0" labelOnly="1" fieldPosition="0">
        <references count="3">
          <reference field="0" count="1" selected="0">
            <x v="135"/>
          </reference>
          <reference field="1" count="1" selected="0">
            <x v="128"/>
          </reference>
          <reference field="2" count="1">
            <x v="151"/>
          </reference>
        </references>
      </pivotArea>
    </format>
    <format dxfId="2129">
      <pivotArea dataOnly="0" labelOnly="1" fieldPosition="0">
        <references count="3">
          <reference field="0" count="1" selected="0">
            <x v="136"/>
          </reference>
          <reference field="1" count="1" selected="0">
            <x v="129"/>
          </reference>
          <reference field="2" count="1">
            <x v="219"/>
          </reference>
        </references>
      </pivotArea>
    </format>
    <format dxfId="2128">
      <pivotArea dataOnly="0" labelOnly="1" fieldPosition="0">
        <references count="3">
          <reference field="0" count="1" selected="0">
            <x v="144"/>
          </reference>
          <reference field="1" count="1" selected="0">
            <x v="137"/>
          </reference>
          <reference field="2" count="1">
            <x v="79"/>
          </reference>
        </references>
      </pivotArea>
    </format>
    <format dxfId="2127">
      <pivotArea dataOnly="0" labelOnly="1" fieldPosition="0">
        <references count="3">
          <reference field="0" count="1" selected="0">
            <x v="146"/>
          </reference>
          <reference field="1" count="1" selected="0">
            <x v="139"/>
          </reference>
          <reference field="2" count="1">
            <x v="30"/>
          </reference>
        </references>
      </pivotArea>
    </format>
    <format dxfId="2126">
      <pivotArea dataOnly="0" labelOnly="1" fieldPosition="0">
        <references count="3">
          <reference field="0" count="1" selected="0">
            <x v="147"/>
          </reference>
          <reference field="1" count="1" selected="0">
            <x v="140"/>
          </reference>
          <reference field="2" count="1">
            <x v="211"/>
          </reference>
        </references>
      </pivotArea>
    </format>
    <format dxfId="2125">
      <pivotArea dataOnly="0" labelOnly="1" fieldPosition="0">
        <references count="3">
          <reference field="0" count="1" selected="0">
            <x v="148"/>
          </reference>
          <reference field="1" count="1" selected="0">
            <x v="141"/>
          </reference>
          <reference field="2" count="1">
            <x v="95"/>
          </reference>
        </references>
      </pivotArea>
    </format>
    <format dxfId="2124">
      <pivotArea dataOnly="0" labelOnly="1" fieldPosition="0">
        <references count="3">
          <reference field="0" count="1" selected="0">
            <x v="149"/>
          </reference>
          <reference field="1" count="1" selected="0">
            <x v="142"/>
          </reference>
          <reference field="2" count="1">
            <x v="165"/>
          </reference>
        </references>
      </pivotArea>
    </format>
    <format dxfId="2123">
      <pivotArea dataOnly="0" labelOnly="1" fieldPosition="0">
        <references count="3">
          <reference field="0" count="1" selected="0">
            <x v="150"/>
          </reference>
          <reference field="1" count="1" selected="0">
            <x v="143"/>
          </reference>
          <reference field="2" count="1">
            <x v="166"/>
          </reference>
        </references>
      </pivotArea>
    </format>
    <format dxfId="2122">
      <pivotArea dataOnly="0" labelOnly="1" fieldPosition="0">
        <references count="3">
          <reference field="0" count="1" selected="0">
            <x v="151"/>
          </reference>
          <reference field="1" count="1" selected="0">
            <x v="144"/>
          </reference>
          <reference field="2" count="1">
            <x v="85"/>
          </reference>
        </references>
      </pivotArea>
    </format>
    <format dxfId="2121">
      <pivotArea dataOnly="0" labelOnly="1" fieldPosition="0">
        <references count="3">
          <reference field="0" count="1" selected="0">
            <x v="152"/>
          </reference>
          <reference field="1" count="1" selected="0">
            <x v="145"/>
          </reference>
          <reference field="2" count="1">
            <x v="86"/>
          </reference>
        </references>
      </pivotArea>
    </format>
    <format dxfId="2120">
      <pivotArea dataOnly="0" labelOnly="1" fieldPosition="0">
        <references count="3">
          <reference field="0" count="1" selected="0">
            <x v="153"/>
          </reference>
          <reference field="1" count="1" selected="0">
            <x v="146"/>
          </reference>
          <reference field="2" count="1">
            <x v="54"/>
          </reference>
        </references>
      </pivotArea>
    </format>
    <format dxfId="2119">
      <pivotArea dataOnly="0" labelOnly="1" fieldPosition="0">
        <references count="3">
          <reference field="0" count="1" selected="0">
            <x v="154"/>
          </reference>
          <reference field="1" count="1" selected="0">
            <x v="147"/>
          </reference>
          <reference field="2" count="1">
            <x v="109"/>
          </reference>
        </references>
      </pivotArea>
    </format>
    <format dxfId="2118">
      <pivotArea dataOnly="0" labelOnly="1" fieldPosition="0">
        <references count="3">
          <reference field="0" count="1" selected="0">
            <x v="155"/>
          </reference>
          <reference field="1" count="1" selected="0">
            <x v="148"/>
          </reference>
          <reference field="2" count="1">
            <x v="3"/>
          </reference>
        </references>
      </pivotArea>
    </format>
    <format dxfId="2117">
      <pivotArea dataOnly="0" labelOnly="1" fieldPosition="0">
        <references count="3">
          <reference field="0" count="1" selected="0">
            <x v="159"/>
          </reference>
          <reference field="1" count="1" selected="0">
            <x v="183"/>
          </reference>
          <reference field="2" count="1">
            <x v="122"/>
          </reference>
        </references>
      </pivotArea>
    </format>
    <format dxfId="2116">
      <pivotArea dataOnly="0" labelOnly="1" fieldPosition="0">
        <references count="3">
          <reference field="0" count="1" selected="0">
            <x v="160"/>
          </reference>
          <reference field="1" count="1" selected="0">
            <x v="184"/>
          </reference>
          <reference field="2" count="1">
            <x v="187"/>
          </reference>
        </references>
      </pivotArea>
    </format>
    <format dxfId="2115">
      <pivotArea dataOnly="0" labelOnly="1" fieldPosition="0">
        <references count="3">
          <reference field="0" count="1" selected="0">
            <x v="161"/>
          </reference>
          <reference field="1" count="1" selected="0">
            <x v="185"/>
          </reference>
          <reference field="2" count="1">
            <x v="186"/>
          </reference>
        </references>
      </pivotArea>
    </format>
    <format dxfId="2114">
      <pivotArea dataOnly="0" labelOnly="1" fieldPosition="0">
        <references count="3">
          <reference field="0" count="1" selected="0">
            <x v="162"/>
          </reference>
          <reference field="1" count="1" selected="0">
            <x v="186"/>
          </reference>
          <reference field="2" count="1">
            <x v="125"/>
          </reference>
        </references>
      </pivotArea>
    </format>
    <format dxfId="2113">
      <pivotArea dataOnly="0" labelOnly="1" fieldPosition="0">
        <references count="3">
          <reference field="0" count="1" selected="0">
            <x v="164"/>
          </reference>
          <reference field="1" count="1" selected="0">
            <x v="188"/>
          </reference>
          <reference field="2" count="1">
            <x v="119"/>
          </reference>
        </references>
      </pivotArea>
    </format>
    <format dxfId="2112">
      <pivotArea dataOnly="0" labelOnly="1" fieldPosition="0">
        <references count="3">
          <reference field="0" count="1" selected="0">
            <x v="165"/>
          </reference>
          <reference field="1" count="1" selected="0">
            <x v="189"/>
          </reference>
          <reference field="2" count="1">
            <x v="156"/>
          </reference>
        </references>
      </pivotArea>
    </format>
    <format dxfId="2111">
      <pivotArea dataOnly="0" labelOnly="1" fieldPosition="0">
        <references count="3">
          <reference field="0" count="1" selected="0">
            <x v="166"/>
          </reference>
          <reference field="1" count="1" selected="0">
            <x v="190"/>
          </reference>
          <reference field="2" count="1">
            <x v="213"/>
          </reference>
        </references>
      </pivotArea>
    </format>
    <format dxfId="2110">
      <pivotArea dataOnly="0" labelOnly="1" fieldPosition="0">
        <references count="3">
          <reference field="0" count="1" selected="0">
            <x v="167"/>
          </reference>
          <reference field="1" count="1" selected="0">
            <x v="199"/>
          </reference>
          <reference field="2" count="1">
            <x v="56"/>
          </reference>
        </references>
      </pivotArea>
    </format>
    <format dxfId="2109">
      <pivotArea dataOnly="0" labelOnly="1" fieldPosition="0">
        <references count="3">
          <reference field="0" count="1" selected="0">
            <x v="168"/>
          </reference>
          <reference field="1" count="1" selected="0">
            <x v="200"/>
          </reference>
          <reference field="2" count="1">
            <x v="9"/>
          </reference>
        </references>
      </pivotArea>
    </format>
    <format dxfId="2108">
      <pivotArea dataOnly="0" labelOnly="1" fieldPosition="0">
        <references count="3">
          <reference field="0" count="1" selected="0">
            <x v="171"/>
          </reference>
          <reference field="1" count="1" selected="0">
            <x v="203"/>
          </reference>
          <reference field="2" count="1">
            <x v="10"/>
          </reference>
        </references>
      </pivotArea>
    </format>
    <format dxfId="2107">
      <pivotArea dataOnly="0" labelOnly="1" fieldPosition="0">
        <references count="3">
          <reference field="0" count="1" selected="0">
            <x v="172"/>
          </reference>
          <reference field="1" count="1" selected="0">
            <x v="204"/>
          </reference>
          <reference field="2" count="1">
            <x v="216"/>
          </reference>
        </references>
      </pivotArea>
    </format>
    <format dxfId="2106">
      <pivotArea dataOnly="0" labelOnly="1" fieldPosition="0">
        <references count="3">
          <reference field="0" count="1" selected="0">
            <x v="173"/>
          </reference>
          <reference field="1" count="1" selected="0">
            <x v="205"/>
          </reference>
          <reference field="2" count="1">
            <x v="94"/>
          </reference>
        </references>
      </pivotArea>
    </format>
    <format dxfId="2105">
      <pivotArea dataOnly="0" labelOnly="1" fieldPosition="0">
        <references count="3">
          <reference field="0" count="1" selected="0">
            <x v="175"/>
          </reference>
          <reference field="1" count="1" selected="0">
            <x v="207"/>
          </reference>
          <reference field="2" count="1">
            <x v="172"/>
          </reference>
        </references>
      </pivotArea>
    </format>
    <format dxfId="2104">
      <pivotArea dataOnly="0" labelOnly="1" fieldPosition="0">
        <references count="3">
          <reference field="0" count="1" selected="0">
            <x v="176"/>
          </reference>
          <reference field="1" count="1" selected="0">
            <x v="208"/>
          </reference>
          <reference field="2" count="1">
            <x v="215"/>
          </reference>
        </references>
      </pivotArea>
    </format>
    <format dxfId="2103">
      <pivotArea dataOnly="0" labelOnly="1" fieldPosition="0">
        <references count="3">
          <reference field="0" count="1" selected="0">
            <x v="177"/>
          </reference>
          <reference field="1" count="1" selected="0">
            <x v="209"/>
          </reference>
          <reference field="2" count="1">
            <x v="114"/>
          </reference>
        </references>
      </pivotArea>
    </format>
    <format dxfId="2102">
      <pivotArea dataOnly="0" labelOnly="1" fieldPosition="0">
        <references count="3">
          <reference field="0" count="1" selected="0">
            <x v="178"/>
          </reference>
          <reference field="1" count="1" selected="0">
            <x v="210"/>
          </reference>
          <reference field="2" count="1">
            <x v="11"/>
          </reference>
        </references>
      </pivotArea>
    </format>
    <format dxfId="2101">
      <pivotArea dataOnly="0" labelOnly="1" fieldPosition="0">
        <references count="3">
          <reference field="0" count="1" selected="0">
            <x v="179"/>
          </reference>
          <reference field="1" count="1" selected="0">
            <x v="211"/>
          </reference>
          <reference field="2" count="1">
            <x v="96"/>
          </reference>
        </references>
      </pivotArea>
    </format>
    <format dxfId="2100">
      <pivotArea dataOnly="0" labelOnly="1" fieldPosition="0">
        <references count="3">
          <reference field="0" count="1" selected="0">
            <x v="180"/>
          </reference>
          <reference field="1" count="1" selected="0">
            <x v="212"/>
          </reference>
          <reference field="2" count="1">
            <x v="97"/>
          </reference>
        </references>
      </pivotArea>
    </format>
    <format dxfId="2099">
      <pivotArea dataOnly="0" labelOnly="1" fieldPosition="0">
        <references count="3">
          <reference field="0" count="1" selected="0">
            <x v="181"/>
          </reference>
          <reference field="1" count="1" selected="0">
            <x v="213"/>
          </reference>
          <reference field="2" count="1">
            <x v="234"/>
          </reference>
        </references>
      </pivotArea>
    </format>
    <format dxfId="2098">
      <pivotArea dataOnly="0" labelOnly="1" fieldPosition="0">
        <references count="3">
          <reference field="0" count="1" selected="0">
            <x v="182"/>
          </reference>
          <reference field="1" count="1" selected="0">
            <x v="214"/>
          </reference>
          <reference field="2" count="1">
            <x v="235"/>
          </reference>
        </references>
      </pivotArea>
    </format>
    <format dxfId="2097">
      <pivotArea dataOnly="0" labelOnly="1" fieldPosition="0">
        <references count="3">
          <reference field="0" count="1" selected="0">
            <x v="183"/>
          </reference>
          <reference field="1" count="1" selected="0">
            <x v="215"/>
          </reference>
          <reference field="2" count="1">
            <x v="206"/>
          </reference>
        </references>
      </pivotArea>
    </format>
    <format dxfId="2096">
      <pivotArea dataOnly="0" labelOnly="1" fieldPosition="0">
        <references count="3">
          <reference field="0" count="1" selected="0">
            <x v="184"/>
          </reference>
          <reference field="1" count="1" selected="0">
            <x v="216"/>
          </reference>
          <reference field="2" count="1">
            <x v="111"/>
          </reference>
        </references>
      </pivotArea>
    </format>
    <format dxfId="2095">
      <pivotArea dataOnly="0" labelOnly="1" fieldPosition="0">
        <references count="3">
          <reference field="0" count="1" selected="0">
            <x v="185"/>
          </reference>
          <reference field="1" count="1" selected="0">
            <x v="217"/>
          </reference>
          <reference field="2" count="1">
            <x v="113"/>
          </reference>
        </references>
      </pivotArea>
    </format>
    <format dxfId="2094">
      <pivotArea dataOnly="0" labelOnly="1" fieldPosition="0">
        <references count="3">
          <reference field="0" count="1" selected="0">
            <x v="186"/>
          </reference>
          <reference field="1" count="1" selected="0">
            <x v="218"/>
          </reference>
          <reference field="2" count="1">
            <x v="93"/>
          </reference>
        </references>
      </pivotArea>
    </format>
    <format dxfId="2093">
      <pivotArea dataOnly="0" labelOnly="1" fieldPosition="0">
        <references count="3">
          <reference field="0" count="1" selected="0">
            <x v="187"/>
          </reference>
          <reference field="1" count="1" selected="0">
            <x v="219"/>
          </reference>
          <reference field="2" count="1">
            <x v="104"/>
          </reference>
        </references>
      </pivotArea>
    </format>
    <format dxfId="2092">
      <pivotArea dataOnly="0" labelOnly="1" fieldPosition="0">
        <references count="3">
          <reference field="0" count="1" selected="0">
            <x v="188"/>
          </reference>
          <reference field="1" count="1" selected="0">
            <x v="220"/>
          </reference>
          <reference field="2" count="1">
            <x v="196"/>
          </reference>
        </references>
      </pivotArea>
    </format>
    <format dxfId="2091">
      <pivotArea dataOnly="0" labelOnly="1" fieldPosition="0">
        <references count="3">
          <reference field="0" count="1" selected="0">
            <x v="189"/>
          </reference>
          <reference field="1" count="1" selected="0">
            <x v="221"/>
          </reference>
          <reference field="2" count="1">
            <x v="182"/>
          </reference>
        </references>
      </pivotArea>
    </format>
    <format dxfId="2090">
      <pivotArea dataOnly="0" labelOnly="1" fieldPosition="0">
        <references count="3">
          <reference field="0" count="1" selected="0">
            <x v="192"/>
          </reference>
          <reference field="1" count="1" selected="0">
            <x v="224"/>
          </reference>
          <reference field="2" count="1">
            <x v="80"/>
          </reference>
        </references>
      </pivotArea>
    </format>
    <format dxfId="2089">
      <pivotArea dataOnly="0" labelOnly="1" fieldPosition="0">
        <references count="3">
          <reference field="0" count="1" selected="0">
            <x v="193"/>
          </reference>
          <reference field="1" count="1" selected="0">
            <x v="225"/>
          </reference>
          <reference field="2" count="1">
            <x v="238"/>
          </reference>
        </references>
      </pivotArea>
    </format>
    <format dxfId="2088">
      <pivotArea dataOnly="0" labelOnly="1" fieldPosition="0">
        <references count="3">
          <reference field="0" count="1" selected="0">
            <x v="197"/>
          </reference>
          <reference field="1" count="1" selected="0">
            <x v="236"/>
          </reference>
          <reference field="2" count="1">
            <x v="102"/>
          </reference>
        </references>
      </pivotArea>
    </format>
    <format dxfId="2087">
      <pivotArea dataOnly="0" labelOnly="1" fieldPosition="0">
        <references count="3">
          <reference field="0" count="1" selected="0">
            <x v="199"/>
          </reference>
          <reference field="1" count="1" selected="0">
            <x v="238"/>
          </reference>
          <reference field="2" count="1">
            <x v="33"/>
          </reference>
        </references>
      </pivotArea>
    </format>
    <format dxfId="2086">
      <pivotArea dataOnly="0" labelOnly="1" fieldPosition="0">
        <references count="3">
          <reference field="0" count="1" selected="0">
            <x v="200"/>
          </reference>
          <reference field="1" count="1" selected="0">
            <x v="239"/>
          </reference>
          <reference field="2" count="1">
            <x v="34"/>
          </reference>
        </references>
      </pivotArea>
    </format>
    <format dxfId="2085">
      <pivotArea dataOnly="0" labelOnly="1" fieldPosition="0">
        <references count="3">
          <reference field="0" count="1" selected="0">
            <x v="201"/>
          </reference>
          <reference field="1" count="1" selected="0">
            <x v="240"/>
          </reference>
          <reference field="2" count="1">
            <x v="37"/>
          </reference>
        </references>
      </pivotArea>
    </format>
    <format dxfId="2084">
      <pivotArea dataOnly="0" labelOnly="1" fieldPosition="0">
        <references count="3">
          <reference field="0" count="1" selected="0">
            <x v="204"/>
          </reference>
          <reference field="1" count="1" selected="0">
            <x v="149"/>
          </reference>
          <reference field="2" count="1">
            <x v="117"/>
          </reference>
        </references>
      </pivotArea>
    </format>
    <format dxfId="2083">
      <pivotArea dataOnly="0" labelOnly="1" fieldPosition="0">
        <references count="3">
          <reference field="0" count="1" selected="0">
            <x v="206"/>
          </reference>
          <reference field="1" count="1" selected="0">
            <x v="151"/>
          </reference>
          <reference field="2" count="1">
            <x v="159"/>
          </reference>
        </references>
      </pivotArea>
    </format>
    <format dxfId="2082">
      <pivotArea dataOnly="0" labelOnly="1" fieldPosition="0">
        <references count="3">
          <reference field="0" count="1" selected="0">
            <x v="207"/>
          </reference>
          <reference field="1" count="1" selected="0">
            <x v="152"/>
          </reference>
          <reference field="2" count="1">
            <x v="81"/>
          </reference>
        </references>
      </pivotArea>
    </format>
    <format dxfId="2081">
      <pivotArea dataOnly="0" labelOnly="1" fieldPosition="0">
        <references count="3">
          <reference field="0" count="1" selected="0">
            <x v="208"/>
          </reference>
          <reference field="1" count="1" selected="0">
            <x v="153"/>
          </reference>
          <reference field="2" count="1">
            <x v="103"/>
          </reference>
        </references>
      </pivotArea>
    </format>
    <format dxfId="2080">
      <pivotArea dataOnly="0" labelOnly="1" fieldPosition="0">
        <references count="3">
          <reference field="0" count="1" selected="0">
            <x v="209"/>
          </reference>
          <reference field="1" count="1" selected="0">
            <x v="154"/>
          </reference>
          <reference field="2" count="1">
            <x v="98"/>
          </reference>
        </references>
      </pivotArea>
    </format>
    <format dxfId="2079">
      <pivotArea dataOnly="0" labelOnly="1" fieldPosition="0">
        <references count="3">
          <reference field="0" count="1" selected="0">
            <x v="210"/>
          </reference>
          <reference field="1" count="1" selected="0">
            <x v="155"/>
          </reference>
          <reference field="2" count="1">
            <x v="162"/>
          </reference>
        </references>
      </pivotArea>
    </format>
    <format dxfId="2078">
      <pivotArea dataOnly="0" labelOnly="1" fieldPosition="0">
        <references count="3">
          <reference field="0" count="1" selected="0">
            <x v="211"/>
          </reference>
          <reference field="1" count="1" selected="0">
            <x v="156"/>
          </reference>
          <reference field="2" count="1">
            <x v="164"/>
          </reference>
        </references>
      </pivotArea>
    </format>
    <format dxfId="2077">
      <pivotArea dataOnly="0" labelOnly="1" fieldPosition="0">
        <references count="3">
          <reference field="0" count="1" selected="0">
            <x v="212"/>
          </reference>
          <reference field="1" count="1" selected="0">
            <x v="157"/>
          </reference>
          <reference field="2" count="1">
            <x v="170"/>
          </reference>
        </references>
      </pivotArea>
    </format>
    <format dxfId="2076">
      <pivotArea dataOnly="0" labelOnly="1" fieldPosition="0">
        <references count="3">
          <reference field="0" count="1" selected="0">
            <x v="214"/>
          </reference>
          <reference field="1" count="1" selected="0">
            <x v="159"/>
          </reference>
          <reference field="2" count="1">
            <x v="139"/>
          </reference>
        </references>
      </pivotArea>
    </format>
    <format dxfId="2075">
      <pivotArea dataOnly="0" labelOnly="1" fieldPosition="0">
        <references count="3">
          <reference field="0" count="1" selected="0">
            <x v="215"/>
          </reference>
          <reference field="1" count="1" selected="0">
            <x v="160"/>
          </reference>
          <reference field="2" count="1">
            <x v="137"/>
          </reference>
        </references>
      </pivotArea>
    </format>
    <format dxfId="2074">
      <pivotArea dataOnly="0" labelOnly="1" fieldPosition="0">
        <references count="3">
          <reference field="0" count="1" selected="0">
            <x v="216"/>
          </reference>
          <reference field="1" count="1" selected="0">
            <x v="161"/>
          </reference>
          <reference field="2" count="1">
            <x v="136"/>
          </reference>
        </references>
      </pivotArea>
    </format>
    <format dxfId="2073">
      <pivotArea dataOnly="0" labelOnly="1" fieldPosition="0">
        <references count="3">
          <reference field="0" count="1" selected="0">
            <x v="217"/>
          </reference>
          <reference field="1" count="1" selected="0">
            <x v="162"/>
          </reference>
          <reference field="2" count="1">
            <x v="13"/>
          </reference>
        </references>
      </pivotArea>
    </format>
    <format dxfId="2072">
      <pivotArea dataOnly="0" labelOnly="1" fieldPosition="0">
        <references count="3">
          <reference field="0" count="1" selected="0">
            <x v="218"/>
          </reference>
          <reference field="1" count="1" selected="0">
            <x v="163"/>
          </reference>
          <reference field="2" count="1">
            <x v="179"/>
          </reference>
        </references>
      </pivotArea>
    </format>
    <format dxfId="2071">
      <pivotArea dataOnly="0" labelOnly="1" fieldPosition="0">
        <references count="3">
          <reference field="0" count="1" selected="0">
            <x v="219"/>
          </reference>
          <reference field="1" count="1" selected="0">
            <x v="164"/>
          </reference>
          <reference field="2" count="1">
            <x v="138"/>
          </reference>
        </references>
      </pivotArea>
    </format>
    <format dxfId="2070">
      <pivotArea dataOnly="0" labelOnly="1" fieldPosition="0">
        <references count="3">
          <reference field="0" count="1" selected="0">
            <x v="220"/>
          </reference>
          <reference field="1" count="1" selected="0">
            <x v="165"/>
          </reference>
          <reference field="2" count="1">
            <x v="142"/>
          </reference>
        </references>
      </pivotArea>
    </format>
    <format dxfId="2069">
      <pivotArea dataOnly="0" labelOnly="1" fieldPosition="0">
        <references count="3">
          <reference field="0" count="1" selected="0">
            <x v="221"/>
          </reference>
          <reference field="1" count="1" selected="0">
            <x v="166"/>
          </reference>
          <reference field="2" count="1">
            <x v="143"/>
          </reference>
        </references>
      </pivotArea>
    </format>
    <format dxfId="2068">
      <pivotArea dataOnly="0" labelOnly="1" fieldPosition="0">
        <references count="3">
          <reference field="0" count="1" selected="0">
            <x v="223"/>
          </reference>
          <reference field="1" count="1" selected="0">
            <x v="168"/>
          </reference>
          <reference field="2" count="1">
            <x v="71"/>
          </reference>
        </references>
      </pivotArea>
    </format>
    <format dxfId="2067">
      <pivotArea dataOnly="0" labelOnly="1" fieldPosition="0">
        <references count="3">
          <reference field="0" count="1" selected="0">
            <x v="224"/>
          </reference>
          <reference field="1" count="1" selected="0">
            <x v="169"/>
          </reference>
          <reference field="2" count="1">
            <x v="121"/>
          </reference>
        </references>
      </pivotArea>
    </format>
    <format dxfId="2066">
      <pivotArea dataOnly="0" labelOnly="1" fieldPosition="0">
        <references count="3">
          <reference field="0" count="1" selected="0">
            <x v="225"/>
          </reference>
          <reference field="1" count="1" selected="0">
            <x v="170"/>
          </reference>
          <reference field="2" count="1">
            <x v="120"/>
          </reference>
        </references>
      </pivotArea>
    </format>
    <format dxfId="2065">
      <pivotArea dataOnly="0" labelOnly="1" fieldPosition="0">
        <references count="3">
          <reference field="0" count="1" selected="0">
            <x v="226"/>
          </reference>
          <reference field="1" count="1" selected="0">
            <x v="171"/>
          </reference>
          <reference field="2" count="1">
            <x v="41"/>
          </reference>
        </references>
      </pivotArea>
    </format>
    <format dxfId="2064">
      <pivotArea dataOnly="0" labelOnly="1" fieldPosition="0">
        <references count="3">
          <reference field="0" count="1" selected="0">
            <x v="227"/>
          </reference>
          <reference field="1" count="1" selected="0">
            <x v="172"/>
          </reference>
          <reference field="2" count="1">
            <x v="42"/>
          </reference>
        </references>
      </pivotArea>
    </format>
    <format dxfId="2063">
      <pivotArea dataOnly="0" labelOnly="1" fieldPosition="0">
        <references count="3">
          <reference field="0" count="1" selected="0">
            <x v="228"/>
          </reference>
          <reference field="1" count="1" selected="0">
            <x v="173"/>
          </reference>
          <reference field="2" count="1">
            <x v="145"/>
          </reference>
        </references>
      </pivotArea>
    </format>
    <format dxfId="2062">
      <pivotArea dataOnly="0" labelOnly="1" fieldPosition="0">
        <references count="3">
          <reference field="0" count="1" selected="0">
            <x v="229"/>
          </reference>
          <reference field="1" count="1" selected="0">
            <x v="174"/>
          </reference>
          <reference field="2" count="1">
            <x v="91"/>
          </reference>
        </references>
      </pivotArea>
    </format>
    <format dxfId="2061">
      <pivotArea dataOnly="0" labelOnly="1" fieldPosition="0">
        <references count="3">
          <reference field="0" count="1" selected="0">
            <x v="230"/>
          </reference>
          <reference field="1" count="1" selected="0">
            <x v="175"/>
          </reference>
          <reference field="2" count="1">
            <x v="160"/>
          </reference>
        </references>
      </pivotArea>
    </format>
    <format dxfId="2060">
      <pivotArea dataOnly="0" labelOnly="1" fieldPosition="0">
        <references count="3">
          <reference field="0" count="1" selected="0">
            <x v="231"/>
          </reference>
          <reference field="1" count="1" selected="0">
            <x v="176"/>
          </reference>
          <reference field="2" count="1">
            <x v="42"/>
          </reference>
        </references>
      </pivotArea>
    </format>
    <format dxfId="2059">
      <pivotArea dataOnly="0" labelOnly="1" fieldPosition="0">
        <references count="3">
          <reference field="0" count="1" selected="0">
            <x v="232"/>
          </reference>
          <reference field="1" count="1" selected="0">
            <x v="177"/>
          </reference>
          <reference field="2" count="1">
            <x v="47"/>
          </reference>
        </references>
      </pivotArea>
    </format>
    <format dxfId="2058">
      <pivotArea dataOnly="0" labelOnly="1" fieldPosition="0">
        <references count="3">
          <reference field="0" count="1" selected="0">
            <x v="233"/>
          </reference>
          <reference field="1" count="1" selected="0">
            <x v="178"/>
          </reference>
          <reference field="2" count="1">
            <x v="32"/>
          </reference>
        </references>
      </pivotArea>
    </format>
    <format dxfId="2057">
      <pivotArea dataOnly="0" labelOnly="1" fieldPosition="0">
        <references count="3">
          <reference field="0" count="1" selected="0">
            <x v="234"/>
          </reference>
          <reference field="1" count="1" selected="0">
            <x v="179"/>
          </reference>
          <reference field="2" count="1">
            <x v="163"/>
          </reference>
        </references>
      </pivotArea>
    </format>
    <format dxfId="2056">
      <pivotArea dataOnly="0" labelOnly="1" fieldPosition="0">
        <references count="3">
          <reference field="0" count="1" selected="0">
            <x v="235"/>
          </reference>
          <reference field="1" count="1" selected="0">
            <x v="191"/>
          </reference>
          <reference field="2" count="1">
            <x v="155"/>
          </reference>
        </references>
      </pivotArea>
    </format>
    <format dxfId="2055">
      <pivotArea dataOnly="0" labelOnly="1" fieldPosition="0">
        <references count="3">
          <reference field="0" count="1" selected="0">
            <x v="236"/>
          </reference>
          <reference field="1" count="1" selected="0">
            <x v="192"/>
          </reference>
          <reference field="2" count="1">
            <x v="27"/>
          </reference>
        </references>
      </pivotArea>
    </format>
    <format dxfId="2054">
      <pivotArea dataOnly="0" labelOnly="1" fieldPosition="0">
        <references count="3">
          <reference field="0" count="1" selected="0">
            <x v="237"/>
          </reference>
          <reference field="1" count="1" selected="0">
            <x v="193"/>
          </reference>
          <reference field="2" count="1">
            <x v="89"/>
          </reference>
        </references>
      </pivotArea>
    </format>
    <format dxfId="2053">
      <pivotArea dataOnly="0" labelOnly="1" fieldPosition="0">
        <references count="3">
          <reference field="0" count="1" selected="0">
            <x v="238"/>
          </reference>
          <reference field="1" count="1" selected="0">
            <x v="194"/>
          </reference>
          <reference field="2" count="1">
            <x v="25"/>
          </reference>
        </references>
      </pivotArea>
    </format>
    <format dxfId="2052">
      <pivotArea dataOnly="0" labelOnly="1" fieldPosition="0">
        <references count="3">
          <reference field="0" count="1" selected="0">
            <x v="239"/>
          </reference>
          <reference field="1" count="1" selected="0">
            <x v="195"/>
          </reference>
          <reference field="2" count="1">
            <x v="28"/>
          </reference>
        </references>
      </pivotArea>
    </format>
    <format dxfId="2051">
      <pivotArea dataOnly="0" labelOnly="1" fieldPosition="0">
        <references count="3">
          <reference field="0" count="1" selected="0">
            <x v="240"/>
          </reference>
          <reference field="1" count="1" selected="0">
            <x v="196"/>
          </reference>
          <reference field="2" count="1">
            <x v="40"/>
          </reference>
        </references>
      </pivotArea>
    </format>
    <format dxfId="2050">
      <pivotArea dataOnly="0" labelOnly="1" fieldPosition="0">
        <references count="3">
          <reference field="0" count="1" selected="0">
            <x v="241"/>
          </reference>
          <reference field="1" count="1" selected="0">
            <x v="197"/>
          </reference>
          <reference field="2" count="1">
            <x v="195"/>
          </reference>
        </references>
      </pivotArea>
    </format>
    <format dxfId="2049">
      <pivotArea dataOnly="0" labelOnly="1" fieldPosition="0">
        <references count="3">
          <reference field="0" count="1" selected="0">
            <x v="242"/>
          </reference>
          <reference field="1" count="1" selected="0">
            <x v="198"/>
          </reference>
          <reference field="2" count="1">
            <x v="132"/>
          </reference>
        </references>
      </pivotArea>
    </format>
    <format dxfId="2048">
      <pivotArea dataOnly="0" labelOnly="1" fieldPosition="0">
        <references count="4">
          <reference field="0" count="1" selected="0">
            <x v="0"/>
          </reference>
          <reference field="1" count="1" selected="0">
            <x v="228"/>
          </reference>
          <reference field="2" count="1" selected="0">
            <x v="153"/>
          </reference>
          <reference field="3" count="1">
            <x v="0"/>
          </reference>
        </references>
      </pivotArea>
    </format>
    <format dxfId="2047">
      <pivotArea dataOnly="0" labelOnly="1" fieldPosition="0">
        <references count="4">
          <reference field="0" count="1" selected="0">
            <x v="2"/>
          </reference>
          <reference field="1" count="1" selected="0">
            <x v="230"/>
          </reference>
          <reference field="2" count="1" selected="0">
            <x v="225"/>
          </reference>
          <reference field="3" count="1">
            <x v="0"/>
          </reference>
        </references>
      </pivotArea>
    </format>
    <format dxfId="2046">
      <pivotArea dataOnly="0" labelOnly="1" fieldPosition="0">
        <references count="4">
          <reference field="0" count="1" selected="0">
            <x v="3"/>
          </reference>
          <reference field="1" count="1" selected="0">
            <x v="231"/>
          </reference>
          <reference field="2" count="1" selected="0">
            <x v="88"/>
          </reference>
          <reference field="3" count="1">
            <x v="0"/>
          </reference>
        </references>
      </pivotArea>
    </format>
    <format dxfId="2045">
      <pivotArea dataOnly="0" labelOnly="1" fieldPosition="0">
        <references count="4">
          <reference field="0" count="1" selected="0">
            <x v="4"/>
          </reference>
          <reference field="1" count="1" selected="0">
            <x v="232"/>
          </reference>
          <reference field="2" count="1" selected="0">
            <x v="90"/>
          </reference>
          <reference field="3" count="1">
            <x v="0"/>
          </reference>
        </references>
      </pivotArea>
    </format>
    <format dxfId="2044">
      <pivotArea dataOnly="0" labelOnly="1" fieldPosition="0">
        <references count="4">
          <reference field="0" count="1" selected="0">
            <x v="5"/>
          </reference>
          <reference field="1" count="1" selected="0">
            <x v="233"/>
          </reference>
          <reference field="2" count="1" selected="0">
            <x v="224"/>
          </reference>
          <reference field="3" count="1">
            <x v="0"/>
          </reference>
        </references>
      </pivotArea>
    </format>
    <format dxfId="2043">
      <pivotArea dataOnly="0" labelOnly="1" fieldPosition="0">
        <references count="4">
          <reference field="0" count="1" selected="0">
            <x v="7"/>
          </reference>
          <reference field="1" count="1" selected="0">
            <x v="118"/>
          </reference>
          <reference field="2" count="1" selected="0">
            <x v="171"/>
          </reference>
          <reference field="3" count="1">
            <x v="0"/>
          </reference>
        </references>
      </pivotArea>
    </format>
    <format dxfId="2042">
      <pivotArea dataOnly="0" labelOnly="1" fieldPosition="0">
        <references count="4">
          <reference field="0" count="1" selected="0">
            <x v="9"/>
          </reference>
          <reference field="1" count="1" selected="0">
            <x v="120"/>
          </reference>
          <reference field="2" count="1" selected="0">
            <x v="168"/>
          </reference>
          <reference field="3" count="1">
            <x v="0"/>
          </reference>
        </references>
      </pivotArea>
    </format>
    <format dxfId="2041">
      <pivotArea dataOnly="0" labelOnly="1" fieldPosition="0">
        <references count="4">
          <reference field="0" count="1" selected="0">
            <x v="10"/>
          </reference>
          <reference field="1" count="1" selected="0">
            <x v="121"/>
          </reference>
          <reference field="2" count="1" selected="0">
            <x v="82"/>
          </reference>
          <reference field="3" count="1">
            <x v="0"/>
          </reference>
        </references>
      </pivotArea>
    </format>
    <format dxfId="2040">
      <pivotArea dataOnly="0" labelOnly="1" fieldPosition="0">
        <references count="4">
          <reference field="0" count="1" selected="0">
            <x v="11"/>
          </reference>
          <reference field="1" count="1" selected="0">
            <x v="122"/>
          </reference>
          <reference field="2" count="1" selected="0">
            <x v="26"/>
          </reference>
          <reference field="3" count="1">
            <x v="0"/>
          </reference>
        </references>
      </pivotArea>
    </format>
    <format dxfId="2039">
      <pivotArea dataOnly="0" labelOnly="1" fieldPosition="0">
        <references count="4">
          <reference field="0" count="1" selected="0">
            <x v="12"/>
          </reference>
          <reference field="1" count="1" selected="0">
            <x v="123"/>
          </reference>
          <reference field="2" count="1" selected="0">
            <x v="150"/>
          </reference>
          <reference field="3" count="1">
            <x v="0"/>
          </reference>
        </references>
      </pivotArea>
    </format>
    <format dxfId="2038">
      <pivotArea dataOnly="0" labelOnly="1" fieldPosition="0">
        <references count="4">
          <reference field="0" count="1" selected="0">
            <x v="16"/>
          </reference>
          <reference field="1" count="1" selected="0">
            <x v="64"/>
          </reference>
          <reference field="2" count="1" selected="0">
            <x v="157"/>
          </reference>
          <reference field="3" count="1">
            <x v="0"/>
          </reference>
        </references>
      </pivotArea>
    </format>
    <format dxfId="2037">
      <pivotArea dataOnly="0" labelOnly="1" fieldPosition="0">
        <references count="4">
          <reference field="0" count="1" selected="0">
            <x v="18"/>
          </reference>
          <reference field="1" count="1" selected="0">
            <x v="66"/>
          </reference>
          <reference field="2" count="1" selected="0">
            <x v="189"/>
          </reference>
          <reference field="3" count="1">
            <x v="0"/>
          </reference>
        </references>
      </pivotArea>
    </format>
    <format dxfId="2036">
      <pivotArea dataOnly="0" labelOnly="1" fieldPosition="0">
        <references count="4">
          <reference field="0" count="1" selected="0">
            <x v="22"/>
          </reference>
          <reference field="1" count="1" selected="0">
            <x v="19"/>
          </reference>
          <reference field="2" count="1" selected="0">
            <x v="39"/>
          </reference>
          <reference field="3" count="1">
            <x v="0"/>
          </reference>
        </references>
      </pivotArea>
    </format>
    <format dxfId="2035">
      <pivotArea dataOnly="0" labelOnly="1" fieldPosition="0">
        <references count="4">
          <reference field="0" count="1" selected="0">
            <x v="25"/>
          </reference>
          <reference field="1" count="1" selected="0">
            <x v="22"/>
          </reference>
          <reference field="2" count="1" selected="0">
            <x v="84"/>
          </reference>
          <reference field="3" count="1">
            <x v="0"/>
          </reference>
        </references>
      </pivotArea>
    </format>
    <format dxfId="2034">
      <pivotArea dataOnly="0" labelOnly="1" fieldPosition="0">
        <references count="4">
          <reference field="0" count="1" selected="0">
            <x v="26"/>
          </reference>
          <reference field="1" count="1" selected="0">
            <x v="23"/>
          </reference>
          <reference field="2" count="1" selected="0">
            <x v="217"/>
          </reference>
          <reference field="3" count="1">
            <x v="0"/>
          </reference>
        </references>
      </pivotArea>
    </format>
    <format dxfId="2033">
      <pivotArea dataOnly="0" labelOnly="1" fieldPosition="0">
        <references count="4">
          <reference field="0" count="1" selected="0">
            <x v="28"/>
          </reference>
          <reference field="1" count="1" selected="0">
            <x v="25"/>
          </reference>
          <reference field="2" count="1" selected="0">
            <x v="52"/>
          </reference>
          <reference field="3" count="1">
            <x v="0"/>
          </reference>
        </references>
      </pivotArea>
    </format>
    <format dxfId="2032">
      <pivotArea dataOnly="0" labelOnly="1" fieldPosition="0">
        <references count="4">
          <reference field="0" count="1" selected="0">
            <x v="29"/>
          </reference>
          <reference field="1" count="1" selected="0">
            <x v="26"/>
          </reference>
          <reference field="2" count="1" selected="0">
            <x v="62"/>
          </reference>
          <reference field="3" count="1">
            <x v="0"/>
          </reference>
        </references>
      </pivotArea>
    </format>
    <format dxfId="2031">
      <pivotArea dataOnly="0" labelOnly="1" fieldPosition="0">
        <references count="4">
          <reference field="0" count="1" selected="0">
            <x v="30"/>
          </reference>
          <reference field="1" count="1" selected="0">
            <x v="27"/>
          </reference>
          <reference field="2" count="1" selected="0">
            <x v="7"/>
          </reference>
          <reference field="3" count="1">
            <x v="0"/>
          </reference>
        </references>
      </pivotArea>
    </format>
    <format dxfId="2030">
      <pivotArea dataOnly="0" labelOnly="1" fieldPosition="0">
        <references count="4">
          <reference field="0" count="1" selected="0">
            <x v="31"/>
          </reference>
          <reference field="1" count="1" selected="0">
            <x v="28"/>
          </reference>
          <reference field="2" count="1" selected="0">
            <x v="53"/>
          </reference>
          <reference field="3" count="1">
            <x v="0"/>
          </reference>
        </references>
      </pivotArea>
    </format>
    <format dxfId="2029">
      <pivotArea dataOnly="0" labelOnly="1" fieldPosition="0">
        <references count="4">
          <reference field="0" count="1" selected="0">
            <x v="35"/>
          </reference>
          <reference field="1" count="1" selected="0">
            <x v="32"/>
          </reference>
          <reference field="2" count="1" selected="0">
            <x v="51"/>
          </reference>
          <reference field="3" count="1">
            <x v="0"/>
          </reference>
        </references>
      </pivotArea>
    </format>
    <format dxfId="2028">
      <pivotArea dataOnly="0" labelOnly="1" fieldPosition="0">
        <references count="4">
          <reference field="0" count="1" selected="0">
            <x v="36"/>
          </reference>
          <reference field="1" count="1" selected="0">
            <x v="33"/>
          </reference>
          <reference field="2" count="1" selected="0">
            <x v="130"/>
          </reference>
          <reference field="3" count="1">
            <x v="0"/>
          </reference>
        </references>
      </pivotArea>
    </format>
    <format dxfId="2027">
      <pivotArea dataOnly="0" labelOnly="1" fieldPosition="0">
        <references count="4">
          <reference field="0" count="1" selected="0">
            <x v="37"/>
          </reference>
          <reference field="1" count="1" selected="0">
            <x v="34"/>
          </reference>
          <reference field="2" count="1" selected="0">
            <x v="70"/>
          </reference>
          <reference field="3" count="1">
            <x v="0"/>
          </reference>
        </references>
      </pivotArea>
    </format>
    <format dxfId="2026">
      <pivotArea dataOnly="0" labelOnly="1" fieldPosition="0">
        <references count="4">
          <reference field="0" count="1" selected="0">
            <x v="38"/>
          </reference>
          <reference field="1" count="1" selected="0">
            <x v="0"/>
          </reference>
          <reference field="2" count="1" selected="0">
            <x v="45"/>
          </reference>
          <reference field="3" count="1">
            <x v="0"/>
          </reference>
        </references>
      </pivotArea>
    </format>
    <format dxfId="2025">
      <pivotArea dataOnly="0" labelOnly="1" fieldPosition="0">
        <references count="4">
          <reference field="0" count="1" selected="0">
            <x v="39"/>
          </reference>
          <reference field="1" count="1" selected="0">
            <x v="1"/>
          </reference>
          <reference field="2" count="1" selected="0">
            <x v="46"/>
          </reference>
          <reference field="3" count="1">
            <x v="0"/>
          </reference>
        </references>
      </pivotArea>
    </format>
    <format dxfId="2024">
      <pivotArea dataOnly="0" labelOnly="1" fieldPosition="0">
        <references count="4">
          <reference field="0" count="1" selected="0">
            <x v="42"/>
          </reference>
          <reference field="1" count="1" selected="0">
            <x v="4"/>
          </reference>
          <reference field="2" count="1" selected="0">
            <x v="64"/>
          </reference>
          <reference field="3" count="1">
            <x v="0"/>
          </reference>
        </references>
      </pivotArea>
    </format>
    <format dxfId="2023">
      <pivotArea dataOnly="0" labelOnly="1" fieldPosition="0">
        <references count="4">
          <reference field="0" count="1" selected="0">
            <x v="43"/>
          </reference>
          <reference field="1" count="1" selected="0">
            <x v="5"/>
          </reference>
          <reference field="2" count="1" selected="0">
            <x v="19"/>
          </reference>
          <reference field="3" count="1">
            <x v="0"/>
          </reference>
        </references>
      </pivotArea>
    </format>
    <format dxfId="2022">
      <pivotArea dataOnly="0" labelOnly="1" fieldPosition="0">
        <references count="4">
          <reference field="0" count="1" selected="0">
            <x v="44"/>
          </reference>
          <reference field="1" count="1" selected="0">
            <x v="6"/>
          </reference>
          <reference field="2" count="1" selected="0">
            <x v="23"/>
          </reference>
          <reference field="3" count="1">
            <x v="0"/>
          </reference>
        </references>
      </pivotArea>
    </format>
    <format dxfId="2021">
      <pivotArea dataOnly="0" labelOnly="1" fieldPosition="0">
        <references count="4">
          <reference field="0" count="1" selected="0">
            <x v="45"/>
          </reference>
          <reference field="1" count="1" selected="0">
            <x v="7"/>
          </reference>
          <reference field="2" count="1" selected="0">
            <x v="22"/>
          </reference>
          <reference field="3" count="1">
            <x v="0"/>
          </reference>
        </references>
      </pivotArea>
    </format>
    <format dxfId="2020">
      <pivotArea dataOnly="0" labelOnly="1" fieldPosition="0">
        <references count="4">
          <reference field="0" count="1" selected="0">
            <x v="46"/>
          </reference>
          <reference field="1" count="1" selected="0">
            <x v="8"/>
          </reference>
          <reference field="2" count="1" selected="0">
            <x v="135"/>
          </reference>
          <reference field="3" count="1">
            <x v="0"/>
          </reference>
        </references>
      </pivotArea>
    </format>
    <format dxfId="2019">
      <pivotArea dataOnly="0" labelOnly="1" fieldPosition="0">
        <references count="4">
          <reference field="0" count="1" selected="0">
            <x v="47"/>
          </reference>
          <reference field="1" count="1" selected="0">
            <x v="9"/>
          </reference>
          <reference field="2" count="1" selected="0">
            <x v="141"/>
          </reference>
          <reference field="3" count="1">
            <x v="0"/>
          </reference>
        </references>
      </pivotArea>
    </format>
    <format dxfId="2018">
      <pivotArea dataOnly="0" labelOnly="1" fieldPosition="0">
        <references count="4">
          <reference field="0" count="1" selected="0">
            <x v="49"/>
          </reference>
          <reference field="1" count="1" selected="0">
            <x v="11"/>
          </reference>
          <reference field="2" count="1" selected="0">
            <x v="127"/>
          </reference>
          <reference field="3" count="1">
            <x v="0"/>
          </reference>
        </references>
      </pivotArea>
    </format>
    <format dxfId="2017">
      <pivotArea dataOnly="0" labelOnly="1" fieldPosition="0">
        <references count="4">
          <reference field="0" count="1" selected="0">
            <x v="55"/>
          </reference>
          <reference field="1" count="1" selected="0">
            <x v="35"/>
          </reference>
          <reference field="2" count="1" selected="0">
            <x v="65"/>
          </reference>
          <reference field="3" count="1">
            <x v="0"/>
          </reference>
        </references>
      </pivotArea>
    </format>
    <format dxfId="2016">
      <pivotArea dataOnly="0" labelOnly="1" fieldPosition="0">
        <references count="4">
          <reference field="0" count="1" selected="0">
            <x v="56"/>
          </reference>
          <reference field="1" count="1" selected="0">
            <x v="36"/>
          </reference>
          <reference field="2" count="1" selected="0">
            <x v="183"/>
          </reference>
          <reference field="3" count="1">
            <x v="0"/>
          </reference>
        </references>
      </pivotArea>
    </format>
    <format dxfId="2015">
      <pivotArea dataOnly="0" labelOnly="1" fieldPosition="0">
        <references count="4">
          <reference field="0" count="1" selected="0">
            <x v="62"/>
          </reference>
          <reference field="1" count="1" selected="0">
            <x v="42"/>
          </reference>
          <reference field="2" count="1" selected="0">
            <x v="15"/>
          </reference>
          <reference field="3" count="1">
            <x v="0"/>
          </reference>
        </references>
      </pivotArea>
    </format>
    <format dxfId="2014">
      <pivotArea dataOnly="0" labelOnly="1" fieldPosition="0">
        <references count="4">
          <reference field="0" count="1" selected="0">
            <x v="63"/>
          </reference>
          <reference field="1" count="1" selected="0">
            <x v="43"/>
          </reference>
          <reference field="2" count="1" selected="0">
            <x v="152"/>
          </reference>
          <reference field="3" count="1">
            <x v="0"/>
          </reference>
        </references>
      </pivotArea>
    </format>
    <format dxfId="2013">
      <pivotArea dataOnly="0" labelOnly="1" fieldPosition="0">
        <references count="4">
          <reference field="0" count="1" selected="0">
            <x v="64"/>
          </reference>
          <reference field="1" count="1" selected="0">
            <x v="44"/>
          </reference>
          <reference field="2" count="1" selected="0">
            <x v="146"/>
          </reference>
          <reference field="3" count="1">
            <x v="0"/>
          </reference>
        </references>
      </pivotArea>
    </format>
    <format dxfId="2012">
      <pivotArea dataOnly="0" labelOnly="1" fieldPosition="0">
        <references count="4">
          <reference field="0" count="1" selected="0">
            <x v="65"/>
          </reference>
          <reference field="1" count="1" selected="0">
            <x v="45"/>
          </reference>
          <reference field="2" count="1" selected="0">
            <x v="204"/>
          </reference>
          <reference field="3" count="1">
            <x v="0"/>
          </reference>
        </references>
      </pivotArea>
    </format>
    <format dxfId="2011">
      <pivotArea dataOnly="0" labelOnly="1" fieldPosition="0">
        <references count="4">
          <reference field="0" count="1" selected="0">
            <x v="66"/>
          </reference>
          <reference field="1" count="1" selected="0">
            <x v="46"/>
          </reference>
          <reference field="2" count="1" selected="0">
            <x v="92"/>
          </reference>
          <reference field="3" count="1">
            <x v="0"/>
          </reference>
        </references>
      </pivotArea>
    </format>
    <format dxfId="2010">
      <pivotArea dataOnly="0" labelOnly="1" fieldPosition="0">
        <references count="4">
          <reference field="0" count="1" selected="0">
            <x v="67"/>
          </reference>
          <reference field="1" count="1" selected="0">
            <x v="47"/>
          </reference>
          <reference field="2" count="1" selected="0">
            <x v="181"/>
          </reference>
          <reference field="3" count="1">
            <x v="0"/>
          </reference>
        </references>
      </pivotArea>
    </format>
    <format dxfId="2009">
      <pivotArea dataOnly="0" labelOnly="1" fieldPosition="0">
        <references count="4">
          <reference field="0" count="1" selected="0">
            <x v="68"/>
          </reference>
          <reference field="1" count="1" selected="0">
            <x v="48"/>
          </reference>
          <reference field="2" count="1" selected="0">
            <x v="231"/>
          </reference>
          <reference field="3" count="1">
            <x v="0"/>
          </reference>
        </references>
      </pivotArea>
    </format>
    <format dxfId="2008">
      <pivotArea dataOnly="0" labelOnly="1" fieldPosition="0">
        <references count="4">
          <reference field="0" count="1" selected="0">
            <x v="79"/>
          </reference>
          <reference field="1" count="1" selected="0">
            <x v="59"/>
          </reference>
          <reference field="2" count="1" selected="0">
            <x v="21"/>
          </reference>
          <reference field="3" count="1">
            <x v="0"/>
          </reference>
        </references>
      </pivotArea>
    </format>
    <format dxfId="2007">
      <pivotArea dataOnly="0" labelOnly="1" fieldPosition="0">
        <references count="4">
          <reference field="0" count="1" selected="0">
            <x v="81"/>
          </reference>
          <reference field="1" count="1" selected="0">
            <x v="68"/>
          </reference>
          <reference field="2" count="1" selected="0">
            <x v="112"/>
          </reference>
          <reference field="3" count="1">
            <x v="0"/>
          </reference>
        </references>
      </pivotArea>
    </format>
    <format dxfId="2006">
      <pivotArea dataOnly="0" labelOnly="1" fieldPosition="0">
        <references count="4">
          <reference field="0" count="1" selected="0">
            <x v="82"/>
          </reference>
          <reference field="1" count="1" selected="0">
            <x v="69"/>
          </reference>
          <reference field="2" count="1" selected="0">
            <x v="226"/>
          </reference>
          <reference field="3" count="1">
            <x v="0"/>
          </reference>
        </references>
      </pivotArea>
    </format>
    <format dxfId="2005">
      <pivotArea dataOnly="0" labelOnly="1" fieldPosition="0">
        <references count="4">
          <reference field="0" count="1" selected="0">
            <x v="83"/>
          </reference>
          <reference field="1" count="1" selected="0">
            <x v="70"/>
          </reference>
          <reference field="2" count="1" selected="0">
            <x v="193"/>
          </reference>
          <reference field="3" count="1">
            <x v="0"/>
          </reference>
        </references>
      </pivotArea>
    </format>
    <format dxfId="2004">
      <pivotArea dataOnly="0" labelOnly="1" fieldPosition="0">
        <references count="4">
          <reference field="0" count="1" selected="0">
            <x v="84"/>
          </reference>
          <reference field="1" count="1" selected="0">
            <x v="71"/>
          </reference>
          <reference field="2" count="1" selected="0">
            <x v="192"/>
          </reference>
          <reference field="3" count="1">
            <x v="0"/>
          </reference>
        </references>
      </pivotArea>
    </format>
    <format dxfId="2003">
      <pivotArea dataOnly="0" labelOnly="1" fieldPosition="0">
        <references count="4">
          <reference field="0" count="1" selected="0">
            <x v="85"/>
          </reference>
          <reference field="1" count="1" selected="0">
            <x v="72"/>
          </reference>
          <reference field="2" count="1" selected="0">
            <x v="87"/>
          </reference>
          <reference field="3" count="1">
            <x v="0"/>
          </reference>
        </references>
      </pivotArea>
    </format>
    <format dxfId="2002">
      <pivotArea dataOnly="0" labelOnly="1" fieldPosition="0">
        <references count="4">
          <reference field="0" count="1" selected="0">
            <x v="86"/>
          </reference>
          <reference field="1" count="1" selected="0">
            <x v="73"/>
          </reference>
          <reference field="2" count="1" selected="0">
            <x v="154"/>
          </reference>
          <reference field="3" count="1">
            <x v="0"/>
          </reference>
        </references>
      </pivotArea>
    </format>
    <format dxfId="2001">
      <pivotArea dataOnly="0" labelOnly="1" fieldPosition="0">
        <references count="4">
          <reference field="0" count="1" selected="0">
            <x v="87"/>
          </reference>
          <reference field="1" count="1" selected="0">
            <x v="74"/>
          </reference>
          <reference field="2" count="1" selected="0">
            <x v="208"/>
          </reference>
          <reference field="3" count="1">
            <x v="0"/>
          </reference>
        </references>
      </pivotArea>
    </format>
    <format dxfId="2000">
      <pivotArea dataOnly="0" labelOnly="1" fieldPosition="0">
        <references count="4">
          <reference field="0" count="1" selected="0">
            <x v="88"/>
          </reference>
          <reference field="1" count="1" selected="0">
            <x v="75"/>
          </reference>
          <reference field="2" count="1" selected="0">
            <x v="38"/>
          </reference>
          <reference field="3" count="1">
            <x v="0"/>
          </reference>
        </references>
      </pivotArea>
    </format>
    <format dxfId="1999">
      <pivotArea dataOnly="0" labelOnly="1" fieldPosition="0">
        <references count="4">
          <reference field="0" count="1" selected="0">
            <x v="89"/>
          </reference>
          <reference field="1" count="1" selected="0">
            <x v="76"/>
          </reference>
          <reference field="2" count="1" selected="0">
            <x v="232"/>
          </reference>
          <reference field="3" count="1">
            <x v="0"/>
          </reference>
        </references>
      </pivotArea>
    </format>
    <format dxfId="1998">
      <pivotArea dataOnly="0" labelOnly="1" fieldPosition="0">
        <references count="4">
          <reference field="0" count="1" selected="0">
            <x v="90"/>
          </reference>
          <reference field="1" count="1" selected="0">
            <x v="77"/>
          </reference>
          <reference field="2" count="1" selected="0">
            <x v="43"/>
          </reference>
          <reference field="3" count="1">
            <x v="0"/>
          </reference>
        </references>
      </pivotArea>
    </format>
    <format dxfId="1997">
      <pivotArea dataOnly="0" labelOnly="1" fieldPosition="0">
        <references count="4">
          <reference field="0" count="1" selected="0">
            <x v="91"/>
          </reference>
          <reference field="1" count="1" selected="0">
            <x v="78"/>
          </reference>
          <reference field="2" count="1" selected="0">
            <x v="12"/>
          </reference>
          <reference field="3" count="1">
            <x v="0"/>
          </reference>
        </references>
      </pivotArea>
    </format>
    <format dxfId="1996">
      <pivotArea dataOnly="0" labelOnly="1" fieldPosition="0">
        <references count="4">
          <reference field="0" count="1" selected="0">
            <x v="93"/>
          </reference>
          <reference field="1" count="1" selected="0">
            <x v="80"/>
          </reference>
          <reference field="2" count="1" selected="0">
            <x v="180"/>
          </reference>
          <reference field="3" count="1">
            <x v="0"/>
          </reference>
        </references>
      </pivotArea>
    </format>
    <format dxfId="1995">
      <pivotArea dataOnly="0" labelOnly="1" fieldPosition="0">
        <references count="4">
          <reference field="0" count="1" selected="0">
            <x v="94"/>
          </reference>
          <reference field="1" count="1" selected="0">
            <x v="81"/>
          </reference>
          <reference field="2" count="1" selected="0">
            <x v="60"/>
          </reference>
          <reference field="3" count="1">
            <x v="0"/>
          </reference>
        </references>
      </pivotArea>
    </format>
    <format dxfId="1994">
      <pivotArea dataOnly="0" labelOnly="1" fieldPosition="0">
        <references count="4">
          <reference field="0" count="1" selected="0">
            <x v="95"/>
          </reference>
          <reference field="1" count="1" selected="0">
            <x v="82"/>
          </reference>
          <reference field="2" count="1" selected="0">
            <x v="5"/>
          </reference>
          <reference field="3" count="1">
            <x v="0"/>
          </reference>
        </references>
      </pivotArea>
    </format>
    <format dxfId="1993">
      <pivotArea dataOnly="0" labelOnly="1" fieldPosition="0">
        <references count="4">
          <reference field="0" count="1" selected="0">
            <x v="96"/>
          </reference>
          <reference field="1" count="1" selected="0">
            <x v="83"/>
          </reference>
          <reference field="2" count="1" selected="0">
            <x v="173"/>
          </reference>
          <reference field="3" count="1">
            <x v="0"/>
          </reference>
        </references>
      </pivotArea>
    </format>
    <format dxfId="1992">
      <pivotArea dataOnly="0" labelOnly="1" fieldPosition="0">
        <references count="4">
          <reference field="0" count="1" selected="0">
            <x v="97"/>
          </reference>
          <reference field="1" count="1" selected="0">
            <x v="84"/>
          </reference>
          <reference field="2" count="1" selected="0">
            <x v="6"/>
          </reference>
          <reference field="3" count="1">
            <x v="0"/>
          </reference>
        </references>
      </pivotArea>
    </format>
    <format dxfId="1991">
      <pivotArea dataOnly="0" labelOnly="1" fieldPosition="0">
        <references count="4">
          <reference field="0" count="1" selected="0">
            <x v="98"/>
          </reference>
          <reference field="1" count="1" selected="0">
            <x v="85"/>
          </reference>
          <reference field="2" count="1" selected="0">
            <x v="214"/>
          </reference>
          <reference field="3" count="1">
            <x v="0"/>
          </reference>
        </references>
      </pivotArea>
    </format>
    <format dxfId="1990">
      <pivotArea dataOnly="0" labelOnly="1" fieldPosition="0">
        <references count="4">
          <reference field="0" count="1" selected="0">
            <x v="99"/>
          </reference>
          <reference field="1" count="1" selected="0">
            <x v="86"/>
          </reference>
          <reference field="2" count="1" selected="0">
            <x v="66"/>
          </reference>
          <reference field="3" count="1">
            <x v="0"/>
          </reference>
        </references>
      </pivotArea>
    </format>
    <format dxfId="1989">
      <pivotArea dataOnly="0" labelOnly="1" fieldPosition="0">
        <references count="4">
          <reference field="0" count="1" selected="0">
            <x v="100"/>
          </reference>
          <reference field="1" count="1" selected="0">
            <x v="87"/>
          </reference>
          <reference field="2" count="1" selected="0">
            <x v="75"/>
          </reference>
          <reference field="3" count="1">
            <x v="0"/>
          </reference>
        </references>
      </pivotArea>
    </format>
    <format dxfId="1988">
      <pivotArea dataOnly="0" labelOnly="1" fieldPosition="0">
        <references count="4">
          <reference field="0" count="1" selected="0">
            <x v="101"/>
          </reference>
          <reference field="1" count="1" selected="0">
            <x v="88"/>
          </reference>
          <reference field="2" count="1" selected="0">
            <x v="29"/>
          </reference>
          <reference field="3" count="1">
            <x v="0"/>
          </reference>
        </references>
      </pivotArea>
    </format>
    <format dxfId="1987">
      <pivotArea dataOnly="0" labelOnly="1" fieldPosition="0">
        <references count="4">
          <reference field="0" count="1" selected="0">
            <x v="102"/>
          </reference>
          <reference field="1" count="1" selected="0">
            <x v="89"/>
          </reference>
          <reference field="2" count="1" selected="0">
            <x v="14"/>
          </reference>
          <reference field="3" count="1">
            <x v="0"/>
          </reference>
        </references>
      </pivotArea>
    </format>
    <format dxfId="1986">
      <pivotArea dataOnly="0" labelOnly="1" fieldPosition="0">
        <references count="4">
          <reference field="0" count="1" selected="0">
            <x v="103"/>
          </reference>
          <reference field="1" count="1" selected="0">
            <x v="90"/>
          </reference>
          <reference field="2" count="1" selected="0">
            <x v="73"/>
          </reference>
          <reference field="3" count="1">
            <x v="0"/>
          </reference>
        </references>
      </pivotArea>
    </format>
    <format dxfId="1985">
      <pivotArea dataOnly="0" labelOnly="1" fieldPosition="0">
        <references count="4">
          <reference field="0" count="1" selected="0">
            <x v="104"/>
          </reference>
          <reference field="1" count="1" selected="0">
            <x v="91"/>
          </reference>
          <reference field="2" count="1" selected="0">
            <x v="68"/>
          </reference>
          <reference field="3" count="1">
            <x v="0"/>
          </reference>
        </references>
      </pivotArea>
    </format>
    <format dxfId="1984">
      <pivotArea dataOnly="0" labelOnly="1" fieldPosition="0">
        <references count="4">
          <reference field="0" count="1" selected="0">
            <x v="105"/>
          </reference>
          <reference field="1" count="1" selected="0">
            <x v="92"/>
          </reference>
          <reference field="2" count="1" selected="0">
            <x v="134"/>
          </reference>
          <reference field="3" count="1">
            <x v="0"/>
          </reference>
        </references>
      </pivotArea>
    </format>
    <format dxfId="1983">
      <pivotArea dataOnly="0" labelOnly="1" fieldPosition="0">
        <references count="4">
          <reference field="0" count="1" selected="0">
            <x v="106"/>
          </reference>
          <reference field="1" count="1" selected="0">
            <x v="93"/>
          </reference>
          <reference field="2" count="1" selected="0">
            <x v="76"/>
          </reference>
          <reference field="3" count="1">
            <x v="0"/>
          </reference>
        </references>
      </pivotArea>
    </format>
    <format dxfId="1982">
      <pivotArea dataOnly="0" labelOnly="1" fieldPosition="0">
        <references count="4">
          <reference field="0" count="1" selected="0">
            <x v="107"/>
          </reference>
          <reference field="1" count="1" selected="0">
            <x v="94"/>
          </reference>
          <reference field="2" count="1" selected="0">
            <x v="190"/>
          </reference>
          <reference field="3" count="1">
            <x v="0"/>
          </reference>
        </references>
      </pivotArea>
    </format>
    <format dxfId="1981">
      <pivotArea dataOnly="0" labelOnly="1" fieldPosition="0">
        <references count="4">
          <reference field="0" count="1" selected="0">
            <x v="108"/>
          </reference>
          <reference field="1" count="1" selected="0">
            <x v="95"/>
          </reference>
          <reference field="2" count="1" selected="0">
            <x v="236"/>
          </reference>
          <reference field="3" count="1">
            <x v="0"/>
          </reference>
        </references>
      </pivotArea>
    </format>
    <format dxfId="1980">
      <pivotArea dataOnly="0" labelOnly="1" fieldPosition="0">
        <references count="4">
          <reference field="0" count="1" selected="0">
            <x v="110"/>
          </reference>
          <reference field="1" count="1" selected="0">
            <x v="97"/>
          </reference>
          <reference field="2" count="1" selected="0">
            <x v="123"/>
          </reference>
          <reference field="3" count="1">
            <x v="0"/>
          </reference>
        </references>
      </pivotArea>
    </format>
    <format dxfId="1979">
      <pivotArea dataOnly="0" labelOnly="1" fieldPosition="0">
        <references count="4">
          <reference field="0" count="1" selected="0">
            <x v="111"/>
          </reference>
          <reference field="1" count="1" selected="0">
            <x v="98"/>
          </reference>
          <reference field="2" count="1" selected="0">
            <x v="83"/>
          </reference>
          <reference field="3" count="1">
            <x v="0"/>
          </reference>
        </references>
      </pivotArea>
    </format>
    <format dxfId="1978">
      <pivotArea dataOnly="0" labelOnly="1" fieldPosition="0">
        <references count="4">
          <reference field="0" count="1" selected="0">
            <x v="113"/>
          </reference>
          <reference field="1" count="1" selected="0">
            <x v="100"/>
          </reference>
          <reference field="2" count="1" selected="0">
            <x v="124"/>
          </reference>
          <reference field="3" count="1">
            <x v="0"/>
          </reference>
        </references>
      </pivotArea>
    </format>
    <format dxfId="1977">
      <pivotArea dataOnly="0" labelOnly="1" fieldPosition="0">
        <references count="4">
          <reference field="0" count="1" selected="0">
            <x v="121"/>
          </reference>
          <reference field="1" count="1" selected="0">
            <x v="108"/>
          </reference>
          <reference field="2" count="1" selected="0">
            <x v="207"/>
          </reference>
          <reference field="3" count="1">
            <x v="0"/>
          </reference>
        </references>
      </pivotArea>
    </format>
    <format dxfId="1976">
      <pivotArea dataOnly="0" labelOnly="1" fieldPosition="0">
        <references count="4">
          <reference field="0" count="1" selected="0">
            <x v="122"/>
          </reference>
          <reference field="1" count="1" selected="0">
            <x v="109"/>
          </reference>
          <reference field="2" count="1" selected="0">
            <x v="35"/>
          </reference>
          <reference field="3" count="1">
            <x v="0"/>
          </reference>
        </references>
      </pivotArea>
    </format>
    <format dxfId="1975">
      <pivotArea dataOnly="0" labelOnly="1" fieldPosition="0">
        <references count="4">
          <reference field="0" count="1" selected="0">
            <x v="123"/>
          </reference>
          <reference field="1" count="1" selected="0">
            <x v="110"/>
          </reference>
          <reference field="2" count="1" selected="0">
            <x v="176"/>
          </reference>
          <reference field="3" count="1">
            <x v="0"/>
          </reference>
        </references>
      </pivotArea>
    </format>
    <format dxfId="1974">
      <pivotArea dataOnly="0" labelOnly="1" fieldPosition="0">
        <references count="4">
          <reference field="0" count="1" selected="0">
            <x v="124"/>
          </reference>
          <reference field="1" count="1" selected="0">
            <x v="111"/>
          </reference>
          <reference field="2" count="1" selected="0">
            <x v="218"/>
          </reference>
          <reference field="3" count="1">
            <x v="0"/>
          </reference>
        </references>
      </pivotArea>
    </format>
    <format dxfId="1973">
      <pivotArea dataOnly="0" labelOnly="1" fieldPosition="0">
        <references count="4">
          <reference field="0" count="1" selected="0">
            <x v="125"/>
          </reference>
          <reference field="1" count="1" selected="0">
            <x v="112"/>
          </reference>
          <reference field="2" count="1" selected="0">
            <x v="197"/>
          </reference>
          <reference field="3" count="1">
            <x v="0"/>
          </reference>
        </references>
      </pivotArea>
    </format>
    <format dxfId="1972">
      <pivotArea dataOnly="0" labelOnly="1" fieldPosition="0">
        <references count="4">
          <reference field="0" count="1" selected="0">
            <x v="126"/>
          </reference>
          <reference field="1" count="1" selected="0">
            <x v="113"/>
          </reference>
          <reference field="2" count="1" selected="0">
            <x v="191"/>
          </reference>
          <reference field="3" count="1">
            <x v="0"/>
          </reference>
        </references>
      </pivotArea>
    </format>
    <format dxfId="1971">
      <pivotArea dataOnly="0" labelOnly="1" fieldPosition="0">
        <references count="4">
          <reference field="0" count="1" selected="0">
            <x v="127"/>
          </reference>
          <reference field="1" count="1" selected="0">
            <x v="114"/>
          </reference>
          <reference field="2" count="1" selected="0">
            <x v="174"/>
          </reference>
          <reference field="3" count="1">
            <x v="0"/>
          </reference>
        </references>
      </pivotArea>
    </format>
    <format dxfId="1970">
      <pivotArea dataOnly="0" labelOnly="1" fieldPosition="0">
        <references count="4">
          <reference field="0" count="1" selected="0">
            <x v="128"/>
          </reference>
          <reference field="1" count="1" selected="0">
            <x v="115"/>
          </reference>
          <reference field="2" count="1" selected="0">
            <x v="59"/>
          </reference>
          <reference field="3" count="1">
            <x v="0"/>
          </reference>
        </references>
      </pivotArea>
    </format>
    <format dxfId="1969">
      <pivotArea dataOnly="0" labelOnly="1" fieldPosition="0">
        <references count="4">
          <reference field="0" count="1" selected="0">
            <x v="129"/>
          </reference>
          <reference field="1" count="1" selected="0">
            <x v="116"/>
          </reference>
          <reference field="2" count="1" selected="0">
            <x v="212"/>
          </reference>
          <reference field="3" count="1">
            <x v="0"/>
          </reference>
        </references>
      </pivotArea>
    </format>
    <format dxfId="1968">
      <pivotArea dataOnly="0" labelOnly="1" fieldPosition="0">
        <references count="4">
          <reference field="0" count="1" selected="0">
            <x v="130"/>
          </reference>
          <reference field="1" count="1" selected="0">
            <x v="117"/>
          </reference>
          <reference field="2" count="1" selected="0">
            <x v="118"/>
          </reference>
          <reference field="3" count="1">
            <x v="0"/>
          </reference>
        </references>
      </pivotArea>
    </format>
    <format dxfId="1967">
      <pivotArea dataOnly="0" labelOnly="1" fieldPosition="0">
        <references count="4">
          <reference field="0" count="1" selected="0">
            <x v="134"/>
          </reference>
          <reference field="1" count="1" selected="0">
            <x v="127"/>
          </reference>
          <reference field="2" count="1" selected="0">
            <x v="2"/>
          </reference>
          <reference field="3" count="1">
            <x v="0"/>
          </reference>
        </references>
      </pivotArea>
    </format>
    <format dxfId="1966">
      <pivotArea dataOnly="0" labelOnly="1" fieldPosition="0">
        <references count="4">
          <reference field="0" count="1" selected="0">
            <x v="135"/>
          </reference>
          <reference field="1" count="1" selected="0">
            <x v="128"/>
          </reference>
          <reference field="2" count="1" selected="0">
            <x v="151"/>
          </reference>
          <reference field="3" count="1">
            <x v="0"/>
          </reference>
        </references>
      </pivotArea>
    </format>
    <format dxfId="1965">
      <pivotArea dataOnly="0" labelOnly="1" fieldPosition="0">
        <references count="4">
          <reference field="0" count="1" selected="0">
            <x v="136"/>
          </reference>
          <reference field="1" count="1" selected="0">
            <x v="129"/>
          </reference>
          <reference field="2" count="1" selected="0">
            <x v="219"/>
          </reference>
          <reference field="3" count="1">
            <x v="0"/>
          </reference>
        </references>
      </pivotArea>
    </format>
    <format dxfId="1964">
      <pivotArea dataOnly="0" labelOnly="1" fieldPosition="0">
        <references count="4">
          <reference field="0" count="1" selected="0">
            <x v="144"/>
          </reference>
          <reference field="1" count="1" selected="0">
            <x v="137"/>
          </reference>
          <reference field="2" count="1" selected="0">
            <x v="79"/>
          </reference>
          <reference field="3" count="1">
            <x v="0"/>
          </reference>
        </references>
      </pivotArea>
    </format>
    <format dxfId="1963">
      <pivotArea dataOnly="0" labelOnly="1" fieldPosition="0">
        <references count="4">
          <reference field="0" count="1" selected="0">
            <x v="146"/>
          </reference>
          <reference field="1" count="1" selected="0">
            <x v="139"/>
          </reference>
          <reference field="2" count="1" selected="0">
            <x v="30"/>
          </reference>
          <reference field="3" count="1">
            <x v="0"/>
          </reference>
        </references>
      </pivotArea>
    </format>
    <format dxfId="1962">
      <pivotArea dataOnly="0" labelOnly="1" fieldPosition="0">
        <references count="4">
          <reference field="0" count="1" selected="0">
            <x v="147"/>
          </reference>
          <reference field="1" count="1" selected="0">
            <x v="140"/>
          </reference>
          <reference field="2" count="1" selected="0">
            <x v="211"/>
          </reference>
          <reference field="3" count="1">
            <x v="0"/>
          </reference>
        </references>
      </pivotArea>
    </format>
    <format dxfId="1961">
      <pivotArea dataOnly="0" labelOnly="1" fieldPosition="0">
        <references count="4">
          <reference field="0" count="1" selected="0">
            <x v="148"/>
          </reference>
          <reference field="1" count="1" selected="0">
            <x v="141"/>
          </reference>
          <reference field="2" count="1" selected="0">
            <x v="95"/>
          </reference>
          <reference field="3" count="1">
            <x v="0"/>
          </reference>
        </references>
      </pivotArea>
    </format>
    <format dxfId="1960">
      <pivotArea dataOnly="0" labelOnly="1" fieldPosition="0">
        <references count="4">
          <reference field="0" count="1" selected="0">
            <x v="149"/>
          </reference>
          <reference field="1" count="1" selected="0">
            <x v="142"/>
          </reference>
          <reference field="2" count="1" selected="0">
            <x v="165"/>
          </reference>
          <reference field="3" count="1">
            <x v="0"/>
          </reference>
        </references>
      </pivotArea>
    </format>
    <format dxfId="1959">
      <pivotArea dataOnly="0" labelOnly="1" fieldPosition="0">
        <references count="4">
          <reference field="0" count="1" selected="0">
            <x v="150"/>
          </reference>
          <reference field="1" count="1" selected="0">
            <x v="143"/>
          </reference>
          <reference field="2" count="1" selected="0">
            <x v="166"/>
          </reference>
          <reference field="3" count="1">
            <x v="0"/>
          </reference>
        </references>
      </pivotArea>
    </format>
    <format dxfId="1958">
      <pivotArea dataOnly="0" labelOnly="1" fieldPosition="0">
        <references count="4">
          <reference field="0" count="1" selected="0">
            <x v="151"/>
          </reference>
          <reference field="1" count="1" selected="0">
            <x v="144"/>
          </reference>
          <reference field="2" count="1" selected="0">
            <x v="85"/>
          </reference>
          <reference field="3" count="1">
            <x v="0"/>
          </reference>
        </references>
      </pivotArea>
    </format>
    <format dxfId="1957">
      <pivotArea dataOnly="0" labelOnly="1" fieldPosition="0">
        <references count="4">
          <reference field="0" count="1" selected="0">
            <x v="152"/>
          </reference>
          <reference field="1" count="1" selected="0">
            <x v="145"/>
          </reference>
          <reference field="2" count="1" selected="0">
            <x v="86"/>
          </reference>
          <reference field="3" count="1">
            <x v="0"/>
          </reference>
        </references>
      </pivotArea>
    </format>
    <format dxfId="1956">
      <pivotArea dataOnly="0" labelOnly="1" fieldPosition="0">
        <references count="4">
          <reference field="0" count="1" selected="0">
            <x v="153"/>
          </reference>
          <reference field="1" count="1" selected="0">
            <x v="146"/>
          </reference>
          <reference field="2" count="1" selected="0">
            <x v="54"/>
          </reference>
          <reference field="3" count="1">
            <x v="0"/>
          </reference>
        </references>
      </pivotArea>
    </format>
    <format dxfId="1955">
      <pivotArea dataOnly="0" labelOnly="1" fieldPosition="0">
        <references count="4">
          <reference field="0" count="1" selected="0">
            <x v="154"/>
          </reference>
          <reference field="1" count="1" selected="0">
            <x v="147"/>
          </reference>
          <reference field="2" count="1" selected="0">
            <x v="109"/>
          </reference>
          <reference field="3" count="1">
            <x v="0"/>
          </reference>
        </references>
      </pivotArea>
    </format>
    <format dxfId="1954">
      <pivotArea dataOnly="0" labelOnly="1" fieldPosition="0">
        <references count="4">
          <reference field="0" count="1" selected="0">
            <x v="155"/>
          </reference>
          <reference field="1" count="1" selected="0">
            <x v="148"/>
          </reference>
          <reference field="2" count="1" selected="0">
            <x v="3"/>
          </reference>
          <reference field="3" count="1">
            <x v="0"/>
          </reference>
        </references>
      </pivotArea>
    </format>
    <format dxfId="1953">
      <pivotArea dataOnly="0" labelOnly="1" fieldPosition="0">
        <references count="4">
          <reference field="0" count="1" selected="0">
            <x v="159"/>
          </reference>
          <reference field="1" count="1" selected="0">
            <x v="183"/>
          </reference>
          <reference field="2" count="1" selected="0">
            <x v="122"/>
          </reference>
          <reference field="3" count="1">
            <x v="0"/>
          </reference>
        </references>
      </pivotArea>
    </format>
    <format dxfId="1952">
      <pivotArea dataOnly="0" labelOnly="1" fieldPosition="0">
        <references count="4">
          <reference field="0" count="1" selected="0">
            <x v="160"/>
          </reference>
          <reference field="1" count="1" selected="0">
            <x v="184"/>
          </reference>
          <reference field="2" count="1" selected="0">
            <x v="187"/>
          </reference>
          <reference field="3" count="1">
            <x v="0"/>
          </reference>
        </references>
      </pivotArea>
    </format>
    <format dxfId="1951">
      <pivotArea dataOnly="0" labelOnly="1" fieldPosition="0">
        <references count="4">
          <reference field="0" count="1" selected="0">
            <x v="161"/>
          </reference>
          <reference field="1" count="1" selected="0">
            <x v="185"/>
          </reference>
          <reference field="2" count="1" selected="0">
            <x v="186"/>
          </reference>
          <reference field="3" count="1">
            <x v="0"/>
          </reference>
        </references>
      </pivotArea>
    </format>
    <format dxfId="1950">
      <pivotArea dataOnly="0" labelOnly="1" fieldPosition="0">
        <references count="4">
          <reference field="0" count="1" selected="0">
            <x v="162"/>
          </reference>
          <reference field="1" count="1" selected="0">
            <x v="186"/>
          </reference>
          <reference field="2" count="1" selected="0">
            <x v="125"/>
          </reference>
          <reference field="3" count="1">
            <x v="0"/>
          </reference>
        </references>
      </pivotArea>
    </format>
    <format dxfId="1949">
      <pivotArea dataOnly="0" labelOnly="1" fieldPosition="0">
        <references count="4">
          <reference field="0" count="1" selected="0">
            <x v="164"/>
          </reference>
          <reference field="1" count="1" selected="0">
            <x v="188"/>
          </reference>
          <reference field="2" count="1" selected="0">
            <x v="119"/>
          </reference>
          <reference field="3" count="1">
            <x v="0"/>
          </reference>
        </references>
      </pivotArea>
    </format>
    <format dxfId="1948">
      <pivotArea dataOnly="0" labelOnly="1" fieldPosition="0">
        <references count="4">
          <reference field="0" count="1" selected="0">
            <x v="165"/>
          </reference>
          <reference field="1" count="1" selected="0">
            <x v="189"/>
          </reference>
          <reference field="2" count="1" selected="0">
            <x v="156"/>
          </reference>
          <reference field="3" count="1">
            <x v="0"/>
          </reference>
        </references>
      </pivotArea>
    </format>
    <format dxfId="1947">
      <pivotArea dataOnly="0" labelOnly="1" fieldPosition="0">
        <references count="4">
          <reference field="0" count="1" selected="0">
            <x v="166"/>
          </reference>
          <reference field="1" count="1" selected="0">
            <x v="190"/>
          </reference>
          <reference field="2" count="1" selected="0">
            <x v="213"/>
          </reference>
          <reference field="3" count="1">
            <x v="0"/>
          </reference>
        </references>
      </pivotArea>
    </format>
    <format dxfId="1946">
      <pivotArea dataOnly="0" labelOnly="1" fieldPosition="0">
        <references count="4">
          <reference field="0" count="1" selected="0">
            <x v="167"/>
          </reference>
          <reference field="1" count="1" selected="0">
            <x v="199"/>
          </reference>
          <reference field="2" count="1" selected="0">
            <x v="56"/>
          </reference>
          <reference field="3" count="1">
            <x v="0"/>
          </reference>
        </references>
      </pivotArea>
    </format>
    <format dxfId="1945">
      <pivotArea dataOnly="0" labelOnly="1" fieldPosition="0">
        <references count="4">
          <reference field="0" count="1" selected="0">
            <x v="168"/>
          </reference>
          <reference field="1" count="1" selected="0">
            <x v="200"/>
          </reference>
          <reference field="2" count="1" selected="0">
            <x v="9"/>
          </reference>
          <reference field="3" count="1">
            <x v="0"/>
          </reference>
        </references>
      </pivotArea>
    </format>
    <format dxfId="1944">
      <pivotArea dataOnly="0" labelOnly="1" fieldPosition="0">
        <references count="4">
          <reference field="0" count="1" selected="0">
            <x v="171"/>
          </reference>
          <reference field="1" count="1" selected="0">
            <x v="203"/>
          </reference>
          <reference field="2" count="1" selected="0">
            <x v="10"/>
          </reference>
          <reference field="3" count="1">
            <x v="0"/>
          </reference>
        </references>
      </pivotArea>
    </format>
    <format dxfId="1943">
      <pivotArea dataOnly="0" labelOnly="1" fieldPosition="0">
        <references count="4">
          <reference field="0" count="1" selected="0">
            <x v="172"/>
          </reference>
          <reference field="1" count="1" selected="0">
            <x v="204"/>
          </reference>
          <reference field="2" count="1" selected="0">
            <x v="216"/>
          </reference>
          <reference field="3" count="1">
            <x v="0"/>
          </reference>
        </references>
      </pivotArea>
    </format>
    <format dxfId="1942">
      <pivotArea dataOnly="0" labelOnly="1" fieldPosition="0">
        <references count="4">
          <reference field="0" count="1" selected="0">
            <x v="173"/>
          </reference>
          <reference field="1" count="1" selected="0">
            <x v="205"/>
          </reference>
          <reference field="2" count="1" selected="0">
            <x v="94"/>
          </reference>
          <reference field="3" count="1">
            <x v="0"/>
          </reference>
        </references>
      </pivotArea>
    </format>
    <format dxfId="1941">
      <pivotArea dataOnly="0" labelOnly="1" fieldPosition="0">
        <references count="4">
          <reference field="0" count="1" selected="0">
            <x v="175"/>
          </reference>
          <reference field="1" count="1" selected="0">
            <x v="207"/>
          </reference>
          <reference field="2" count="1" selected="0">
            <x v="172"/>
          </reference>
          <reference field="3" count="1">
            <x v="0"/>
          </reference>
        </references>
      </pivotArea>
    </format>
    <format dxfId="1940">
      <pivotArea dataOnly="0" labelOnly="1" fieldPosition="0">
        <references count="4">
          <reference field="0" count="1" selected="0">
            <x v="176"/>
          </reference>
          <reference field="1" count="1" selected="0">
            <x v="208"/>
          </reference>
          <reference field="2" count="1" selected="0">
            <x v="215"/>
          </reference>
          <reference field="3" count="1">
            <x v="0"/>
          </reference>
        </references>
      </pivotArea>
    </format>
    <format dxfId="1939">
      <pivotArea dataOnly="0" labelOnly="1" fieldPosition="0">
        <references count="4">
          <reference field="0" count="1" selected="0">
            <x v="177"/>
          </reference>
          <reference field="1" count="1" selected="0">
            <x v="209"/>
          </reference>
          <reference field="2" count="1" selected="0">
            <x v="114"/>
          </reference>
          <reference field="3" count="1">
            <x v="0"/>
          </reference>
        </references>
      </pivotArea>
    </format>
    <format dxfId="1938">
      <pivotArea dataOnly="0" labelOnly="1" fieldPosition="0">
        <references count="4">
          <reference field="0" count="1" selected="0">
            <x v="178"/>
          </reference>
          <reference field="1" count="1" selected="0">
            <x v="210"/>
          </reference>
          <reference field="2" count="1" selected="0">
            <x v="11"/>
          </reference>
          <reference field="3" count="1">
            <x v="0"/>
          </reference>
        </references>
      </pivotArea>
    </format>
    <format dxfId="1937">
      <pivotArea dataOnly="0" labelOnly="1" fieldPosition="0">
        <references count="4">
          <reference field="0" count="1" selected="0">
            <x v="179"/>
          </reference>
          <reference field="1" count="1" selected="0">
            <x v="211"/>
          </reference>
          <reference field="2" count="1" selected="0">
            <x v="96"/>
          </reference>
          <reference field="3" count="1">
            <x v="0"/>
          </reference>
        </references>
      </pivotArea>
    </format>
    <format dxfId="1936">
      <pivotArea dataOnly="0" labelOnly="1" fieldPosition="0">
        <references count="4">
          <reference field="0" count="1" selected="0">
            <x v="180"/>
          </reference>
          <reference field="1" count="1" selected="0">
            <x v="212"/>
          </reference>
          <reference field="2" count="1" selected="0">
            <x v="97"/>
          </reference>
          <reference field="3" count="1">
            <x v="0"/>
          </reference>
        </references>
      </pivotArea>
    </format>
    <format dxfId="1935">
      <pivotArea dataOnly="0" labelOnly="1" fieldPosition="0">
        <references count="4">
          <reference field="0" count="1" selected="0">
            <x v="181"/>
          </reference>
          <reference field="1" count="1" selected="0">
            <x v="213"/>
          </reference>
          <reference field="2" count="1" selected="0">
            <x v="234"/>
          </reference>
          <reference field="3" count="1">
            <x v="0"/>
          </reference>
        </references>
      </pivotArea>
    </format>
    <format dxfId="1934">
      <pivotArea dataOnly="0" labelOnly="1" fieldPosition="0">
        <references count="4">
          <reference field="0" count="1" selected="0">
            <x v="182"/>
          </reference>
          <reference field="1" count="1" selected="0">
            <x v="214"/>
          </reference>
          <reference field="2" count="1" selected="0">
            <x v="235"/>
          </reference>
          <reference field="3" count="1">
            <x v="0"/>
          </reference>
        </references>
      </pivotArea>
    </format>
    <format dxfId="1933">
      <pivotArea dataOnly="0" labelOnly="1" fieldPosition="0">
        <references count="4">
          <reference field="0" count="1" selected="0">
            <x v="183"/>
          </reference>
          <reference field="1" count="1" selected="0">
            <x v="215"/>
          </reference>
          <reference field="2" count="1" selected="0">
            <x v="206"/>
          </reference>
          <reference field="3" count="1">
            <x v="0"/>
          </reference>
        </references>
      </pivotArea>
    </format>
    <format dxfId="1932">
      <pivotArea dataOnly="0" labelOnly="1" fieldPosition="0">
        <references count="4">
          <reference field="0" count="1" selected="0">
            <x v="184"/>
          </reference>
          <reference field="1" count="1" selected="0">
            <x v="216"/>
          </reference>
          <reference field="2" count="1" selected="0">
            <x v="111"/>
          </reference>
          <reference field="3" count="1">
            <x v="0"/>
          </reference>
        </references>
      </pivotArea>
    </format>
    <format dxfId="1931">
      <pivotArea dataOnly="0" labelOnly="1" fieldPosition="0">
        <references count="4">
          <reference field="0" count="1" selected="0">
            <x v="185"/>
          </reference>
          <reference field="1" count="1" selected="0">
            <x v="217"/>
          </reference>
          <reference field="2" count="1" selected="0">
            <x v="113"/>
          </reference>
          <reference field="3" count="1">
            <x v="0"/>
          </reference>
        </references>
      </pivotArea>
    </format>
    <format dxfId="1930">
      <pivotArea dataOnly="0" labelOnly="1" fieldPosition="0">
        <references count="4">
          <reference field="0" count="1" selected="0">
            <x v="186"/>
          </reference>
          <reference field="1" count="1" selected="0">
            <x v="218"/>
          </reference>
          <reference field="2" count="1" selected="0">
            <x v="93"/>
          </reference>
          <reference field="3" count="1">
            <x v="0"/>
          </reference>
        </references>
      </pivotArea>
    </format>
    <format dxfId="1929">
      <pivotArea dataOnly="0" labelOnly="1" fieldPosition="0">
        <references count="4">
          <reference field="0" count="1" selected="0">
            <x v="187"/>
          </reference>
          <reference field="1" count="1" selected="0">
            <x v="219"/>
          </reference>
          <reference field="2" count="1" selected="0">
            <x v="104"/>
          </reference>
          <reference field="3" count="1">
            <x v="0"/>
          </reference>
        </references>
      </pivotArea>
    </format>
    <format dxfId="1928">
      <pivotArea dataOnly="0" labelOnly="1" fieldPosition="0">
        <references count="4">
          <reference field="0" count="1" selected="0">
            <x v="188"/>
          </reference>
          <reference field="1" count="1" selected="0">
            <x v="220"/>
          </reference>
          <reference field="2" count="1" selected="0">
            <x v="196"/>
          </reference>
          <reference field="3" count="1">
            <x v="0"/>
          </reference>
        </references>
      </pivotArea>
    </format>
    <format dxfId="1927">
      <pivotArea dataOnly="0" labelOnly="1" fieldPosition="0">
        <references count="4">
          <reference field="0" count="1" selected="0">
            <x v="189"/>
          </reference>
          <reference field="1" count="1" selected="0">
            <x v="221"/>
          </reference>
          <reference field="2" count="1" selected="0">
            <x v="182"/>
          </reference>
          <reference field="3" count="1">
            <x v="0"/>
          </reference>
        </references>
      </pivotArea>
    </format>
    <format dxfId="1926">
      <pivotArea dataOnly="0" labelOnly="1" fieldPosition="0">
        <references count="4">
          <reference field="0" count="1" selected="0">
            <x v="192"/>
          </reference>
          <reference field="1" count="1" selected="0">
            <x v="224"/>
          </reference>
          <reference field="2" count="1" selected="0">
            <x v="80"/>
          </reference>
          <reference field="3" count="1">
            <x v="0"/>
          </reference>
        </references>
      </pivotArea>
    </format>
    <format dxfId="1925">
      <pivotArea dataOnly="0" labelOnly="1" fieldPosition="0">
        <references count="4">
          <reference field="0" count="1" selected="0">
            <x v="193"/>
          </reference>
          <reference field="1" count="1" selected="0">
            <x v="225"/>
          </reference>
          <reference field="2" count="1" selected="0">
            <x v="238"/>
          </reference>
          <reference field="3" count="1">
            <x v="0"/>
          </reference>
        </references>
      </pivotArea>
    </format>
    <format dxfId="1924">
      <pivotArea dataOnly="0" labelOnly="1" fieldPosition="0">
        <references count="4">
          <reference field="0" count="1" selected="0">
            <x v="197"/>
          </reference>
          <reference field="1" count="1" selected="0">
            <x v="236"/>
          </reference>
          <reference field="2" count="1" selected="0">
            <x v="102"/>
          </reference>
          <reference field="3" count="1">
            <x v="0"/>
          </reference>
        </references>
      </pivotArea>
    </format>
    <format dxfId="1923">
      <pivotArea dataOnly="0" labelOnly="1" fieldPosition="0">
        <references count="4">
          <reference field="0" count="1" selected="0">
            <x v="199"/>
          </reference>
          <reference field="1" count="1" selected="0">
            <x v="238"/>
          </reference>
          <reference field="2" count="1" selected="0">
            <x v="33"/>
          </reference>
          <reference field="3" count="1">
            <x v="0"/>
          </reference>
        </references>
      </pivotArea>
    </format>
    <format dxfId="1922">
      <pivotArea dataOnly="0" labelOnly="1" fieldPosition="0">
        <references count="4">
          <reference field="0" count="1" selected="0">
            <x v="200"/>
          </reference>
          <reference field="1" count="1" selected="0">
            <x v="239"/>
          </reference>
          <reference field="2" count="1" selected="0">
            <x v="34"/>
          </reference>
          <reference field="3" count="1">
            <x v="0"/>
          </reference>
        </references>
      </pivotArea>
    </format>
    <format dxfId="1921">
      <pivotArea dataOnly="0" labelOnly="1" fieldPosition="0">
        <references count="4">
          <reference field="0" count="1" selected="0">
            <x v="201"/>
          </reference>
          <reference field="1" count="1" selected="0">
            <x v="240"/>
          </reference>
          <reference field="2" count="1" selected="0">
            <x v="37"/>
          </reference>
          <reference field="3" count="1">
            <x v="0"/>
          </reference>
        </references>
      </pivotArea>
    </format>
    <format dxfId="1920">
      <pivotArea dataOnly="0" labelOnly="1" fieldPosition="0">
        <references count="4">
          <reference field="0" count="1" selected="0">
            <x v="204"/>
          </reference>
          <reference field="1" count="1" selected="0">
            <x v="149"/>
          </reference>
          <reference field="2" count="1" selected="0">
            <x v="117"/>
          </reference>
          <reference field="3" count="1">
            <x v="0"/>
          </reference>
        </references>
      </pivotArea>
    </format>
    <format dxfId="1919">
      <pivotArea dataOnly="0" labelOnly="1" fieldPosition="0">
        <references count="4">
          <reference field="0" count="1" selected="0">
            <x v="206"/>
          </reference>
          <reference field="1" count="1" selected="0">
            <x v="151"/>
          </reference>
          <reference field="2" count="1" selected="0">
            <x v="159"/>
          </reference>
          <reference field="3" count="1">
            <x v="0"/>
          </reference>
        </references>
      </pivotArea>
    </format>
    <format dxfId="1918">
      <pivotArea dataOnly="0" labelOnly="1" fieldPosition="0">
        <references count="4">
          <reference field="0" count="1" selected="0">
            <x v="207"/>
          </reference>
          <reference field="1" count="1" selected="0">
            <x v="152"/>
          </reference>
          <reference field="2" count="1" selected="0">
            <x v="81"/>
          </reference>
          <reference field="3" count="1">
            <x v="0"/>
          </reference>
        </references>
      </pivotArea>
    </format>
    <format dxfId="1917">
      <pivotArea dataOnly="0" labelOnly="1" fieldPosition="0">
        <references count="4">
          <reference field="0" count="1" selected="0">
            <x v="208"/>
          </reference>
          <reference field="1" count="1" selected="0">
            <x v="153"/>
          </reference>
          <reference field="2" count="1" selected="0">
            <x v="103"/>
          </reference>
          <reference field="3" count="1">
            <x v="0"/>
          </reference>
        </references>
      </pivotArea>
    </format>
    <format dxfId="1916">
      <pivotArea dataOnly="0" labelOnly="1" fieldPosition="0">
        <references count="4">
          <reference field="0" count="1" selected="0">
            <x v="209"/>
          </reference>
          <reference field="1" count="1" selected="0">
            <x v="154"/>
          </reference>
          <reference field="2" count="1" selected="0">
            <x v="98"/>
          </reference>
          <reference field="3" count="1">
            <x v="0"/>
          </reference>
        </references>
      </pivotArea>
    </format>
    <format dxfId="1915">
      <pivotArea dataOnly="0" labelOnly="1" fieldPosition="0">
        <references count="4">
          <reference field="0" count="1" selected="0">
            <x v="210"/>
          </reference>
          <reference field="1" count="1" selected="0">
            <x v="155"/>
          </reference>
          <reference field="2" count="1" selected="0">
            <x v="162"/>
          </reference>
          <reference field="3" count="1">
            <x v="0"/>
          </reference>
        </references>
      </pivotArea>
    </format>
    <format dxfId="1914">
      <pivotArea dataOnly="0" labelOnly="1" fieldPosition="0">
        <references count="4">
          <reference field="0" count="1" selected="0">
            <x v="211"/>
          </reference>
          <reference field="1" count="1" selected="0">
            <x v="156"/>
          </reference>
          <reference field="2" count="1" selected="0">
            <x v="164"/>
          </reference>
          <reference field="3" count="1">
            <x v="0"/>
          </reference>
        </references>
      </pivotArea>
    </format>
    <format dxfId="1913">
      <pivotArea dataOnly="0" labelOnly="1" fieldPosition="0">
        <references count="4">
          <reference field="0" count="1" selected="0">
            <x v="212"/>
          </reference>
          <reference field="1" count="1" selected="0">
            <x v="157"/>
          </reference>
          <reference field="2" count="1" selected="0">
            <x v="170"/>
          </reference>
          <reference field="3" count="1">
            <x v="0"/>
          </reference>
        </references>
      </pivotArea>
    </format>
    <format dxfId="1912">
      <pivotArea dataOnly="0" labelOnly="1" fieldPosition="0">
        <references count="4">
          <reference field="0" count="1" selected="0">
            <x v="214"/>
          </reference>
          <reference field="1" count="1" selected="0">
            <x v="159"/>
          </reference>
          <reference field="2" count="1" selected="0">
            <x v="139"/>
          </reference>
          <reference field="3" count="1">
            <x v="0"/>
          </reference>
        </references>
      </pivotArea>
    </format>
    <format dxfId="1911">
      <pivotArea dataOnly="0" labelOnly="1" fieldPosition="0">
        <references count="4">
          <reference field="0" count="1" selected="0">
            <x v="215"/>
          </reference>
          <reference field="1" count="1" selected="0">
            <x v="160"/>
          </reference>
          <reference field="2" count="1" selected="0">
            <x v="137"/>
          </reference>
          <reference field="3" count="1">
            <x v="0"/>
          </reference>
        </references>
      </pivotArea>
    </format>
    <format dxfId="1910">
      <pivotArea dataOnly="0" labelOnly="1" fieldPosition="0">
        <references count="4">
          <reference field="0" count="1" selected="0">
            <x v="216"/>
          </reference>
          <reference field="1" count="1" selected="0">
            <x v="161"/>
          </reference>
          <reference field="2" count="1" selected="0">
            <x v="136"/>
          </reference>
          <reference field="3" count="1">
            <x v="0"/>
          </reference>
        </references>
      </pivotArea>
    </format>
    <format dxfId="1909">
      <pivotArea dataOnly="0" labelOnly="1" fieldPosition="0">
        <references count="4">
          <reference field="0" count="1" selected="0">
            <x v="217"/>
          </reference>
          <reference field="1" count="1" selected="0">
            <x v="162"/>
          </reference>
          <reference field="2" count="1" selected="0">
            <x v="13"/>
          </reference>
          <reference field="3" count="1">
            <x v="0"/>
          </reference>
        </references>
      </pivotArea>
    </format>
    <format dxfId="1908">
      <pivotArea dataOnly="0" labelOnly="1" fieldPosition="0">
        <references count="4">
          <reference field="0" count="1" selected="0">
            <x v="218"/>
          </reference>
          <reference field="1" count="1" selected="0">
            <x v="163"/>
          </reference>
          <reference field="2" count="1" selected="0">
            <x v="179"/>
          </reference>
          <reference field="3" count="1">
            <x v="0"/>
          </reference>
        </references>
      </pivotArea>
    </format>
    <format dxfId="1907">
      <pivotArea dataOnly="0" labelOnly="1" fieldPosition="0">
        <references count="4">
          <reference field="0" count="1" selected="0">
            <x v="219"/>
          </reference>
          <reference field="1" count="1" selected="0">
            <x v="164"/>
          </reference>
          <reference field="2" count="1" selected="0">
            <x v="138"/>
          </reference>
          <reference field="3" count="1">
            <x v="0"/>
          </reference>
        </references>
      </pivotArea>
    </format>
    <format dxfId="1906">
      <pivotArea dataOnly="0" labelOnly="1" fieldPosition="0">
        <references count="4">
          <reference field="0" count="1" selected="0">
            <x v="220"/>
          </reference>
          <reference field="1" count="1" selected="0">
            <x v="165"/>
          </reference>
          <reference field="2" count="1" selected="0">
            <x v="142"/>
          </reference>
          <reference field="3" count="1">
            <x v="0"/>
          </reference>
        </references>
      </pivotArea>
    </format>
    <format dxfId="1905">
      <pivotArea dataOnly="0" labelOnly="1" fieldPosition="0">
        <references count="4">
          <reference field="0" count="1" selected="0">
            <x v="221"/>
          </reference>
          <reference field="1" count="1" selected="0">
            <x v="166"/>
          </reference>
          <reference field="2" count="1" selected="0">
            <x v="143"/>
          </reference>
          <reference field="3" count="1">
            <x v="0"/>
          </reference>
        </references>
      </pivotArea>
    </format>
    <format dxfId="1904">
      <pivotArea dataOnly="0" labelOnly="1" fieldPosition="0">
        <references count="4">
          <reference field="0" count="1" selected="0">
            <x v="223"/>
          </reference>
          <reference field="1" count="1" selected="0">
            <x v="168"/>
          </reference>
          <reference field="2" count="1" selected="0">
            <x v="71"/>
          </reference>
          <reference field="3" count="1">
            <x v="0"/>
          </reference>
        </references>
      </pivotArea>
    </format>
    <format dxfId="1903">
      <pivotArea dataOnly="0" labelOnly="1" fieldPosition="0">
        <references count="4">
          <reference field="0" count="1" selected="0">
            <x v="224"/>
          </reference>
          <reference field="1" count="1" selected="0">
            <x v="169"/>
          </reference>
          <reference field="2" count="1" selected="0">
            <x v="121"/>
          </reference>
          <reference field="3" count="1">
            <x v="0"/>
          </reference>
        </references>
      </pivotArea>
    </format>
    <format dxfId="1902">
      <pivotArea dataOnly="0" labelOnly="1" fieldPosition="0">
        <references count="4">
          <reference field="0" count="1" selected="0">
            <x v="225"/>
          </reference>
          <reference field="1" count="1" selected="0">
            <x v="170"/>
          </reference>
          <reference field="2" count="1" selected="0">
            <x v="120"/>
          </reference>
          <reference field="3" count="1">
            <x v="0"/>
          </reference>
        </references>
      </pivotArea>
    </format>
    <format dxfId="1901">
      <pivotArea dataOnly="0" labelOnly="1" fieldPosition="0">
        <references count="4">
          <reference field="0" count="1" selected="0">
            <x v="226"/>
          </reference>
          <reference field="1" count="1" selected="0">
            <x v="171"/>
          </reference>
          <reference field="2" count="1" selected="0">
            <x v="41"/>
          </reference>
          <reference field="3" count="1">
            <x v="0"/>
          </reference>
        </references>
      </pivotArea>
    </format>
    <format dxfId="1900">
      <pivotArea dataOnly="0" labelOnly="1" fieldPosition="0">
        <references count="4">
          <reference field="0" count="1" selected="0">
            <x v="227"/>
          </reference>
          <reference field="1" count="1" selected="0">
            <x v="172"/>
          </reference>
          <reference field="2" count="1" selected="0">
            <x v="42"/>
          </reference>
          <reference field="3" count="1">
            <x v="0"/>
          </reference>
        </references>
      </pivotArea>
    </format>
    <format dxfId="1899">
      <pivotArea dataOnly="0" labelOnly="1" fieldPosition="0">
        <references count="4">
          <reference field="0" count="1" selected="0">
            <x v="228"/>
          </reference>
          <reference field="1" count="1" selected="0">
            <x v="173"/>
          </reference>
          <reference field="2" count="1" selected="0">
            <x v="145"/>
          </reference>
          <reference field="3" count="1">
            <x v="0"/>
          </reference>
        </references>
      </pivotArea>
    </format>
    <format dxfId="1898">
      <pivotArea dataOnly="0" labelOnly="1" fieldPosition="0">
        <references count="4">
          <reference field="0" count="1" selected="0">
            <x v="229"/>
          </reference>
          <reference field="1" count="1" selected="0">
            <x v="174"/>
          </reference>
          <reference field="2" count="1" selected="0">
            <x v="91"/>
          </reference>
          <reference field="3" count="1">
            <x v="0"/>
          </reference>
        </references>
      </pivotArea>
    </format>
    <format dxfId="1897">
      <pivotArea dataOnly="0" labelOnly="1" fieldPosition="0">
        <references count="4">
          <reference field="0" count="1" selected="0">
            <x v="230"/>
          </reference>
          <reference field="1" count="1" selected="0">
            <x v="175"/>
          </reference>
          <reference field="2" count="1" selected="0">
            <x v="160"/>
          </reference>
          <reference field="3" count="1">
            <x v="0"/>
          </reference>
        </references>
      </pivotArea>
    </format>
    <format dxfId="1896">
      <pivotArea dataOnly="0" labelOnly="1" fieldPosition="0">
        <references count="4">
          <reference field="0" count="1" selected="0">
            <x v="231"/>
          </reference>
          <reference field="1" count="1" selected="0">
            <x v="176"/>
          </reference>
          <reference field="2" count="1" selected="0">
            <x v="42"/>
          </reference>
          <reference field="3" count="1">
            <x v="0"/>
          </reference>
        </references>
      </pivotArea>
    </format>
    <format dxfId="1895">
      <pivotArea dataOnly="0" labelOnly="1" fieldPosition="0">
        <references count="4">
          <reference field="0" count="1" selected="0">
            <x v="232"/>
          </reference>
          <reference field="1" count="1" selected="0">
            <x v="177"/>
          </reference>
          <reference field="2" count="1" selected="0">
            <x v="47"/>
          </reference>
          <reference field="3" count="1">
            <x v="0"/>
          </reference>
        </references>
      </pivotArea>
    </format>
    <format dxfId="1894">
      <pivotArea dataOnly="0" labelOnly="1" fieldPosition="0">
        <references count="4">
          <reference field="0" count="1" selected="0">
            <x v="233"/>
          </reference>
          <reference field="1" count="1" selected="0">
            <x v="178"/>
          </reference>
          <reference field="2" count="1" selected="0">
            <x v="32"/>
          </reference>
          <reference field="3" count="1">
            <x v="0"/>
          </reference>
        </references>
      </pivotArea>
    </format>
    <format dxfId="1893">
      <pivotArea dataOnly="0" labelOnly="1" fieldPosition="0">
        <references count="4">
          <reference field="0" count="1" selected="0">
            <x v="234"/>
          </reference>
          <reference field="1" count="1" selected="0">
            <x v="179"/>
          </reference>
          <reference field="2" count="1" selected="0">
            <x v="163"/>
          </reference>
          <reference field="3" count="1">
            <x v="0"/>
          </reference>
        </references>
      </pivotArea>
    </format>
    <format dxfId="1892">
      <pivotArea dataOnly="0" labelOnly="1" fieldPosition="0">
        <references count="4">
          <reference field="0" count="1" selected="0">
            <x v="235"/>
          </reference>
          <reference field="1" count="1" selected="0">
            <x v="191"/>
          </reference>
          <reference field="2" count="1" selected="0">
            <x v="155"/>
          </reference>
          <reference field="3" count="1">
            <x v="0"/>
          </reference>
        </references>
      </pivotArea>
    </format>
    <format dxfId="1891">
      <pivotArea dataOnly="0" labelOnly="1" fieldPosition="0">
        <references count="4">
          <reference field="0" count="1" selected="0">
            <x v="236"/>
          </reference>
          <reference field="1" count="1" selected="0">
            <x v="192"/>
          </reference>
          <reference field="2" count="1" selected="0">
            <x v="27"/>
          </reference>
          <reference field="3" count="1">
            <x v="0"/>
          </reference>
        </references>
      </pivotArea>
    </format>
    <format dxfId="1890">
      <pivotArea dataOnly="0" labelOnly="1" fieldPosition="0">
        <references count="4">
          <reference field="0" count="1" selected="0">
            <x v="237"/>
          </reference>
          <reference field="1" count="1" selected="0">
            <x v="193"/>
          </reference>
          <reference field="2" count="1" selected="0">
            <x v="89"/>
          </reference>
          <reference field="3" count="1">
            <x v="0"/>
          </reference>
        </references>
      </pivotArea>
    </format>
    <format dxfId="1889">
      <pivotArea dataOnly="0" labelOnly="1" fieldPosition="0">
        <references count="4">
          <reference field="0" count="1" selected="0">
            <x v="238"/>
          </reference>
          <reference field="1" count="1" selected="0">
            <x v="194"/>
          </reference>
          <reference field="2" count="1" selected="0">
            <x v="25"/>
          </reference>
          <reference field="3" count="1">
            <x v="0"/>
          </reference>
        </references>
      </pivotArea>
    </format>
    <format dxfId="1888">
      <pivotArea dataOnly="0" labelOnly="1" fieldPosition="0">
        <references count="4">
          <reference field="0" count="1" selected="0">
            <x v="239"/>
          </reference>
          <reference field="1" count="1" selected="0">
            <x v="195"/>
          </reference>
          <reference field="2" count="1" selected="0">
            <x v="28"/>
          </reference>
          <reference field="3" count="1">
            <x v="0"/>
          </reference>
        </references>
      </pivotArea>
    </format>
    <format dxfId="1887">
      <pivotArea dataOnly="0" labelOnly="1" fieldPosition="0">
        <references count="4">
          <reference field="0" count="1" selected="0">
            <x v="240"/>
          </reference>
          <reference field="1" count="1" selected="0">
            <x v="196"/>
          </reference>
          <reference field="2" count="1" selected="0">
            <x v="40"/>
          </reference>
          <reference field="3" count="1">
            <x v="0"/>
          </reference>
        </references>
      </pivotArea>
    </format>
    <format dxfId="1886">
      <pivotArea dataOnly="0" labelOnly="1" fieldPosition="0">
        <references count="4">
          <reference field="0" count="1" selected="0">
            <x v="241"/>
          </reference>
          <reference field="1" count="1" selected="0">
            <x v="197"/>
          </reference>
          <reference field="2" count="1" selected="0">
            <x v="195"/>
          </reference>
          <reference field="3" count="1">
            <x v="0"/>
          </reference>
        </references>
      </pivotArea>
    </format>
    <format dxfId="1885">
      <pivotArea dataOnly="0" labelOnly="1" fieldPosition="0">
        <references count="4">
          <reference field="0" count="1" selected="0">
            <x v="242"/>
          </reference>
          <reference field="1" count="1" selected="0">
            <x v="198"/>
          </reference>
          <reference field="2" count="1" selected="0">
            <x v="132"/>
          </reference>
          <reference field="3" count="1">
            <x v="0"/>
          </reference>
        </references>
      </pivotArea>
    </format>
    <format dxfId="1884">
      <pivotArea dataOnly="0" labelOnly="1" fieldPosition="0">
        <references count="5">
          <reference field="0" count="1" selected="0">
            <x v="0"/>
          </reference>
          <reference field="1" count="1" selected="0">
            <x v="228"/>
          </reference>
          <reference field="2" count="1" selected="0">
            <x v="153"/>
          </reference>
          <reference field="3" count="1" selected="0">
            <x v="0"/>
          </reference>
          <reference field="12" count="1">
            <x v="7"/>
          </reference>
        </references>
      </pivotArea>
    </format>
    <format dxfId="1883">
      <pivotArea dataOnly="0" labelOnly="1" fieldPosition="0">
        <references count="5">
          <reference field="0" count="1" selected="0">
            <x v="2"/>
          </reference>
          <reference field="1" count="1" selected="0">
            <x v="230"/>
          </reference>
          <reference field="2" count="1" selected="0">
            <x v="225"/>
          </reference>
          <reference field="3" count="1" selected="0">
            <x v="0"/>
          </reference>
          <reference field="12" count="1">
            <x v="7"/>
          </reference>
        </references>
      </pivotArea>
    </format>
    <format dxfId="1882">
      <pivotArea dataOnly="0" labelOnly="1" fieldPosition="0">
        <references count="5">
          <reference field="0" count="1" selected="0">
            <x v="3"/>
          </reference>
          <reference field="1" count="1" selected="0">
            <x v="231"/>
          </reference>
          <reference field="2" count="1" selected="0">
            <x v="88"/>
          </reference>
          <reference field="3" count="1" selected="0">
            <x v="0"/>
          </reference>
          <reference field="12" count="1">
            <x v="3"/>
          </reference>
        </references>
      </pivotArea>
    </format>
    <format dxfId="1881">
      <pivotArea dataOnly="0" labelOnly="1" fieldPosition="0">
        <references count="5">
          <reference field="0" count="1" selected="0">
            <x v="4"/>
          </reference>
          <reference field="1" count="1" selected="0">
            <x v="232"/>
          </reference>
          <reference field="2" count="1" selected="0">
            <x v="90"/>
          </reference>
          <reference field="3" count="1" selected="0">
            <x v="0"/>
          </reference>
          <reference field="12" count="1">
            <x v="3"/>
          </reference>
        </references>
      </pivotArea>
    </format>
    <format dxfId="1880">
      <pivotArea dataOnly="0" labelOnly="1" fieldPosition="0">
        <references count="5">
          <reference field="0" count="1" selected="0">
            <x v="5"/>
          </reference>
          <reference field="1" count="1" selected="0">
            <x v="233"/>
          </reference>
          <reference field="2" count="1" selected="0">
            <x v="224"/>
          </reference>
          <reference field="3" count="1" selected="0">
            <x v="0"/>
          </reference>
          <reference field="12" count="1">
            <x v="7"/>
          </reference>
        </references>
      </pivotArea>
    </format>
    <format dxfId="1879">
      <pivotArea dataOnly="0" labelOnly="1" fieldPosition="0">
        <references count="5">
          <reference field="0" count="1" selected="0">
            <x v="7"/>
          </reference>
          <reference field="1" count="1" selected="0">
            <x v="118"/>
          </reference>
          <reference field="2" count="1" selected="0">
            <x v="171"/>
          </reference>
          <reference field="3" count="1" selected="0">
            <x v="0"/>
          </reference>
          <reference field="12" count="1">
            <x v="0"/>
          </reference>
        </references>
      </pivotArea>
    </format>
    <format dxfId="1878">
      <pivotArea dataOnly="0" labelOnly="1" fieldPosition="0">
        <references count="5">
          <reference field="0" count="1" selected="0">
            <x v="9"/>
          </reference>
          <reference field="1" count="1" selected="0">
            <x v="120"/>
          </reference>
          <reference field="2" count="1" selected="0">
            <x v="168"/>
          </reference>
          <reference field="3" count="1" selected="0">
            <x v="0"/>
          </reference>
          <reference field="12" count="1">
            <x v="0"/>
          </reference>
        </references>
      </pivotArea>
    </format>
    <format dxfId="1877">
      <pivotArea dataOnly="0" labelOnly="1" fieldPosition="0">
        <references count="5">
          <reference field="0" count="1" selected="0">
            <x v="10"/>
          </reference>
          <reference field="1" count="1" selected="0">
            <x v="121"/>
          </reference>
          <reference field="2" count="1" selected="0">
            <x v="82"/>
          </reference>
          <reference field="3" count="1" selected="0">
            <x v="0"/>
          </reference>
          <reference field="12" count="1">
            <x v="0"/>
          </reference>
        </references>
      </pivotArea>
    </format>
    <format dxfId="1876">
      <pivotArea dataOnly="0" labelOnly="1" fieldPosition="0">
        <references count="5">
          <reference field="0" count="1" selected="0">
            <x v="11"/>
          </reference>
          <reference field="1" count="1" selected="0">
            <x v="122"/>
          </reference>
          <reference field="2" count="1" selected="0">
            <x v="26"/>
          </reference>
          <reference field="3" count="1" selected="0">
            <x v="0"/>
          </reference>
          <reference field="12" count="1">
            <x v="0"/>
          </reference>
        </references>
      </pivotArea>
    </format>
    <format dxfId="1875">
      <pivotArea dataOnly="0" labelOnly="1" fieldPosition="0">
        <references count="5">
          <reference field="0" count="1" selected="0">
            <x v="12"/>
          </reference>
          <reference field="1" count="1" selected="0">
            <x v="123"/>
          </reference>
          <reference field="2" count="1" selected="0">
            <x v="150"/>
          </reference>
          <reference field="3" count="1" selected="0">
            <x v="0"/>
          </reference>
          <reference field="12" count="1">
            <x v="0"/>
          </reference>
        </references>
      </pivotArea>
    </format>
    <format dxfId="1874">
      <pivotArea dataOnly="0" labelOnly="1" fieldPosition="0">
        <references count="5">
          <reference field="0" count="1" selected="0">
            <x v="16"/>
          </reference>
          <reference field="1" count="1" selected="0">
            <x v="64"/>
          </reference>
          <reference field="2" count="1" selected="0">
            <x v="157"/>
          </reference>
          <reference field="3" count="1" selected="0">
            <x v="0"/>
          </reference>
          <reference field="12" count="1">
            <x v="7"/>
          </reference>
        </references>
      </pivotArea>
    </format>
    <format dxfId="1873">
      <pivotArea dataOnly="0" labelOnly="1" fieldPosition="0">
        <references count="5">
          <reference field="0" count="1" selected="0">
            <x v="18"/>
          </reference>
          <reference field="1" count="1" selected="0">
            <x v="66"/>
          </reference>
          <reference field="2" count="1" selected="0">
            <x v="189"/>
          </reference>
          <reference field="3" count="1" selected="0">
            <x v="0"/>
          </reference>
          <reference field="12" count="1">
            <x v="7"/>
          </reference>
        </references>
      </pivotArea>
    </format>
    <format dxfId="1872">
      <pivotArea dataOnly="0" labelOnly="1" fieldPosition="0">
        <references count="5">
          <reference field="0" count="1" selected="0">
            <x v="22"/>
          </reference>
          <reference field="1" count="1" selected="0">
            <x v="19"/>
          </reference>
          <reference field="2" count="1" selected="0">
            <x v="39"/>
          </reference>
          <reference field="3" count="1" selected="0">
            <x v="0"/>
          </reference>
          <reference field="12" count="1">
            <x v="9"/>
          </reference>
        </references>
      </pivotArea>
    </format>
    <format dxfId="1871">
      <pivotArea dataOnly="0" labelOnly="1" fieldPosition="0">
        <references count="5">
          <reference field="0" count="1" selected="0">
            <x v="25"/>
          </reference>
          <reference field="1" count="1" selected="0">
            <x v="22"/>
          </reference>
          <reference field="2" count="1" selected="0">
            <x v="84"/>
          </reference>
          <reference field="3" count="1" selected="0">
            <x v="0"/>
          </reference>
          <reference field="12" count="1">
            <x v="9"/>
          </reference>
        </references>
      </pivotArea>
    </format>
    <format dxfId="1870">
      <pivotArea dataOnly="0" labelOnly="1" fieldPosition="0">
        <references count="5">
          <reference field="0" count="1" selected="0">
            <x v="26"/>
          </reference>
          <reference field="1" count="1" selected="0">
            <x v="23"/>
          </reference>
          <reference field="2" count="1" selected="0">
            <x v="217"/>
          </reference>
          <reference field="3" count="1" selected="0">
            <x v="0"/>
          </reference>
          <reference field="12" count="1">
            <x v="5"/>
          </reference>
        </references>
      </pivotArea>
    </format>
    <format dxfId="1869">
      <pivotArea dataOnly="0" labelOnly="1" fieldPosition="0">
        <references count="5">
          <reference field="0" count="1" selected="0">
            <x v="28"/>
          </reference>
          <reference field="1" count="1" selected="0">
            <x v="25"/>
          </reference>
          <reference field="2" count="1" selected="0">
            <x v="52"/>
          </reference>
          <reference field="3" count="1" selected="0">
            <x v="0"/>
          </reference>
          <reference field="12" count="1">
            <x v="0"/>
          </reference>
        </references>
      </pivotArea>
    </format>
    <format dxfId="1868">
      <pivotArea dataOnly="0" labelOnly="1" fieldPosition="0">
        <references count="5">
          <reference field="0" count="1" selected="0">
            <x v="29"/>
          </reference>
          <reference field="1" count="1" selected="0">
            <x v="26"/>
          </reference>
          <reference field="2" count="1" selected="0">
            <x v="62"/>
          </reference>
          <reference field="3" count="1" selected="0">
            <x v="0"/>
          </reference>
          <reference field="12" count="1">
            <x v="15"/>
          </reference>
        </references>
      </pivotArea>
    </format>
    <format dxfId="1867">
      <pivotArea dataOnly="0" labelOnly="1" fieldPosition="0">
        <references count="5">
          <reference field="0" count="1" selected="0">
            <x v="30"/>
          </reference>
          <reference field="1" count="1" selected="0">
            <x v="27"/>
          </reference>
          <reference field="2" count="1" selected="0">
            <x v="7"/>
          </reference>
          <reference field="3" count="1" selected="0">
            <x v="0"/>
          </reference>
          <reference field="12" count="1">
            <x v="15"/>
          </reference>
        </references>
      </pivotArea>
    </format>
    <format dxfId="1866">
      <pivotArea dataOnly="0" labelOnly="1" fieldPosition="0">
        <references count="5">
          <reference field="0" count="1" selected="0">
            <x v="31"/>
          </reference>
          <reference field="1" count="1" selected="0">
            <x v="28"/>
          </reference>
          <reference field="2" count="1" selected="0">
            <x v="53"/>
          </reference>
          <reference field="3" count="1" selected="0">
            <x v="0"/>
          </reference>
          <reference field="12" count="1">
            <x v="7"/>
          </reference>
        </references>
      </pivotArea>
    </format>
    <format dxfId="1865">
      <pivotArea dataOnly="0" labelOnly="1" fieldPosition="0">
        <references count="5">
          <reference field="0" count="1" selected="0">
            <x v="35"/>
          </reference>
          <reference field="1" count="1" selected="0">
            <x v="32"/>
          </reference>
          <reference field="2" count="1" selected="0">
            <x v="51"/>
          </reference>
          <reference field="3" count="1" selected="0">
            <x v="0"/>
          </reference>
          <reference field="12" count="1">
            <x v="9"/>
          </reference>
        </references>
      </pivotArea>
    </format>
    <format dxfId="1864">
      <pivotArea dataOnly="0" labelOnly="1" fieldPosition="0">
        <references count="5">
          <reference field="0" count="1" selected="0">
            <x v="36"/>
          </reference>
          <reference field="1" count="1" selected="0">
            <x v="33"/>
          </reference>
          <reference field="2" count="1" selected="0">
            <x v="130"/>
          </reference>
          <reference field="3" count="1" selected="0">
            <x v="0"/>
          </reference>
          <reference field="12" count="1">
            <x v="22"/>
          </reference>
        </references>
      </pivotArea>
    </format>
    <format dxfId="1863">
      <pivotArea dataOnly="0" labelOnly="1" fieldPosition="0">
        <references count="5">
          <reference field="0" count="1" selected="0">
            <x v="37"/>
          </reference>
          <reference field="1" count="1" selected="0">
            <x v="34"/>
          </reference>
          <reference field="2" count="1" selected="0">
            <x v="70"/>
          </reference>
          <reference field="3" count="1" selected="0">
            <x v="0"/>
          </reference>
          <reference field="12" count="1">
            <x v="10"/>
          </reference>
        </references>
      </pivotArea>
    </format>
    <format dxfId="1862">
      <pivotArea dataOnly="0" labelOnly="1" fieldPosition="0">
        <references count="5">
          <reference field="0" count="1" selected="0">
            <x v="38"/>
          </reference>
          <reference field="1" count="1" selected="0">
            <x v="0"/>
          </reference>
          <reference field="2" count="1" selected="0">
            <x v="45"/>
          </reference>
          <reference field="3" count="1" selected="0">
            <x v="0"/>
          </reference>
          <reference field="12" count="1">
            <x v="10"/>
          </reference>
        </references>
      </pivotArea>
    </format>
    <format dxfId="1861">
      <pivotArea dataOnly="0" labelOnly="1" fieldPosition="0">
        <references count="5">
          <reference field="0" count="1" selected="0">
            <x v="39"/>
          </reference>
          <reference field="1" count="1" selected="0">
            <x v="1"/>
          </reference>
          <reference field="2" count="1" selected="0">
            <x v="46"/>
          </reference>
          <reference field="3" count="1" selected="0">
            <x v="0"/>
          </reference>
          <reference field="12" count="1">
            <x v="10"/>
          </reference>
        </references>
      </pivotArea>
    </format>
    <format dxfId="1860">
      <pivotArea dataOnly="0" labelOnly="1" fieldPosition="0">
        <references count="5">
          <reference field="0" count="1" selected="0">
            <x v="42"/>
          </reference>
          <reference field="1" count="1" selected="0">
            <x v="4"/>
          </reference>
          <reference field="2" count="1" selected="0">
            <x v="64"/>
          </reference>
          <reference field="3" count="1" selected="0">
            <x v="0"/>
          </reference>
          <reference field="12" count="1">
            <x v="10"/>
          </reference>
        </references>
      </pivotArea>
    </format>
    <format dxfId="1859">
      <pivotArea dataOnly="0" labelOnly="1" fieldPosition="0">
        <references count="5">
          <reference field="0" count="1" selected="0">
            <x v="43"/>
          </reference>
          <reference field="1" count="1" selected="0">
            <x v="5"/>
          </reference>
          <reference field="2" count="1" selected="0">
            <x v="19"/>
          </reference>
          <reference field="3" count="1" selected="0">
            <x v="0"/>
          </reference>
          <reference field="12" count="1">
            <x v="10"/>
          </reference>
        </references>
      </pivotArea>
    </format>
    <format dxfId="1858">
      <pivotArea dataOnly="0" labelOnly="1" fieldPosition="0">
        <references count="5">
          <reference field="0" count="1" selected="0">
            <x v="44"/>
          </reference>
          <reference field="1" count="1" selected="0">
            <x v="6"/>
          </reference>
          <reference field="2" count="1" selected="0">
            <x v="23"/>
          </reference>
          <reference field="3" count="1" selected="0">
            <x v="0"/>
          </reference>
          <reference field="12" count="1">
            <x v="10"/>
          </reference>
        </references>
      </pivotArea>
    </format>
    <format dxfId="1857">
      <pivotArea dataOnly="0" labelOnly="1" fieldPosition="0">
        <references count="5">
          <reference field="0" count="1" selected="0">
            <x v="45"/>
          </reference>
          <reference field="1" count="1" selected="0">
            <x v="7"/>
          </reference>
          <reference field="2" count="1" selected="0">
            <x v="22"/>
          </reference>
          <reference field="3" count="1" selected="0">
            <x v="0"/>
          </reference>
          <reference field="12" count="1">
            <x v="10"/>
          </reference>
        </references>
      </pivotArea>
    </format>
    <format dxfId="1856">
      <pivotArea dataOnly="0" labelOnly="1" fieldPosition="0">
        <references count="5">
          <reference field="0" count="1" selected="0">
            <x v="46"/>
          </reference>
          <reference field="1" count="1" selected="0">
            <x v="8"/>
          </reference>
          <reference field="2" count="1" selected="0">
            <x v="135"/>
          </reference>
          <reference field="3" count="1" selected="0">
            <x v="0"/>
          </reference>
          <reference field="12" count="1">
            <x v="10"/>
          </reference>
        </references>
      </pivotArea>
    </format>
    <format dxfId="1855">
      <pivotArea dataOnly="0" labelOnly="1" fieldPosition="0">
        <references count="5">
          <reference field="0" count="1" selected="0">
            <x v="47"/>
          </reference>
          <reference field="1" count="1" selected="0">
            <x v="9"/>
          </reference>
          <reference field="2" count="1" selected="0">
            <x v="141"/>
          </reference>
          <reference field="3" count="1" selected="0">
            <x v="0"/>
          </reference>
          <reference field="12" count="1">
            <x v="10"/>
          </reference>
        </references>
      </pivotArea>
    </format>
    <format dxfId="1854">
      <pivotArea dataOnly="0" labelOnly="1" fieldPosition="0">
        <references count="5">
          <reference field="0" count="1" selected="0">
            <x v="49"/>
          </reference>
          <reference field="1" count="1" selected="0">
            <x v="11"/>
          </reference>
          <reference field="2" count="1" selected="0">
            <x v="127"/>
          </reference>
          <reference field="3" count="1" selected="0">
            <x v="0"/>
          </reference>
          <reference field="12" count="1">
            <x v="10"/>
          </reference>
        </references>
      </pivotArea>
    </format>
    <format dxfId="1853">
      <pivotArea dataOnly="0" labelOnly="1" fieldPosition="0">
        <references count="5">
          <reference field="0" count="1" selected="0">
            <x v="55"/>
          </reference>
          <reference field="1" count="1" selected="0">
            <x v="35"/>
          </reference>
          <reference field="2" count="1" selected="0">
            <x v="65"/>
          </reference>
          <reference field="3" count="1" selected="0">
            <x v="0"/>
          </reference>
          <reference field="12" count="1">
            <x v="3"/>
          </reference>
        </references>
      </pivotArea>
    </format>
    <format dxfId="1852">
      <pivotArea dataOnly="0" labelOnly="1" fieldPosition="0">
        <references count="5">
          <reference field="0" count="1" selected="0">
            <x v="56"/>
          </reference>
          <reference field="1" count="1" selected="0">
            <x v="36"/>
          </reference>
          <reference field="2" count="1" selected="0">
            <x v="183"/>
          </reference>
          <reference field="3" count="1" selected="0">
            <x v="0"/>
          </reference>
          <reference field="12" count="1">
            <x v="3"/>
          </reference>
        </references>
      </pivotArea>
    </format>
    <format dxfId="1851">
      <pivotArea dataOnly="0" labelOnly="1" fieldPosition="0">
        <references count="5">
          <reference field="0" count="1" selected="0">
            <x v="62"/>
          </reference>
          <reference field="1" count="1" selected="0">
            <x v="42"/>
          </reference>
          <reference field="2" count="1" selected="0">
            <x v="15"/>
          </reference>
          <reference field="3" count="1" selected="0">
            <x v="0"/>
          </reference>
          <reference field="12" count="1">
            <x v="3"/>
          </reference>
        </references>
      </pivotArea>
    </format>
    <format dxfId="1850">
      <pivotArea dataOnly="0" labelOnly="1" fieldPosition="0">
        <references count="5">
          <reference field="0" count="1" selected="0">
            <x v="63"/>
          </reference>
          <reference field="1" count="1" selected="0">
            <x v="43"/>
          </reference>
          <reference field="2" count="1" selected="0">
            <x v="152"/>
          </reference>
          <reference field="3" count="1" selected="0">
            <x v="0"/>
          </reference>
          <reference field="12" count="1">
            <x v="3"/>
          </reference>
        </references>
      </pivotArea>
    </format>
    <format dxfId="1849">
      <pivotArea dataOnly="0" labelOnly="1" fieldPosition="0">
        <references count="5">
          <reference field="0" count="1" selected="0">
            <x v="64"/>
          </reference>
          <reference field="1" count="1" selected="0">
            <x v="44"/>
          </reference>
          <reference field="2" count="1" selected="0">
            <x v="146"/>
          </reference>
          <reference field="3" count="1" selected="0">
            <x v="0"/>
          </reference>
          <reference field="12" count="1">
            <x v="3"/>
          </reference>
        </references>
      </pivotArea>
    </format>
    <format dxfId="1848">
      <pivotArea dataOnly="0" labelOnly="1" fieldPosition="0">
        <references count="5">
          <reference field="0" count="1" selected="0">
            <x v="65"/>
          </reference>
          <reference field="1" count="1" selected="0">
            <x v="45"/>
          </reference>
          <reference field="2" count="1" selected="0">
            <x v="204"/>
          </reference>
          <reference field="3" count="1" selected="0">
            <x v="0"/>
          </reference>
          <reference field="12" count="1">
            <x v="3"/>
          </reference>
        </references>
      </pivotArea>
    </format>
    <format dxfId="1847">
      <pivotArea dataOnly="0" labelOnly="1" fieldPosition="0">
        <references count="5">
          <reference field="0" count="1" selected="0">
            <x v="66"/>
          </reference>
          <reference field="1" count="1" selected="0">
            <x v="46"/>
          </reference>
          <reference field="2" count="1" selected="0">
            <x v="92"/>
          </reference>
          <reference field="3" count="1" selected="0">
            <x v="0"/>
          </reference>
          <reference field="12" count="1">
            <x v="3"/>
          </reference>
        </references>
      </pivotArea>
    </format>
    <format dxfId="1846">
      <pivotArea dataOnly="0" labelOnly="1" fieldPosition="0">
        <references count="5">
          <reference field="0" count="1" selected="0">
            <x v="67"/>
          </reference>
          <reference field="1" count="1" selected="0">
            <x v="47"/>
          </reference>
          <reference field="2" count="1" selected="0">
            <x v="181"/>
          </reference>
          <reference field="3" count="1" selected="0">
            <x v="0"/>
          </reference>
          <reference field="12" count="1">
            <x v="3"/>
          </reference>
        </references>
      </pivotArea>
    </format>
    <format dxfId="1845">
      <pivotArea dataOnly="0" labelOnly="1" fieldPosition="0">
        <references count="5">
          <reference field="0" count="1" selected="0">
            <x v="68"/>
          </reference>
          <reference field="1" count="1" selected="0">
            <x v="48"/>
          </reference>
          <reference field="2" count="1" selected="0">
            <x v="231"/>
          </reference>
          <reference field="3" count="1" selected="0">
            <x v="0"/>
          </reference>
          <reference field="12" count="1">
            <x v="3"/>
          </reference>
        </references>
      </pivotArea>
    </format>
    <format dxfId="1844">
      <pivotArea dataOnly="0" labelOnly="1" fieldPosition="0">
        <references count="5">
          <reference field="0" count="1" selected="0">
            <x v="79"/>
          </reference>
          <reference field="1" count="1" selected="0">
            <x v="59"/>
          </reference>
          <reference field="2" count="1" selected="0">
            <x v="21"/>
          </reference>
          <reference field="3" count="1" selected="0">
            <x v="0"/>
          </reference>
          <reference field="12" count="1">
            <x v="3"/>
          </reference>
        </references>
      </pivotArea>
    </format>
    <format dxfId="1843">
      <pivotArea dataOnly="0" labelOnly="1" fieldPosition="0">
        <references count="5">
          <reference field="0" count="1" selected="0">
            <x v="81"/>
          </reference>
          <reference field="1" count="1" selected="0">
            <x v="68"/>
          </reference>
          <reference field="2" count="1" selected="0">
            <x v="112"/>
          </reference>
          <reference field="3" count="1" selected="0">
            <x v="0"/>
          </reference>
          <reference field="12" count="1">
            <x v="0"/>
          </reference>
        </references>
      </pivotArea>
    </format>
    <format dxfId="1842">
      <pivotArea dataOnly="0" labelOnly="1" fieldPosition="0">
        <references count="5">
          <reference field="0" count="1" selected="0">
            <x v="82"/>
          </reference>
          <reference field="1" count="1" selected="0">
            <x v="69"/>
          </reference>
          <reference field="2" count="1" selected="0">
            <x v="226"/>
          </reference>
          <reference field="3" count="1" selected="0">
            <x v="0"/>
          </reference>
          <reference field="12" count="1">
            <x v="5"/>
          </reference>
        </references>
      </pivotArea>
    </format>
    <format dxfId="1841">
      <pivotArea dataOnly="0" labelOnly="1" fieldPosition="0">
        <references count="5">
          <reference field="0" count="1" selected="0">
            <x v="83"/>
          </reference>
          <reference field="1" count="1" selected="0">
            <x v="70"/>
          </reference>
          <reference field="2" count="1" selected="0">
            <x v="193"/>
          </reference>
          <reference field="3" count="1" selected="0">
            <x v="0"/>
          </reference>
          <reference field="12" count="1">
            <x v="5"/>
          </reference>
        </references>
      </pivotArea>
    </format>
    <format dxfId="1840">
      <pivotArea dataOnly="0" labelOnly="1" fieldPosition="0">
        <references count="5">
          <reference field="0" count="1" selected="0">
            <x v="84"/>
          </reference>
          <reference field="1" count="1" selected="0">
            <x v="71"/>
          </reference>
          <reference field="2" count="1" selected="0">
            <x v="192"/>
          </reference>
          <reference field="3" count="1" selected="0">
            <x v="0"/>
          </reference>
          <reference field="12" count="1">
            <x v="7"/>
          </reference>
        </references>
      </pivotArea>
    </format>
    <format dxfId="1839">
      <pivotArea dataOnly="0" labelOnly="1" fieldPosition="0">
        <references count="5">
          <reference field="0" count="1" selected="0">
            <x v="85"/>
          </reference>
          <reference field="1" count="1" selected="0">
            <x v="72"/>
          </reference>
          <reference field="2" count="1" selected="0">
            <x v="87"/>
          </reference>
          <reference field="3" count="1" selected="0">
            <x v="0"/>
          </reference>
          <reference field="12" count="1">
            <x v="7"/>
          </reference>
        </references>
      </pivotArea>
    </format>
    <format dxfId="1838">
      <pivotArea dataOnly="0" labelOnly="1" fieldPosition="0">
        <references count="5">
          <reference field="0" count="1" selected="0">
            <x v="86"/>
          </reference>
          <reference field="1" count="1" selected="0">
            <x v="73"/>
          </reference>
          <reference field="2" count="1" selected="0">
            <x v="154"/>
          </reference>
          <reference field="3" count="1" selected="0">
            <x v="0"/>
          </reference>
          <reference field="12" count="1">
            <x v="7"/>
          </reference>
        </references>
      </pivotArea>
    </format>
    <format dxfId="1837">
      <pivotArea dataOnly="0" labelOnly="1" fieldPosition="0">
        <references count="5">
          <reference field="0" count="1" selected="0">
            <x v="87"/>
          </reference>
          <reference field="1" count="1" selected="0">
            <x v="74"/>
          </reference>
          <reference field="2" count="1" selected="0">
            <x v="208"/>
          </reference>
          <reference field="3" count="1" selected="0">
            <x v="0"/>
          </reference>
          <reference field="12" count="1">
            <x v="7"/>
          </reference>
        </references>
      </pivotArea>
    </format>
    <format dxfId="1836">
      <pivotArea dataOnly="0" labelOnly="1" fieldPosition="0">
        <references count="5">
          <reference field="0" count="1" selected="0">
            <x v="88"/>
          </reference>
          <reference field="1" count="1" selected="0">
            <x v="75"/>
          </reference>
          <reference field="2" count="1" selected="0">
            <x v="38"/>
          </reference>
          <reference field="3" count="1" selected="0">
            <x v="0"/>
          </reference>
          <reference field="12" count="1">
            <x v="2"/>
          </reference>
        </references>
      </pivotArea>
    </format>
    <format dxfId="1835">
      <pivotArea dataOnly="0" labelOnly="1" fieldPosition="0">
        <references count="5">
          <reference field="0" count="1" selected="0">
            <x v="89"/>
          </reference>
          <reference field="1" count="1" selected="0">
            <x v="76"/>
          </reference>
          <reference field="2" count="1" selected="0">
            <x v="232"/>
          </reference>
          <reference field="3" count="1" selected="0">
            <x v="0"/>
          </reference>
          <reference field="12" count="1">
            <x v="7"/>
          </reference>
        </references>
      </pivotArea>
    </format>
    <format dxfId="1834">
      <pivotArea dataOnly="0" labelOnly="1" fieldPosition="0">
        <references count="5">
          <reference field="0" count="1" selected="0">
            <x v="90"/>
          </reference>
          <reference field="1" count="1" selected="0">
            <x v="77"/>
          </reference>
          <reference field="2" count="1" selected="0">
            <x v="43"/>
          </reference>
          <reference field="3" count="1" selected="0">
            <x v="0"/>
          </reference>
          <reference field="12" count="1">
            <x v="7"/>
          </reference>
        </references>
      </pivotArea>
    </format>
    <format dxfId="1833">
      <pivotArea dataOnly="0" labelOnly="1" fieldPosition="0">
        <references count="5">
          <reference field="0" count="1" selected="0">
            <x v="91"/>
          </reference>
          <reference field="1" count="1" selected="0">
            <x v="78"/>
          </reference>
          <reference field="2" count="1" selected="0">
            <x v="12"/>
          </reference>
          <reference field="3" count="1" selected="0">
            <x v="0"/>
          </reference>
          <reference field="12" count="1">
            <x v="7"/>
          </reference>
        </references>
      </pivotArea>
    </format>
    <format dxfId="1832">
      <pivotArea dataOnly="0" labelOnly="1" fieldPosition="0">
        <references count="5">
          <reference field="0" count="1" selected="0">
            <x v="93"/>
          </reference>
          <reference field="1" count="1" selected="0">
            <x v="80"/>
          </reference>
          <reference field="2" count="1" selected="0">
            <x v="180"/>
          </reference>
          <reference field="3" count="1" selected="0">
            <x v="0"/>
          </reference>
          <reference field="12" count="1">
            <x v="7"/>
          </reference>
        </references>
      </pivotArea>
    </format>
    <format dxfId="1831">
      <pivotArea dataOnly="0" labelOnly="1" fieldPosition="0">
        <references count="5">
          <reference field="0" count="1" selected="0">
            <x v="94"/>
          </reference>
          <reference field="1" count="1" selected="0">
            <x v="81"/>
          </reference>
          <reference field="2" count="1" selected="0">
            <x v="60"/>
          </reference>
          <reference field="3" count="1" selected="0">
            <x v="0"/>
          </reference>
          <reference field="12" count="1">
            <x v="7"/>
          </reference>
        </references>
      </pivotArea>
    </format>
    <format dxfId="1830">
      <pivotArea dataOnly="0" labelOnly="1" fieldPosition="0">
        <references count="5">
          <reference field="0" count="1" selected="0">
            <x v="95"/>
          </reference>
          <reference field="1" count="1" selected="0">
            <x v="82"/>
          </reference>
          <reference field="2" count="1" selected="0">
            <x v="5"/>
          </reference>
          <reference field="3" count="1" selected="0">
            <x v="0"/>
          </reference>
          <reference field="12" count="1">
            <x v="1"/>
          </reference>
        </references>
      </pivotArea>
    </format>
    <format dxfId="1829">
      <pivotArea dataOnly="0" labelOnly="1" fieldPosition="0">
        <references count="5">
          <reference field="0" count="1" selected="0">
            <x v="96"/>
          </reference>
          <reference field="1" count="1" selected="0">
            <x v="83"/>
          </reference>
          <reference field="2" count="1" selected="0">
            <x v="173"/>
          </reference>
          <reference field="3" count="1" selected="0">
            <x v="0"/>
          </reference>
          <reference field="12" count="1">
            <x v="3"/>
          </reference>
        </references>
      </pivotArea>
    </format>
    <format dxfId="1828">
      <pivotArea dataOnly="0" labelOnly="1" fieldPosition="0">
        <references count="5">
          <reference field="0" count="1" selected="0">
            <x v="97"/>
          </reference>
          <reference field="1" count="1" selected="0">
            <x v="84"/>
          </reference>
          <reference field="2" count="1" selected="0">
            <x v="6"/>
          </reference>
          <reference field="3" count="1" selected="0">
            <x v="0"/>
          </reference>
          <reference field="12" count="1">
            <x v="3"/>
          </reference>
        </references>
      </pivotArea>
    </format>
    <format dxfId="1827">
      <pivotArea dataOnly="0" labelOnly="1" fieldPosition="0">
        <references count="5">
          <reference field="0" count="1" selected="0">
            <x v="98"/>
          </reference>
          <reference field="1" count="1" selected="0">
            <x v="85"/>
          </reference>
          <reference field="2" count="1" selected="0">
            <x v="214"/>
          </reference>
          <reference field="3" count="1" selected="0">
            <x v="0"/>
          </reference>
          <reference field="12" count="1">
            <x v="3"/>
          </reference>
        </references>
      </pivotArea>
    </format>
    <format dxfId="1826">
      <pivotArea dataOnly="0" labelOnly="1" fieldPosition="0">
        <references count="5">
          <reference field="0" count="1" selected="0">
            <x v="99"/>
          </reference>
          <reference field="1" count="1" selected="0">
            <x v="86"/>
          </reference>
          <reference field="2" count="1" selected="0">
            <x v="66"/>
          </reference>
          <reference field="3" count="1" selected="0">
            <x v="0"/>
          </reference>
          <reference field="12" count="1">
            <x v="3"/>
          </reference>
        </references>
      </pivotArea>
    </format>
    <format dxfId="1825">
      <pivotArea dataOnly="0" labelOnly="1" fieldPosition="0">
        <references count="5">
          <reference field="0" count="1" selected="0">
            <x v="100"/>
          </reference>
          <reference field="1" count="1" selected="0">
            <x v="87"/>
          </reference>
          <reference field="2" count="1" selected="0">
            <x v="75"/>
          </reference>
          <reference field="3" count="1" selected="0">
            <x v="0"/>
          </reference>
          <reference field="12" count="1">
            <x v="3"/>
          </reference>
        </references>
      </pivotArea>
    </format>
    <format dxfId="1824">
      <pivotArea dataOnly="0" labelOnly="1" fieldPosition="0">
        <references count="5">
          <reference field="0" count="1" selected="0">
            <x v="101"/>
          </reference>
          <reference field="1" count="1" selected="0">
            <x v="88"/>
          </reference>
          <reference field="2" count="1" selected="0">
            <x v="29"/>
          </reference>
          <reference field="3" count="1" selected="0">
            <x v="0"/>
          </reference>
          <reference field="12" count="1">
            <x v="3"/>
          </reference>
        </references>
      </pivotArea>
    </format>
    <format dxfId="1823">
      <pivotArea dataOnly="0" labelOnly="1" fieldPosition="0">
        <references count="5">
          <reference field="0" count="1" selected="0">
            <x v="102"/>
          </reference>
          <reference field="1" count="1" selected="0">
            <x v="89"/>
          </reference>
          <reference field="2" count="1" selected="0">
            <x v="14"/>
          </reference>
          <reference field="3" count="1" selected="0">
            <x v="0"/>
          </reference>
          <reference field="12" count="1">
            <x v="3"/>
          </reference>
        </references>
      </pivotArea>
    </format>
    <format dxfId="1822">
      <pivotArea dataOnly="0" labelOnly="1" fieldPosition="0">
        <references count="5">
          <reference field="0" count="1" selected="0">
            <x v="103"/>
          </reference>
          <reference field="1" count="1" selected="0">
            <x v="90"/>
          </reference>
          <reference field="2" count="1" selected="0">
            <x v="73"/>
          </reference>
          <reference field="3" count="1" selected="0">
            <x v="0"/>
          </reference>
          <reference field="12" count="1">
            <x v="3"/>
          </reference>
        </references>
      </pivotArea>
    </format>
    <format dxfId="1821">
      <pivotArea dataOnly="0" labelOnly="1" fieldPosition="0">
        <references count="5">
          <reference field="0" count="1" selected="0">
            <x v="104"/>
          </reference>
          <reference field="1" count="1" selected="0">
            <x v="91"/>
          </reference>
          <reference field="2" count="1" selected="0">
            <x v="68"/>
          </reference>
          <reference field="3" count="1" selected="0">
            <x v="0"/>
          </reference>
          <reference field="12" count="1">
            <x v="3"/>
          </reference>
        </references>
      </pivotArea>
    </format>
    <format dxfId="1820">
      <pivotArea dataOnly="0" labelOnly="1" fieldPosition="0">
        <references count="5">
          <reference field="0" count="1" selected="0">
            <x v="105"/>
          </reference>
          <reference field="1" count="1" selected="0">
            <x v="92"/>
          </reference>
          <reference field="2" count="1" selected="0">
            <x v="134"/>
          </reference>
          <reference field="3" count="1" selected="0">
            <x v="0"/>
          </reference>
          <reference field="12" count="1">
            <x v="7"/>
          </reference>
        </references>
      </pivotArea>
    </format>
    <format dxfId="1819">
      <pivotArea dataOnly="0" labelOnly="1" fieldPosition="0">
        <references count="5">
          <reference field="0" count="1" selected="0">
            <x v="106"/>
          </reference>
          <reference field="1" count="1" selected="0">
            <x v="93"/>
          </reference>
          <reference field="2" count="1" selected="0">
            <x v="76"/>
          </reference>
          <reference field="3" count="1" selected="0">
            <x v="0"/>
          </reference>
          <reference field="12" count="1">
            <x v="7"/>
          </reference>
        </references>
      </pivotArea>
    </format>
    <format dxfId="1818">
      <pivotArea dataOnly="0" labelOnly="1" fieldPosition="0">
        <references count="5">
          <reference field="0" count="1" selected="0">
            <x v="107"/>
          </reference>
          <reference field="1" count="1" selected="0">
            <x v="94"/>
          </reference>
          <reference field="2" count="1" selected="0">
            <x v="190"/>
          </reference>
          <reference field="3" count="1" selected="0">
            <x v="0"/>
          </reference>
          <reference field="12" count="1">
            <x v="7"/>
          </reference>
        </references>
      </pivotArea>
    </format>
    <format dxfId="1817">
      <pivotArea dataOnly="0" labelOnly="1" fieldPosition="0">
        <references count="5">
          <reference field="0" count="1" selected="0">
            <x v="108"/>
          </reference>
          <reference field="1" count="1" selected="0">
            <x v="95"/>
          </reference>
          <reference field="2" count="1" selected="0">
            <x v="236"/>
          </reference>
          <reference field="3" count="1" selected="0">
            <x v="0"/>
          </reference>
          <reference field="12" count="1">
            <x v="7"/>
          </reference>
        </references>
      </pivotArea>
    </format>
    <format dxfId="1816">
      <pivotArea dataOnly="0" labelOnly="1" fieldPosition="0">
        <references count="5">
          <reference field="0" count="1" selected="0">
            <x v="110"/>
          </reference>
          <reference field="1" count="1" selected="0">
            <x v="97"/>
          </reference>
          <reference field="2" count="1" selected="0">
            <x v="123"/>
          </reference>
          <reference field="3" count="1" selected="0">
            <x v="0"/>
          </reference>
          <reference field="12" count="1">
            <x v="7"/>
          </reference>
        </references>
      </pivotArea>
    </format>
    <format dxfId="1815">
      <pivotArea dataOnly="0" labelOnly="1" fieldPosition="0">
        <references count="5">
          <reference field="0" count="1" selected="0">
            <x v="111"/>
          </reference>
          <reference field="1" count="1" selected="0">
            <x v="98"/>
          </reference>
          <reference field="2" count="1" selected="0">
            <x v="83"/>
          </reference>
          <reference field="3" count="1" selected="0">
            <x v="0"/>
          </reference>
          <reference field="12" count="1">
            <x v="7"/>
          </reference>
        </references>
      </pivotArea>
    </format>
    <format dxfId="1814">
      <pivotArea dataOnly="0" labelOnly="1" fieldPosition="0">
        <references count="5">
          <reference field="0" count="1" selected="0">
            <x v="113"/>
          </reference>
          <reference field="1" count="1" selected="0">
            <x v="100"/>
          </reference>
          <reference field="2" count="1" selected="0">
            <x v="124"/>
          </reference>
          <reference field="3" count="1" selected="0">
            <x v="0"/>
          </reference>
          <reference field="12" count="1">
            <x v="7"/>
          </reference>
        </references>
      </pivotArea>
    </format>
    <format dxfId="1813">
      <pivotArea dataOnly="0" labelOnly="1" fieldPosition="0">
        <references count="5">
          <reference field="0" count="1" selected="0">
            <x v="121"/>
          </reference>
          <reference field="1" count="1" selected="0">
            <x v="108"/>
          </reference>
          <reference field="2" count="1" selected="0">
            <x v="207"/>
          </reference>
          <reference field="3" count="1" selected="0">
            <x v="0"/>
          </reference>
          <reference field="12" count="1">
            <x v="5"/>
          </reference>
        </references>
      </pivotArea>
    </format>
    <format dxfId="1812">
      <pivotArea dataOnly="0" labelOnly="1" fieldPosition="0">
        <references count="5">
          <reference field="0" count="1" selected="0">
            <x v="122"/>
          </reference>
          <reference field="1" count="1" selected="0">
            <x v="109"/>
          </reference>
          <reference field="2" count="1" selected="0">
            <x v="35"/>
          </reference>
          <reference field="3" count="1" selected="0">
            <x v="0"/>
          </reference>
          <reference field="12" count="1">
            <x v="3"/>
          </reference>
        </references>
      </pivotArea>
    </format>
    <format dxfId="1811">
      <pivotArea dataOnly="0" labelOnly="1" fieldPosition="0">
        <references count="5">
          <reference field="0" count="1" selected="0">
            <x v="123"/>
          </reference>
          <reference field="1" count="1" selected="0">
            <x v="110"/>
          </reference>
          <reference field="2" count="1" selected="0">
            <x v="176"/>
          </reference>
          <reference field="3" count="1" selected="0">
            <x v="0"/>
          </reference>
          <reference field="12" count="1">
            <x v="5"/>
          </reference>
        </references>
      </pivotArea>
    </format>
    <format dxfId="1810">
      <pivotArea dataOnly="0" labelOnly="1" fieldPosition="0">
        <references count="5">
          <reference field="0" count="1" selected="0">
            <x v="124"/>
          </reference>
          <reference field="1" count="1" selected="0">
            <x v="111"/>
          </reference>
          <reference field="2" count="1" selected="0">
            <x v="218"/>
          </reference>
          <reference field="3" count="1" selected="0">
            <x v="0"/>
          </reference>
          <reference field="12" count="1">
            <x v="0"/>
          </reference>
        </references>
      </pivotArea>
    </format>
    <format dxfId="1809">
      <pivotArea dataOnly="0" labelOnly="1" fieldPosition="0">
        <references count="5">
          <reference field="0" count="1" selected="0">
            <x v="125"/>
          </reference>
          <reference field="1" count="1" selected="0">
            <x v="112"/>
          </reference>
          <reference field="2" count="1" selected="0">
            <x v="197"/>
          </reference>
          <reference field="3" count="1" selected="0">
            <x v="0"/>
          </reference>
          <reference field="12" count="1">
            <x v="3"/>
          </reference>
        </references>
      </pivotArea>
    </format>
    <format dxfId="1808">
      <pivotArea dataOnly="0" labelOnly="1" fieldPosition="0">
        <references count="5">
          <reference field="0" count="1" selected="0">
            <x v="126"/>
          </reference>
          <reference field="1" count="1" selected="0">
            <x v="113"/>
          </reference>
          <reference field="2" count="1" selected="0">
            <x v="191"/>
          </reference>
          <reference field="3" count="1" selected="0">
            <x v="0"/>
          </reference>
          <reference field="12" count="1">
            <x v="0"/>
          </reference>
        </references>
      </pivotArea>
    </format>
    <format dxfId="1807">
      <pivotArea dataOnly="0" labelOnly="1" fieldPosition="0">
        <references count="5">
          <reference field="0" count="1" selected="0">
            <x v="127"/>
          </reference>
          <reference field="1" count="1" selected="0">
            <x v="114"/>
          </reference>
          <reference field="2" count="1" selected="0">
            <x v="174"/>
          </reference>
          <reference field="3" count="1" selected="0">
            <x v="0"/>
          </reference>
          <reference field="12" count="1">
            <x v="0"/>
          </reference>
        </references>
      </pivotArea>
    </format>
    <format dxfId="1806">
      <pivotArea dataOnly="0" labelOnly="1" fieldPosition="0">
        <references count="5">
          <reference field="0" count="1" selected="0">
            <x v="128"/>
          </reference>
          <reference field="1" count="1" selected="0">
            <x v="115"/>
          </reference>
          <reference field="2" count="1" selected="0">
            <x v="59"/>
          </reference>
          <reference field="3" count="1" selected="0">
            <x v="0"/>
          </reference>
          <reference field="12" count="1">
            <x v="0"/>
          </reference>
        </references>
      </pivotArea>
    </format>
    <format dxfId="1805">
      <pivotArea dataOnly="0" labelOnly="1" fieldPosition="0">
        <references count="5">
          <reference field="0" count="1" selected="0">
            <x v="129"/>
          </reference>
          <reference field="1" count="1" selected="0">
            <x v="116"/>
          </reference>
          <reference field="2" count="1" selected="0">
            <x v="212"/>
          </reference>
          <reference field="3" count="1" selected="0">
            <x v="0"/>
          </reference>
          <reference field="12" count="1">
            <x v="3"/>
          </reference>
        </references>
      </pivotArea>
    </format>
    <format dxfId="1804">
      <pivotArea dataOnly="0" labelOnly="1" fieldPosition="0">
        <references count="5">
          <reference field="0" count="1" selected="0">
            <x v="130"/>
          </reference>
          <reference field="1" count="1" selected="0">
            <x v="117"/>
          </reference>
          <reference field="2" count="1" selected="0">
            <x v="118"/>
          </reference>
          <reference field="3" count="1" selected="0">
            <x v="0"/>
          </reference>
          <reference field="12" count="1">
            <x v="7"/>
          </reference>
        </references>
      </pivotArea>
    </format>
    <format dxfId="1803">
      <pivotArea dataOnly="0" labelOnly="1" fieldPosition="0">
        <references count="5">
          <reference field="0" count="1" selected="0">
            <x v="134"/>
          </reference>
          <reference field="1" count="1" selected="0">
            <x v="127"/>
          </reference>
          <reference field="2" count="1" selected="0">
            <x v="2"/>
          </reference>
          <reference field="3" count="1" selected="0">
            <x v="0"/>
          </reference>
          <reference field="12" count="1">
            <x v="4"/>
          </reference>
        </references>
      </pivotArea>
    </format>
    <format dxfId="1802">
      <pivotArea dataOnly="0" labelOnly="1" fieldPosition="0">
        <references count="5">
          <reference field="0" count="1" selected="0">
            <x v="135"/>
          </reference>
          <reference field="1" count="1" selected="0">
            <x v="128"/>
          </reference>
          <reference field="2" count="1" selected="0">
            <x v="151"/>
          </reference>
          <reference field="3" count="1" selected="0">
            <x v="0"/>
          </reference>
          <reference field="12" count="1">
            <x v="3"/>
          </reference>
        </references>
      </pivotArea>
    </format>
    <format dxfId="1801">
      <pivotArea dataOnly="0" labelOnly="1" fieldPosition="0">
        <references count="5">
          <reference field="0" count="1" selected="0">
            <x v="136"/>
          </reference>
          <reference field="1" count="1" selected="0">
            <x v="129"/>
          </reference>
          <reference field="2" count="1" selected="0">
            <x v="219"/>
          </reference>
          <reference field="3" count="1" selected="0">
            <x v="0"/>
          </reference>
          <reference field="12" count="1">
            <x v="3"/>
          </reference>
        </references>
      </pivotArea>
    </format>
    <format dxfId="1800">
      <pivotArea dataOnly="0" labelOnly="1" fieldPosition="0">
        <references count="5">
          <reference field="0" count="1" selected="0">
            <x v="144"/>
          </reference>
          <reference field="1" count="1" selected="0">
            <x v="137"/>
          </reference>
          <reference field="2" count="1" selected="0">
            <x v="79"/>
          </reference>
          <reference field="3" count="1" selected="0">
            <x v="0"/>
          </reference>
          <reference field="12" count="1">
            <x v="0"/>
          </reference>
        </references>
      </pivotArea>
    </format>
    <format dxfId="1799">
      <pivotArea dataOnly="0" labelOnly="1" fieldPosition="0">
        <references count="5">
          <reference field="0" count="1" selected="0">
            <x v="146"/>
          </reference>
          <reference field="1" count="1" selected="0">
            <x v="139"/>
          </reference>
          <reference field="2" count="1" selected="0">
            <x v="30"/>
          </reference>
          <reference field="3" count="1" selected="0">
            <x v="0"/>
          </reference>
          <reference field="12" count="1">
            <x v="26"/>
          </reference>
        </references>
      </pivotArea>
    </format>
    <format dxfId="1798">
      <pivotArea dataOnly="0" labelOnly="1" fieldPosition="0">
        <references count="5">
          <reference field="0" count="1" selected="0">
            <x v="147"/>
          </reference>
          <reference field="1" count="1" selected="0">
            <x v="140"/>
          </reference>
          <reference field="2" count="1" selected="0">
            <x v="211"/>
          </reference>
          <reference field="3" count="1" selected="0">
            <x v="0"/>
          </reference>
          <reference field="12" count="1">
            <x v="26"/>
          </reference>
        </references>
      </pivotArea>
    </format>
    <format dxfId="1797">
      <pivotArea dataOnly="0" labelOnly="1" fieldPosition="0">
        <references count="5">
          <reference field="0" count="1" selected="0">
            <x v="148"/>
          </reference>
          <reference field="1" count="1" selected="0">
            <x v="141"/>
          </reference>
          <reference field="2" count="1" selected="0">
            <x v="95"/>
          </reference>
          <reference field="3" count="1" selected="0">
            <x v="0"/>
          </reference>
          <reference field="12" count="1">
            <x v="26"/>
          </reference>
        </references>
      </pivotArea>
    </format>
    <format dxfId="1796">
      <pivotArea dataOnly="0" labelOnly="1" fieldPosition="0">
        <references count="5">
          <reference field="0" count="1" selected="0">
            <x v="149"/>
          </reference>
          <reference field="1" count="1" selected="0">
            <x v="142"/>
          </reference>
          <reference field="2" count="1" selected="0">
            <x v="165"/>
          </reference>
          <reference field="3" count="1" selected="0">
            <x v="0"/>
          </reference>
          <reference field="12" count="1">
            <x v="14"/>
          </reference>
        </references>
      </pivotArea>
    </format>
    <format dxfId="1795">
      <pivotArea dataOnly="0" labelOnly="1" fieldPosition="0">
        <references count="5">
          <reference field="0" count="1" selected="0">
            <x v="150"/>
          </reference>
          <reference field="1" count="1" selected="0">
            <x v="143"/>
          </reference>
          <reference field="2" count="1" selected="0">
            <x v="166"/>
          </reference>
          <reference field="3" count="1" selected="0">
            <x v="0"/>
          </reference>
          <reference field="12" count="1">
            <x v="14"/>
          </reference>
        </references>
      </pivotArea>
    </format>
    <format dxfId="1794">
      <pivotArea dataOnly="0" labelOnly="1" fieldPosition="0">
        <references count="5">
          <reference field="0" count="1" selected="0">
            <x v="151"/>
          </reference>
          <reference field="1" count="1" selected="0">
            <x v="144"/>
          </reference>
          <reference field="2" count="1" selected="0">
            <x v="85"/>
          </reference>
          <reference field="3" count="1" selected="0">
            <x v="0"/>
          </reference>
          <reference field="12" count="1">
            <x v="14"/>
          </reference>
        </references>
      </pivotArea>
    </format>
    <format dxfId="1793">
      <pivotArea dataOnly="0" labelOnly="1" fieldPosition="0">
        <references count="5">
          <reference field="0" count="1" selected="0">
            <x v="152"/>
          </reference>
          <reference field="1" count="1" selected="0">
            <x v="145"/>
          </reference>
          <reference field="2" count="1" selected="0">
            <x v="86"/>
          </reference>
          <reference field="3" count="1" selected="0">
            <x v="0"/>
          </reference>
          <reference field="12" count="1">
            <x v="14"/>
          </reference>
        </references>
      </pivotArea>
    </format>
    <format dxfId="1792">
      <pivotArea dataOnly="0" labelOnly="1" fieldPosition="0">
        <references count="5">
          <reference field="0" count="1" selected="0">
            <x v="153"/>
          </reference>
          <reference field="1" count="1" selected="0">
            <x v="146"/>
          </reference>
          <reference field="2" count="1" selected="0">
            <x v="54"/>
          </reference>
          <reference field="3" count="1" selected="0">
            <x v="0"/>
          </reference>
          <reference field="12" count="1">
            <x v="14"/>
          </reference>
        </references>
      </pivotArea>
    </format>
    <format dxfId="1791">
      <pivotArea dataOnly="0" labelOnly="1" fieldPosition="0">
        <references count="5">
          <reference field="0" count="1" selected="0">
            <x v="154"/>
          </reference>
          <reference field="1" count="1" selected="0">
            <x v="147"/>
          </reference>
          <reference field="2" count="1" selected="0">
            <x v="109"/>
          </reference>
          <reference field="3" count="1" selected="0">
            <x v="0"/>
          </reference>
          <reference field="12" count="1">
            <x v="14"/>
          </reference>
        </references>
      </pivotArea>
    </format>
    <format dxfId="1790">
      <pivotArea dataOnly="0" labelOnly="1" fieldPosition="0">
        <references count="5">
          <reference field="0" count="1" selected="0">
            <x v="155"/>
          </reference>
          <reference field="1" count="1" selected="0">
            <x v="148"/>
          </reference>
          <reference field="2" count="1" selected="0">
            <x v="3"/>
          </reference>
          <reference field="3" count="1" selected="0">
            <x v="0"/>
          </reference>
          <reference field="12" count="1">
            <x v="23"/>
          </reference>
        </references>
      </pivotArea>
    </format>
    <format dxfId="1789">
      <pivotArea dataOnly="0" labelOnly="1" fieldPosition="0">
        <references count="5">
          <reference field="0" count="1" selected="0">
            <x v="159"/>
          </reference>
          <reference field="1" count="1" selected="0">
            <x v="183"/>
          </reference>
          <reference field="2" count="1" selected="0">
            <x v="122"/>
          </reference>
          <reference field="3" count="1" selected="0">
            <x v="0"/>
          </reference>
          <reference field="12" count="1">
            <x v="8"/>
          </reference>
        </references>
      </pivotArea>
    </format>
    <format dxfId="1788">
      <pivotArea dataOnly="0" labelOnly="1" fieldPosition="0">
        <references count="5">
          <reference field="0" count="1" selected="0">
            <x v="160"/>
          </reference>
          <reference field="1" count="1" selected="0">
            <x v="184"/>
          </reference>
          <reference field="2" count="1" selected="0">
            <x v="187"/>
          </reference>
          <reference field="3" count="1" selected="0">
            <x v="0"/>
          </reference>
          <reference field="12" count="1">
            <x v="7"/>
          </reference>
        </references>
      </pivotArea>
    </format>
    <format dxfId="1787">
      <pivotArea dataOnly="0" labelOnly="1" fieldPosition="0">
        <references count="5">
          <reference field="0" count="1" selected="0">
            <x v="161"/>
          </reference>
          <reference field="1" count="1" selected="0">
            <x v="185"/>
          </reference>
          <reference field="2" count="1" selected="0">
            <x v="186"/>
          </reference>
          <reference field="3" count="1" selected="0">
            <x v="0"/>
          </reference>
          <reference field="12" count="1">
            <x v="9"/>
          </reference>
        </references>
      </pivotArea>
    </format>
    <format dxfId="1786">
      <pivotArea dataOnly="0" labelOnly="1" fieldPosition="0">
        <references count="5">
          <reference field="0" count="1" selected="0">
            <x v="162"/>
          </reference>
          <reference field="1" count="1" selected="0">
            <x v="186"/>
          </reference>
          <reference field="2" count="1" selected="0">
            <x v="125"/>
          </reference>
          <reference field="3" count="1" selected="0">
            <x v="0"/>
          </reference>
          <reference field="12" count="1">
            <x v="10"/>
          </reference>
        </references>
      </pivotArea>
    </format>
    <format dxfId="1785">
      <pivotArea dataOnly="0" labelOnly="1" fieldPosition="0">
        <references count="5">
          <reference field="0" count="1" selected="0">
            <x v="164"/>
          </reference>
          <reference field="1" count="1" selected="0">
            <x v="188"/>
          </reference>
          <reference field="2" count="1" selected="0">
            <x v="119"/>
          </reference>
          <reference field="3" count="1" selected="0">
            <x v="0"/>
          </reference>
          <reference field="12" count="1">
            <x v="13"/>
          </reference>
        </references>
      </pivotArea>
    </format>
    <format dxfId="1784">
      <pivotArea dataOnly="0" labelOnly="1" fieldPosition="0">
        <references count="5">
          <reference field="0" count="1" selected="0">
            <x v="165"/>
          </reference>
          <reference field="1" count="1" selected="0">
            <x v="189"/>
          </reference>
          <reference field="2" count="1" selected="0">
            <x v="156"/>
          </reference>
          <reference field="3" count="1" selected="0">
            <x v="0"/>
          </reference>
          <reference field="12" count="1">
            <x v="13"/>
          </reference>
        </references>
      </pivotArea>
    </format>
    <format dxfId="1783">
      <pivotArea dataOnly="0" labelOnly="1" fieldPosition="0">
        <references count="5">
          <reference field="0" count="1" selected="0">
            <x v="166"/>
          </reference>
          <reference field="1" count="1" selected="0">
            <x v="190"/>
          </reference>
          <reference field="2" count="1" selected="0">
            <x v="213"/>
          </reference>
          <reference field="3" count="1" selected="0">
            <x v="0"/>
          </reference>
          <reference field="12" count="1">
            <x v="13"/>
          </reference>
        </references>
      </pivotArea>
    </format>
    <format dxfId="1782">
      <pivotArea dataOnly="0" labelOnly="1" fieldPosition="0">
        <references count="5">
          <reference field="0" count="1" selected="0">
            <x v="167"/>
          </reference>
          <reference field="1" count="1" selected="0">
            <x v="199"/>
          </reference>
          <reference field="2" count="1" selected="0">
            <x v="56"/>
          </reference>
          <reference field="3" count="1" selected="0">
            <x v="0"/>
          </reference>
          <reference field="12" count="1">
            <x v="18"/>
          </reference>
        </references>
      </pivotArea>
    </format>
    <format dxfId="1781">
      <pivotArea dataOnly="0" labelOnly="1" fieldPosition="0">
        <references count="5">
          <reference field="0" count="1" selected="0">
            <x v="168"/>
          </reference>
          <reference field="1" count="1" selected="0">
            <x v="200"/>
          </reference>
          <reference field="2" count="1" selected="0">
            <x v="9"/>
          </reference>
          <reference field="3" count="1" selected="0">
            <x v="0"/>
          </reference>
          <reference field="12" count="1">
            <x v="7"/>
          </reference>
        </references>
      </pivotArea>
    </format>
    <format dxfId="1780">
      <pivotArea dataOnly="0" labelOnly="1" fieldPosition="0">
        <references count="5">
          <reference field="0" count="1" selected="0">
            <x v="171"/>
          </reference>
          <reference field="1" count="1" selected="0">
            <x v="203"/>
          </reference>
          <reference field="2" count="1" selected="0">
            <x v="10"/>
          </reference>
          <reference field="3" count="1" selected="0">
            <x v="0"/>
          </reference>
          <reference field="12" count="1">
            <x v="9"/>
          </reference>
        </references>
      </pivotArea>
    </format>
    <format dxfId="1779">
      <pivotArea dataOnly="0" labelOnly="1" fieldPosition="0">
        <references count="5">
          <reference field="0" count="1" selected="0">
            <x v="172"/>
          </reference>
          <reference field="1" count="1" selected="0">
            <x v="204"/>
          </reference>
          <reference field="2" count="1" selected="0">
            <x v="216"/>
          </reference>
          <reference field="3" count="1" selected="0">
            <x v="0"/>
          </reference>
          <reference field="12" count="1">
            <x v="2"/>
          </reference>
        </references>
      </pivotArea>
    </format>
    <format dxfId="1778">
      <pivotArea dataOnly="0" labelOnly="1" fieldPosition="0">
        <references count="5">
          <reference field="0" count="1" selected="0">
            <x v="173"/>
          </reference>
          <reference field="1" count="1" selected="0">
            <x v="205"/>
          </reference>
          <reference field="2" count="1" selected="0">
            <x v="94"/>
          </reference>
          <reference field="3" count="1" selected="0">
            <x v="0"/>
          </reference>
          <reference field="12" count="1">
            <x v="20"/>
          </reference>
        </references>
      </pivotArea>
    </format>
    <format dxfId="1777">
      <pivotArea dataOnly="0" labelOnly="1" fieldPosition="0">
        <references count="5">
          <reference field="0" count="1" selected="0">
            <x v="175"/>
          </reference>
          <reference field="1" count="1" selected="0">
            <x v="207"/>
          </reference>
          <reference field="2" count="1" selected="0">
            <x v="172"/>
          </reference>
          <reference field="3" count="1" selected="0">
            <x v="0"/>
          </reference>
          <reference field="12" count="1">
            <x v="21"/>
          </reference>
        </references>
      </pivotArea>
    </format>
    <format dxfId="1776">
      <pivotArea dataOnly="0" labelOnly="1" fieldPosition="0">
        <references count="5">
          <reference field="0" count="1" selected="0">
            <x v="176"/>
          </reference>
          <reference field="1" count="1" selected="0">
            <x v="208"/>
          </reference>
          <reference field="2" count="1" selected="0">
            <x v="215"/>
          </reference>
          <reference field="3" count="1" selected="0">
            <x v="0"/>
          </reference>
          <reference field="12" count="1">
            <x v="20"/>
          </reference>
        </references>
      </pivotArea>
    </format>
    <format dxfId="1775">
      <pivotArea dataOnly="0" labelOnly="1" fieldPosition="0">
        <references count="5">
          <reference field="0" count="1" selected="0">
            <x v="177"/>
          </reference>
          <reference field="1" count="1" selected="0">
            <x v="209"/>
          </reference>
          <reference field="2" count="1" selected="0">
            <x v="114"/>
          </reference>
          <reference field="3" count="1" selected="0">
            <x v="0"/>
          </reference>
          <reference field="12" count="1">
            <x v="20"/>
          </reference>
        </references>
      </pivotArea>
    </format>
    <format dxfId="1774">
      <pivotArea dataOnly="0" labelOnly="1" fieldPosition="0">
        <references count="5">
          <reference field="0" count="1" selected="0">
            <x v="178"/>
          </reference>
          <reference field="1" count="1" selected="0">
            <x v="210"/>
          </reference>
          <reference field="2" count="1" selected="0">
            <x v="11"/>
          </reference>
          <reference field="3" count="1" selected="0">
            <x v="0"/>
          </reference>
          <reference field="12" count="1">
            <x v="20"/>
          </reference>
        </references>
      </pivotArea>
    </format>
    <format dxfId="1773">
      <pivotArea dataOnly="0" labelOnly="1" fieldPosition="0">
        <references count="5">
          <reference field="0" count="1" selected="0">
            <x v="179"/>
          </reference>
          <reference field="1" count="1" selected="0">
            <x v="211"/>
          </reference>
          <reference field="2" count="1" selected="0">
            <x v="96"/>
          </reference>
          <reference field="3" count="1" selected="0">
            <x v="0"/>
          </reference>
          <reference field="12" count="1">
            <x v="20"/>
          </reference>
        </references>
      </pivotArea>
    </format>
    <format dxfId="1772">
      <pivotArea dataOnly="0" labelOnly="1" fieldPosition="0">
        <references count="5">
          <reference field="0" count="1" selected="0">
            <x v="180"/>
          </reference>
          <reference field="1" count="1" selected="0">
            <x v="212"/>
          </reference>
          <reference field="2" count="1" selected="0">
            <x v="97"/>
          </reference>
          <reference field="3" count="1" selected="0">
            <x v="0"/>
          </reference>
          <reference field="12" count="1">
            <x v="14"/>
          </reference>
        </references>
      </pivotArea>
    </format>
    <format dxfId="1771">
      <pivotArea dataOnly="0" labelOnly="1" fieldPosition="0">
        <references count="5">
          <reference field="0" count="1" selected="0">
            <x v="181"/>
          </reference>
          <reference field="1" count="1" selected="0">
            <x v="213"/>
          </reference>
          <reference field="2" count="1" selected="0">
            <x v="234"/>
          </reference>
          <reference field="3" count="1" selected="0">
            <x v="0"/>
          </reference>
          <reference field="12" count="1">
            <x v="14"/>
          </reference>
        </references>
      </pivotArea>
    </format>
    <format dxfId="1770">
      <pivotArea dataOnly="0" labelOnly="1" fieldPosition="0">
        <references count="5">
          <reference field="0" count="1" selected="0">
            <x v="182"/>
          </reference>
          <reference field="1" count="1" selected="0">
            <x v="214"/>
          </reference>
          <reference field="2" count="1" selected="0">
            <x v="235"/>
          </reference>
          <reference field="3" count="1" selected="0">
            <x v="0"/>
          </reference>
          <reference field="12" count="1">
            <x v="7"/>
          </reference>
        </references>
      </pivotArea>
    </format>
    <format dxfId="1769">
      <pivotArea dataOnly="0" labelOnly="1" fieldPosition="0">
        <references count="5">
          <reference field="0" count="1" selected="0">
            <x v="183"/>
          </reference>
          <reference field="1" count="1" selected="0">
            <x v="215"/>
          </reference>
          <reference field="2" count="1" selected="0">
            <x v="206"/>
          </reference>
          <reference field="3" count="1" selected="0">
            <x v="0"/>
          </reference>
          <reference field="12" count="1">
            <x v="14"/>
          </reference>
        </references>
      </pivotArea>
    </format>
    <format dxfId="1768">
      <pivotArea dataOnly="0" labelOnly="1" fieldPosition="0">
        <references count="5">
          <reference field="0" count="1" selected="0">
            <x v="184"/>
          </reference>
          <reference field="1" count="1" selected="0">
            <x v="216"/>
          </reference>
          <reference field="2" count="1" selected="0">
            <x v="111"/>
          </reference>
          <reference field="3" count="1" selected="0">
            <x v="0"/>
          </reference>
          <reference field="12" count="1">
            <x v="22"/>
          </reference>
        </references>
      </pivotArea>
    </format>
    <format dxfId="1767">
      <pivotArea dataOnly="0" labelOnly="1" fieldPosition="0">
        <references count="5">
          <reference field="0" count="1" selected="0">
            <x v="185"/>
          </reference>
          <reference field="1" count="1" selected="0">
            <x v="217"/>
          </reference>
          <reference field="2" count="1" selected="0">
            <x v="113"/>
          </reference>
          <reference field="3" count="1" selected="0">
            <x v="0"/>
          </reference>
          <reference field="12" count="1">
            <x v="12"/>
          </reference>
        </references>
      </pivotArea>
    </format>
    <format dxfId="1766">
      <pivotArea dataOnly="0" labelOnly="1" fieldPosition="0">
        <references count="5">
          <reference field="0" count="1" selected="0">
            <x v="186"/>
          </reference>
          <reference field="1" count="1" selected="0">
            <x v="218"/>
          </reference>
          <reference field="2" count="1" selected="0">
            <x v="93"/>
          </reference>
          <reference field="3" count="1" selected="0">
            <x v="0"/>
          </reference>
          <reference field="12" count="1">
            <x v="12"/>
          </reference>
        </references>
      </pivotArea>
    </format>
    <format dxfId="1765">
      <pivotArea dataOnly="0" labelOnly="1" fieldPosition="0">
        <references count="5">
          <reference field="0" count="1" selected="0">
            <x v="187"/>
          </reference>
          <reference field="1" count="1" selected="0">
            <x v="219"/>
          </reference>
          <reference field="2" count="1" selected="0">
            <x v="104"/>
          </reference>
          <reference field="3" count="1" selected="0">
            <x v="0"/>
          </reference>
          <reference field="12" count="1">
            <x v="12"/>
          </reference>
        </references>
      </pivotArea>
    </format>
    <format dxfId="1764">
      <pivotArea dataOnly="0" labelOnly="1" fieldPosition="0">
        <references count="5">
          <reference field="0" count="1" selected="0">
            <x v="188"/>
          </reference>
          <reference field="1" count="1" selected="0">
            <x v="220"/>
          </reference>
          <reference field="2" count="1" selected="0">
            <x v="196"/>
          </reference>
          <reference field="3" count="1" selected="0">
            <x v="0"/>
          </reference>
          <reference field="12" count="1">
            <x v="12"/>
          </reference>
        </references>
      </pivotArea>
    </format>
    <format dxfId="1763">
      <pivotArea dataOnly="0" labelOnly="1" fieldPosition="0">
        <references count="5">
          <reference field="0" count="1" selected="0">
            <x v="189"/>
          </reference>
          <reference field="1" count="1" selected="0">
            <x v="221"/>
          </reference>
          <reference field="2" count="1" selected="0">
            <x v="182"/>
          </reference>
          <reference field="3" count="1" selected="0">
            <x v="0"/>
          </reference>
          <reference field="12" count="1">
            <x v="12"/>
          </reference>
        </references>
      </pivotArea>
    </format>
    <format dxfId="1762">
      <pivotArea dataOnly="0" labelOnly="1" fieldPosition="0">
        <references count="5">
          <reference field="0" count="1" selected="0">
            <x v="192"/>
          </reference>
          <reference field="1" count="1" selected="0">
            <x v="224"/>
          </reference>
          <reference field="2" count="1" selected="0">
            <x v="80"/>
          </reference>
          <reference field="3" count="1" selected="0">
            <x v="0"/>
          </reference>
          <reference field="12" count="1">
            <x v="7"/>
          </reference>
        </references>
      </pivotArea>
    </format>
    <format dxfId="1761">
      <pivotArea dataOnly="0" labelOnly="1" fieldPosition="0">
        <references count="5">
          <reference field="0" count="1" selected="0">
            <x v="193"/>
          </reference>
          <reference field="1" count="1" selected="0">
            <x v="225"/>
          </reference>
          <reference field="2" count="1" selected="0">
            <x v="238"/>
          </reference>
          <reference field="3" count="1" selected="0">
            <x v="0"/>
          </reference>
          <reference field="12" count="1">
            <x v="7"/>
          </reference>
        </references>
      </pivotArea>
    </format>
    <format dxfId="1760">
      <pivotArea dataOnly="0" labelOnly="1" fieldPosition="0">
        <references count="5">
          <reference field="0" count="1" selected="0">
            <x v="197"/>
          </reference>
          <reference field="1" count="1" selected="0">
            <x v="236"/>
          </reference>
          <reference field="2" count="1" selected="0">
            <x v="102"/>
          </reference>
          <reference field="3" count="1" selected="0">
            <x v="0"/>
          </reference>
          <reference field="12" count="1">
            <x v="18"/>
          </reference>
        </references>
      </pivotArea>
    </format>
    <format dxfId="1759">
      <pivotArea dataOnly="0" labelOnly="1" fieldPosition="0">
        <references count="5">
          <reference field="0" count="1" selected="0">
            <x v="199"/>
          </reference>
          <reference field="1" count="1" selected="0">
            <x v="238"/>
          </reference>
          <reference field="2" count="1" selected="0">
            <x v="33"/>
          </reference>
          <reference field="3" count="1" selected="0">
            <x v="0"/>
          </reference>
          <reference field="12" count="1">
            <x v="20"/>
          </reference>
        </references>
      </pivotArea>
    </format>
    <format dxfId="1758">
      <pivotArea dataOnly="0" labelOnly="1" fieldPosition="0">
        <references count="5">
          <reference field="0" count="1" selected="0">
            <x v="200"/>
          </reference>
          <reference field="1" count="1" selected="0">
            <x v="239"/>
          </reference>
          <reference field="2" count="1" selected="0">
            <x v="34"/>
          </reference>
          <reference field="3" count="1" selected="0">
            <x v="0"/>
          </reference>
          <reference field="12" count="1">
            <x v="20"/>
          </reference>
        </references>
      </pivotArea>
    </format>
    <format dxfId="1757">
      <pivotArea dataOnly="0" labelOnly="1" fieldPosition="0">
        <references count="5">
          <reference field="0" count="1" selected="0">
            <x v="201"/>
          </reference>
          <reference field="1" count="1" selected="0">
            <x v="240"/>
          </reference>
          <reference field="2" count="1" selected="0">
            <x v="37"/>
          </reference>
          <reference field="3" count="1" selected="0">
            <x v="0"/>
          </reference>
          <reference field="12" count="1">
            <x v="20"/>
          </reference>
        </references>
      </pivotArea>
    </format>
    <format dxfId="1756">
      <pivotArea dataOnly="0" labelOnly="1" fieldPosition="0">
        <references count="5">
          <reference field="0" count="1" selected="0">
            <x v="204"/>
          </reference>
          <reference field="1" count="1" selected="0">
            <x v="149"/>
          </reference>
          <reference field="2" count="1" selected="0">
            <x v="117"/>
          </reference>
          <reference field="3" count="1" selected="0">
            <x v="0"/>
          </reference>
          <reference field="12" count="1">
            <x v="12"/>
          </reference>
        </references>
      </pivotArea>
    </format>
    <format dxfId="1755">
      <pivotArea dataOnly="0" labelOnly="1" fieldPosition="0">
        <references count="5">
          <reference field="0" count="1" selected="0">
            <x v="206"/>
          </reference>
          <reference field="1" count="1" selected="0">
            <x v="151"/>
          </reference>
          <reference field="2" count="1" selected="0">
            <x v="159"/>
          </reference>
          <reference field="3" count="1" selected="0">
            <x v="0"/>
          </reference>
          <reference field="12" count="1">
            <x v="12"/>
          </reference>
        </references>
      </pivotArea>
    </format>
    <format dxfId="1754">
      <pivotArea dataOnly="0" labelOnly="1" fieldPosition="0">
        <references count="5">
          <reference field="0" count="1" selected="0">
            <x v="207"/>
          </reference>
          <reference field="1" count="1" selected="0">
            <x v="152"/>
          </reference>
          <reference field="2" count="1" selected="0">
            <x v="81"/>
          </reference>
          <reference field="3" count="1" selected="0">
            <x v="0"/>
          </reference>
          <reference field="12" count="1">
            <x v="7"/>
          </reference>
        </references>
      </pivotArea>
    </format>
    <format dxfId="1753">
      <pivotArea dataOnly="0" labelOnly="1" fieldPosition="0">
        <references count="5">
          <reference field="0" count="1" selected="0">
            <x v="208"/>
          </reference>
          <reference field="1" count="1" selected="0">
            <x v="153"/>
          </reference>
          <reference field="2" count="1" selected="0">
            <x v="103"/>
          </reference>
          <reference field="3" count="1" selected="0">
            <x v="0"/>
          </reference>
          <reference field="12" count="1">
            <x v="14"/>
          </reference>
        </references>
      </pivotArea>
    </format>
    <format dxfId="1752">
      <pivotArea dataOnly="0" labelOnly="1" fieldPosition="0">
        <references count="5">
          <reference field="0" count="1" selected="0">
            <x v="209"/>
          </reference>
          <reference field="1" count="1" selected="0">
            <x v="154"/>
          </reference>
          <reference field="2" count="1" selected="0">
            <x v="98"/>
          </reference>
          <reference field="3" count="1" selected="0">
            <x v="0"/>
          </reference>
          <reference field="12" count="1">
            <x v="14"/>
          </reference>
        </references>
      </pivotArea>
    </format>
    <format dxfId="1751">
      <pivotArea dataOnly="0" labelOnly="1" fieldPosition="0">
        <references count="5">
          <reference field="0" count="1" selected="0">
            <x v="210"/>
          </reference>
          <reference field="1" count="1" selected="0">
            <x v="155"/>
          </reference>
          <reference field="2" count="1" selected="0">
            <x v="162"/>
          </reference>
          <reference field="3" count="1" selected="0">
            <x v="0"/>
          </reference>
          <reference field="12" count="1">
            <x v="7"/>
          </reference>
        </references>
      </pivotArea>
    </format>
    <format dxfId="1750">
      <pivotArea dataOnly="0" labelOnly="1" fieldPosition="0">
        <references count="5">
          <reference field="0" count="1" selected="0">
            <x v="211"/>
          </reference>
          <reference field="1" count="1" selected="0">
            <x v="156"/>
          </reference>
          <reference field="2" count="1" selected="0">
            <x v="164"/>
          </reference>
          <reference field="3" count="1" selected="0">
            <x v="0"/>
          </reference>
          <reference field="12" count="1">
            <x v="20"/>
          </reference>
        </references>
      </pivotArea>
    </format>
    <format dxfId="1749">
      <pivotArea dataOnly="0" labelOnly="1" fieldPosition="0">
        <references count="5">
          <reference field="0" count="1" selected="0">
            <x v="212"/>
          </reference>
          <reference field="1" count="1" selected="0">
            <x v="157"/>
          </reference>
          <reference field="2" count="1" selected="0">
            <x v="170"/>
          </reference>
          <reference field="3" count="1" selected="0">
            <x v="0"/>
          </reference>
          <reference field="12" count="1">
            <x v="20"/>
          </reference>
        </references>
      </pivotArea>
    </format>
    <format dxfId="1748">
      <pivotArea dataOnly="0" labelOnly="1" fieldPosition="0">
        <references count="5">
          <reference field="0" count="1" selected="0">
            <x v="214"/>
          </reference>
          <reference field="1" count="1" selected="0">
            <x v="159"/>
          </reference>
          <reference field="2" count="1" selected="0">
            <x v="139"/>
          </reference>
          <reference field="3" count="1" selected="0">
            <x v="0"/>
          </reference>
          <reference field="12" count="1">
            <x v="10"/>
          </reference>
        </references>
      </pivotArea>
    </format>
    <format dxfId="1747">
      <pivotArea dataOnly="0" labelOnly="1" fieldPosition="0">
        <references count="5">
          <reference field="0" count="1" selected="0">
            <x v="215"/>
          </reference>
          <reference field="1" count="1" selected="0">
            <x v="160"/>
          </reference>
          <reference field="2" count="1" selected="0">
            <x v="137"/>
          </reference>
          <reference field="3" count="1" selected="0">
            <x v="0"/>
          </reference>
          <reference field="12" count="1">
            <x v="10"/>
          </reference>
        </references>
      </pivotArea>
    </format>
    <format dxfId="1746">
      <pivotArea dataOnly="0" labelOnly="1" fieldPosition="0">
        <references count="5">
          <reference field="0" count="1" selected="0">
            <x v="216"/>
          </reference>
          <reference field="1" count="1" selected="0">
            <x v="161"/>
          </reference>
          <reference field="2" count="1" selected="0">
            <x v="136"/>
          </reference>
          <reference field="3" count="1" selected="0">
            <x v="0"/>
          </reference>
          <reference field="12" count="1">
            <x v="10"/>
          </reference>
        </references>
      </pivotArea>
    </format>
    <format dxfId="1745">
      <pivotArea dataOnly="0" labelOnly="1" fieldPosition="0">
        <references count="5">
          <reference field="0" count="1" selected="0">
            <x v="217"/>
          </reference>
          <reference field="1" count="1" selected="0">
            <x v="162"/>
          </reference>
          <reference field="2" count="1" selected="0">
            <x v="13"/>
          </reference>
          <reference field="3" count="1" selected="0">
            <x v="0"/>
          </reference>
          <reference field="12" count="1">
            <x v="10"/>
          </reference>
        </references>
      </pivotArea>
    </format>
    <format dxfId="1744">
      <pivotArea dataOnly="0" labelOnly="1" fieldPosition="0">
        <references count="5">
          <reference field="0" count="1" selected="0">
            <x v="218"/>
          </reference>
          <reference field="1" count="1" selected="0">
            <x v="163"/>
          </reference>
          <reference field="2" count="1" selected="0">
            <x v="179"/>
          </reference>
          <reference field="3" count="1" selected="0">
            <x v="0"/>
          </reference>
          <reference field="12" count="1">
            <x v="10"/>
          </reference>
        </references>
      </pivotArea>
    </format>
    <format dxfId="1743">
      <pivotArea dataOnly="0" labelOnly="1" fieldPosition="0">
        <references count="5">
          <reference field="0" count="1" selected="0">
            <x v="219"/>
          </reference>
          <reference field="1" count="1" selected="0">
            <x v="164"/>
          </reference>
          <reference field="2" count="1" selected="0">
            <x v="138"/>
          </reference>
          <reference field="3" count="1" selected="0">
            <x v="0"/>
          </reference>
          <reference field="12" count="1">
            <x v="10"/>
          </reference>
        </references>
      </pivotArea>
    </format>
    <format dxfId="1742">
      <pivotArea dataOnly="0" labelOnly="1" fieldPosition="0">
        <references count="5">
          <reference field="0" count="1" selected="0">
            <x v="220"/>
          </reference>
          <reference field="1" count="1" selected="0">
            <x v="165"/>
          </reference>
          <reference field="2" count="1" selected="0">
            <x v="142"/>
          </reference>
          <reference field="3" count="1" selected="0">
            <x v="0"/>
          </reference>
          <reference field="12" count="1">
            <x v="11"/>
          </reference>
        </references>
      </pivotArea>
    </format>
    <format dxfId="1741">
      <pivotArea dataOnly="0" labelOnly="1" fieldPosition="0">
        <references count="5">
          <reference field="0" count="1" selected="0">
            <x v="221"/>
          </reference>
          <reference field="1" count="1" selected="0">
            <x v="166"/>
          </reference>
          <reference field="2" count="1" selected="0">
            <x v="143"/>
          </reference>
          <reference field="3" count="1" selected="0">
            <x v="0"/>
          </reference>
          <reference field="12" count="1">
            <x v="10"/>
          </reference>
        </references>
      </pivotArea>
    </format>
    <format dxfId="1740">
      <pivotArea dataOnly="0" labelOnly="1" fieldPosition="0">
        <references count="5">
          <reference field="0" count="1" selected="0">
            <x v="223"/>
          </reference>
          <reference field="1" count="1" selected="0">
            <x v="168"/>
          </reference>
          <reference field="2" count="1" selected="0">
            <x v="71"/>
          </reference>
          <reference field="3" count="1" selected="0">
            <x v="0"/>
          </reference>
          <reference field="12" count="1">
            <x v="24"/>
          </reference>
        </references>
      </pivotArea>
    </format>
    <format dxfId="1739">
      <pivotArea dataOnly="0" labelOnly="1" fieldPosition="0">
        <references count="5">
          <reference field="0" count="1" selected="0">
            <x v="224"/>
          </reference>
          <reference field="1" count="1" selected="0">
            <x v="169"/>
          </reference>
          <reference field="2" count="1" selected="0">
            <x v="121"/>
          </reference>
          <reference field="3" count="1" selected="0">
            <x v="0"/>
          </reference>
          <reference field="12" count="1">
            <x v="23"/>
          </reference>
        </references>
      </pivotArea>
    </format>
    <format dxfId="1738">
      <pivotArea dataOnly="0" labelOnly="1" fieldPosition="0">
        <references count="5">
          <reference field="0" count="1" selected="0">
            <x v="225"/>
          </reference>
          <reference field="1" count="1" selected="0">
            <x v="170"/>
          </reference>
          <reference field="2" count="1" selected="0">
            <x v="120"/>
          </reference>
          <reference field="3" count="1" selected="0">
            <x v="0"/>
          </reference>
          <reference field="12" count="1">
            <x v="23"/>
          </reference>
        </references>
      </pivotArea>
    </format>
    <format dxfId="1737">
      <pivotArea dataOnly="0" labelOnly="1" fieldPosition="0">
        <references count="5">
          <reference field="0" count="1" selected="0">
            <x v="226"/>
          </reference>
          <reference field="1" count="1" selected="0">
            <x v="171"/>
          </reference>
          <reference field="2" count="1" selected="0">
            <x v="41"/>
          </reference>
          <reference field="3" count="1" selected="0">
            <x v="0"/>
          </reference>
          <reference field="12" count="1">
            <x v="23"/>
          </reference>
        </references>
      </pivotArea>
    </format>
    <format dxfId="1736">
      <pivotArea dataOnly="0" labelOnly="1" fieldPosition="0">
        <references count="5">
          <reference field="0" count="1" selected="0">
            <x v="227"/>
          </reference>
          <reference field="1" count="1" selected="0">
            <x v="172"/>
          </reference>
          <reference field="2" count="1" selected="0">
            <x v="42"/>
          </reference>
          <reference field="3" count="1" selected="0">
            <x v="0"/>
          </reference>
          <reference field="12" count="1">
            <x v="23"/>
          </reference>
        </references>
      </pivotArea>
    </format>
    <format dxfId="1735">
      <pivotArea dataOnly="0" labelOnly="1" fieldPosition="0">
        <references count="5">
          <reference field="0" count="1" selected="0">
            <x v="228"/>
          </reference>
          <reference field="1" count="1" selected="0">
            <x v="173"/>
          </reference>
          <reference field="2" count="1" selected="0">
            <x v="145"/>
          </reference>
          <reference field="3" count="1" selected="0">
            <x v="0"/>
          </reference>
          <reference field="12" count="1">
            <x v="3"/>
          </reference>
        </references>
      </pivotArea>
    </format>
    <format dxfId="1734">
      <pivotArea dataOnly="0" labelOnly="1" fieldPosition="0">
        <references count="5">
          <reference field="0" count="1" selected="0">
            <x v="229"/>
          </reference>
          <reference field="1" count="1" selected="0">
            <x v="174"/>
          </reference>
          <reference field="2" count="1" selected="0">
            <x v="91"/>
          </reference>
          <reference field="3" count="1" selected="0">
            <x v="0"/>
          </reference>
          <reference field="12" count="1">
            <x v="3"/>
          </reference>
        </references>
      </pivotArea>
    </format>
    <format dxfId="1733">
      <pivotArea dataOnly="0" labelOnly="1" fieldPosition="0">
        <references count="5">
          <reference field="0" count="1" selected="0">
            <x v="230"/>
          </reference>
          <reference field="1" count="1" selected="0">
            <x v="175"/>
          </reference>
          <reference field="2" count="1" selected="0">
            <x v="160"/>
          </reference>
          <reference field="3" count="1" selected="0">
            <x v="0"/>
          </reference>
          <reference field="12" count="1">
            <x v="3"/>
          </reference>
        </references>
      </pivotArea>
    </format>
    <format dxfId="1732">
      <pivotArea dataOnly="0" labelOnly="1" fieldPosition="0">
        <references count="5">
          <reference field="0" count="1" selected="0">
            <x v="231"/>
          </reference>
          <reference field="1" count="1" selected="0">
            <x v="176"/>
          </reference>
          <reference field="2" count="1" selected="0">
            <x v="42"/>
          </reference>
          <reference field="3" count="1" selected="0">
            <x v="0"/>
          </reference>
          <reference field="12" count="1">
            <x v="3"/>
          </reference>
        </references>
      </pivotArea>
    </format>
    <format dxfId="1731">
      <pivotArea dataOnly="0" labelOnly="1" fieldPosition="0">
        <references count="5">
          <reference field="0" count="1" selected="0">
            <x v="232"/>
          </reference>
          <reference field="1" count="1" selected="0">
            <x v="177"/>
          </reference>
          <reference field="2" count="1" selected="0">
            <x v="47"/>
          </reference>
          <reference field="3" count="1" selected="0">
            <x v="0"/>
          </reference>
          <reference field="12" count="1">
            <x v="3"/>
          </reference>
        </references>
      </pivotArea>
    </format>
    <format dxfId="1730">
      <pivotArea dataOnly="0" labelOnly="1" fieldPosition="0">
        <references count="5">
          <reference field="0" count="1" selected="0">
            <x v="233"/>
          </reference>
          <reference field="1" count="1" selected="0">
            <x v="178"/>
          </reference>
          <reference field="2" count="1" selected="0">
            <x v="32"/>
          </reference>
          <reference field="3" count="1" selected="0">
            <x v="0"/>
          </reference>
          <reference field="12" count="1">
            <x v="3"/>
          </reference>
        </references>
      </pivotArea>
    </format>
    <format dxfId="1729">
      <pivotArea dataOnly="0" labelOnly="1" fieldPosition="0">
        <references count="5">
          <reference field="0" count="1" selected="0">
            <x v="234"/>
          </reference>
          <reference field="1" count="1" selected="0">
            <x v="179"/>
          </reference>
          <reference field="2" count="1" selected="0">
            <x v="163"/>
          </reference>
          <reference field="3" count="1" selected="0">
            <x v="0"/>
          </reference>
          <reference field="12" count="1">
            <x v="28"/>
          </reference>
        </references>
      </pivotArea>
    </format>
    <format dxfId="1728">
      <pivotArea dataOnly="0" labelOnly="1" fieldPosition="0">
        <references count="5">
          <reference field="0" count="1" selected="0">
            <x v="235"/>
          </reference>
          <reference field="1" count="1" selected="0">
            <x v="191"/>
          </reference>
          <reference field="2" count="1" selected="0">
            <x v="155"/>
          </reference>
          <reference field="3" count="1" selected="0">
            <x v="0"/>
          </reference>
          <reference field="12" count="1">
            <x v="3"/>
          </reference>
        </references>
      </pivotArea>
    </format>
    <format dxfId="1727">
      <pivotArea dataOnly="0" labelOnly="1" fieldPosition="0">
        <references count="5">
          <reference field="0" count="1" selected="0">
            <x v="236"/>
          </reference>
          <reference field="1" count="1" selected="0">
            <x v="192"/>
          </reference>
          <reference field="2" count="1" selected="0">
            <x v="27"/>
          </reference>
          <reference field="3" count="1" selected="0">
            <x v="0"/>
          </reference>
          <reference field="12" count="1">
            <x v="3"/>
          </reference>
        </references>
      </pivotArea>
    </format>
    <format dxfId="1726">
      <pivotArea dataOnly="0" labelOnly="1" fieldPosition="0">
        <references count="5">
          <reference field="0" count="1" selected="0">
            <x v="237"/>
          </reference>
          <reference field="1" count="1" selected="0">
            <x v="193"/>
          </reference>
          <reference field="2" count="1" selected="0">
            <x v="89"/>
          </reference>
          <reference field="3" count="1" selected="0">
            <x v="0"/>
          </reference>
          <reference field="12" count="1">
            <x v="3"/>
          </reference>
        </references>
      </pivotArea>
    </format>
    <format dxfId="1725">
      <pivotArea dataOnly="0" labelOnly="1" fieldPosition="0">
        <references count="5">
          <reference field="0" count="1" selected="0">
            <x v="238"/>
          </reference>
          <reference field="1" count="1" selected="0">
            <x v="194"/>
          </reference>
          <reference field="2" count="1" selected="0">
            <x v="25"/>
          </reference>
          <reference field="3" count="1" selected="0">
            <x v="0"/>
          </reference>
          <reference field="12" count="1">
            <x v="0"/>
          </reference>
        </references>
      </pivotArea>
    </format>
    <format dxfId="1724">
      <pivotArea dataOnly="0" labelOnly="1" fieldPosition="0">
        <references count="5">
          <reference field="0" count="1" selected="0">
            <x v="239"/>
          </reference>
          <reference field="1" count="1" selected="0">
            <x v="195"/>
          </reference>
          <reference field="2" count="1" selected="0">
            <x v="28"/>
          </reference>
          <reference field="3" count="1" selected="0">
            <x v="0"/>
          </reference>
          <reference field="12" count="1">
            <x v="0"/>
          </reference>
        </references>
      </pivotArea>
    </format>
    <format dxfId="1723">
      <pivotArea dataOnly="0" labelOnly="1" fieldPosition="0">
        <references count="5">
          <reference field="0" count="1" selected="0">
            <x v="240"/>
          </reference>
          <reference field="1" count="1" selected="0">
            <x v="196"/>
          </reference>
          <reference field="2" count="1" selected="0">
            <x v="40"/>
          </reference>
          <reference field="3" count="1" selected="0">
            <x v="0"/>
          </reference>
          <reference field="12" count="1">
            <x v="3"/>
          </reference>
        </references>
      </pivotArea>
    </format>
    <format dxfId="1722">
      <pivotArea dataOnly="0" labelOnly="1" fieldPosition="0">
        <references count="5">
          <reference field="0" count="1" selected="0">
            <x v="241"/>
          </reference>
          <reference field="1" count="1" selected="0">
            <x v="197"/>
          </reference>
          <reference field="2" count="1" selected="0">
            <x v="195"/>
          </reference>
          <reference field="3" count="1" selected="0">
            <x v="0"/>
          </reference>
          <reference field="12" count="1">
            <x v="0"/>
          </reference>
        </references>
      </pivotArea>
    </format>
    <format dxfId="1721">
      <pivotArea dataOnly="0" labelOnly="1" fieldPosition="0">
        <references count="5">
          <reference field="0" count="1" selected="0">
            <x v="242"/>
          </reference>
          <reference field="1" count="1" selected="0">
            <x v="198"/>
          </reference>
          <reference field="2" count="1" selected="0">
            <x v="132"/>
          </reference>
          <reference field="3" count="1" selected="0">
            <x v="0"/>
          </reference>
          <reference field="12" count="1">
            <x v="6"/>
          </reference>
        </references>
      </pivotArea>
    </format>
    <format dxfId="1720">
      <pivotArea dataOnly="0" labelOnly="1" fieldPosition="0">
        <references count="6">
          <reference field="0" count="1" selected="0">
            <x v="0"/>
          </reference>
          <reference field="1" count="1" selected="0">
            <x v="228"/>
          </reference>
          <reference field="2" count="1" selected="0">
            <x v="153"/>
          </reference>
          <reference field="3" count="1" selected="0">
            <x v="0"/>
          </reference>
          <reference field="12" count="1" selected="0">
            <x v="7"/>
          </reference>
          <reference field="13" count="1">
            <x v="24"/>
          </reference>
        </references>
      </pivotArea>
    </format>
    <format dxfId="1719">
      <pivotArea dataOnly="0" labelOnly="1" fieldPosition="0">
        <references count="6">
          <reference field="0" count="1" selected="0">
            <x v="2"/>
          </reference>
          <reference field="1" count="1" selected="0">
            <x v="230"/>
          </reference>
          <reference field="2" count="1" selected="0">
            <x v="225"/>
          </reference>
          <reference field="3" count="1" selected="0">
            <x v="0"/>
          </reference>
          <reference field="12" count="1" selected="0">
            <x v="7"/>
          </reference>
          <reference field="13" count="1">
            <x v="0"/>
          </reference>
        </references>
      </pivotArea>
    </format>
    <format dxfId="1718">
      <pivotArea dataOnly="0" labelOnly="1" fieldPosition="0">
        <references count="6">
          <reference field="0" count="1" selected="0">
            <x v="3"/>
          </reference>
          <reference field="1" count="1" selected="0">
            <x v="231"/>
          </reference>
          <reference field="2" count="1" selected="0">
            <x v="88"/>
          </reference>
          <reference field="3" count="1" selected="0">
            <x v="0"/>
          </reference>
          <reference field="12" count="1" selected="0">
            <x v="3"/>
          </reference>
          <reference field="13" count="1">
            <x v="0"/>
          </reference>
        </references>
      </pivotArea>
    </format>
    <format dxfId="1717">
      <pivotArea dataOnly="0" labelOnly="1" fieldPosition="0">
        <references count="6">
          <reference field="0" count="1" selected="0">
            <x v="4"/>
          </reference>
          <reference field="1" count="1" selected="0">
            <x v="232"/>
          </reference>
          <reference field="2" count="1" selected="0">
            <x v="90"/>
          </reference>
          <reference field="3" count="1" selected="0">
            <x v="0"/>
          </reference>
          <reference field="12" count="1" selected="0">
            <x v="3"/>
          </reference>
          <reference field="13" count="1">
            <x v="0"/>
          </reference>
        </references>
      </pivotArea>
    </format>
    <format dxfId="1716">
      <pivotArea dataOnly="0" labelOnly="1" fieldPosition="0">
        <references count="6">
          <reference field="0" count="1" selected="0">
            <x v="5"/>
          </reference>
          <reference field="1" count="1" selected="0">
            <x v="233"/>
          </reference>
          <reference field="2" count="1" selected="0">
            <x v="224"/>
          </reference>
          <reference field="3" count="1" selected="0">
            <x v="0"/>
          </reference>
          <reference field="12" count="1" selected="0">
            <x v="7"/>
          </reference>
          <reference field="13" count="1">
            <x v="0"/>
          </reference>
        </references>
      </pivotArea>
    </format>
    <format dxfId="1715">
      <pivotArea dataOnly="0" labelOnly="1" fieldPosition="0">
        <references count="6">
          <reference field="0" count="1" selected="0">
            <x v="7"/>
          </reference>
          <reference field="1" count="1" selected="0">
            <x v="118"/>
          </reference>
          <reference field="2" count="1" selected="0">
            <x v="171"/>
          </reference>
          <reference field="3" count="1" selected="0">
            <x v="0"/>
          </reference>
          <reference field="12" count="1" selected="0">
            <x v="0"/>
          </reference>
          <reference field="13" count="1">
            <x v="0"/>
          </reference>
        </references>
      </pivotArea>
    </format>
    <format dxfId="1714">
      <pivotArea dataOnly="0" labelOnly="1" fieldPosition="0">
        <references count="6">
          <reference field="0" count="1" selected="0">
            <x v="9"/>
          </reference>
          <reference field="1" count="1" selected="0">
            <x v="120"/>
          </reference>
          <reference field="2" count="1" selected="0">
            <x v="168"/>
          </reference>
          <reference field="3" count="1" selected="0">
            <x v="0"/>
          </reference>
          <reference field="12" count="1" selected="0">
            <x v="0"/>
          </reference>
          <reference field="13" count="1">
            <x v="0"/>
          </reference>
        </references>
      </pivotArea>
    </format>
    <format dxfId="1713">
      <pivotArea dataOnly="0" labelOnly="1" fieldPosition="0">
        <references count="6">
          <reference field="0" count="1" selected="0">
            <x v="10"/>
          </reference>
          <reference field="1" count="1" selected="0">
            <x v="121"/>
          </reference>
          <reference field="2" count="1" selected="0">
            <x v="82"/>
          </reference>
          <reference field="3" count="1" selected="0">
            <x v="0"/>
          </reference>
          <reference field="12" count="1" selected="0">
            <x v="0"/>
          </reference>
          <reference field="13" count="1">
            <x v="0"/>
          </reference>
        </references>
      </pivotArea>
    </format>
    <format dxfId="1712">
      <pivotArea dataOnly="0" labelOnly="1" fieldPosition="0">
        <references count="6">
          <reference field="0" count="1" selected="0">
            <x v="11"/>
          </reference>
          <reference field="1" count="1" selected="0">
            <x v="122"/>
          </reference>
          <reference field="2" count="1" selected="0">
            <x v="26"/>
          </reference>
          <reference field="3" count="1" selected="0">
            <x v="0"/>
          </reference>
          <reference field="12" count="1" selected="0">
            <x v="0"/>
          </reference>
          <reference field="13" count="1">
            <x v="0"/>
          </reference>
        </references>
      </pivotArea>
    </format>
    <format dxfId="1711">
      <pivotArea dataOnly="0" labelOnly="1" fieldPosition="0">
        <references count="6">
          <reference field="0" count="1" selected="0">
            <x v="12"/>
          </reference>
          <reference field="1" count="1" selected="0">
            <x v="123"/>
          </reference>
          <reference field="2" count="1" selected="0">
            <x v="150"/>
          </reference>
          <reference field="3" count="1" selected="0">
            <x v="0"/>
          </reference>
          <reference field="12" count="1" selected="0">
            <x v="0"/>
          </reference>
          <reference field="13" count="1">
            <x v="2"/>
          </reference>
        </references>
      </pivotArea>
    </format>
    <format dxfId="1710">
      <pivotArea dataOnly="0" labelOnly="1" fieldPosition="0">
        <references count="6">
          <reference field="0" count="1" selected="0">
            <x v="16"/>
          </reference>
          <reference field="1" count="1" selected="0">
            <x v="64"/>
          </reference>
          <reference field="2" count="1" selected="0">
            <x v="157"/>
          </reference>
          <reference field="3" count="1" selected="0">
            <x v="0"/>
          </reference>
          <reference field="12" count="1" selected="0">
            <x v="7"/>
          </reference>
          <reference field="13" count="1">
            <x v="0"/>
          </reference>
        </references>
      </pivotArea>
    </format>
    <format dxfId="1709">
      <pivotArea dataOnly="0" labelOnly="1" fieldPosition="0">
        <references count="6">
          <reference field="0" count="1" selected="0">
            <x v="18"/>
          </reference>
          <reference field="1" count="1" selected="0">
            <x v="66"/>
          </reference>
          <reference field="2" count="1" selected="0">
            <x v="189"/>
          </reference>
          <reference field="3" count="1" selected="0">
            <x v="0"/>
          </reference>
          <reference field="12" count="1" selected="0">
            <x v="7"/>
          </reference>
          <reference field="13" count="1">
            <x v="0"/>
          </reference>
        </references>
      </pivotArea>
    </format>
    <format dxfId="1708">
      <pivotArea dataOnly="0" labelOnly="1" fieldPosition="0">
        <references count="6">
          <reference field="0" count="1" selected="0">
            <x v="22"/>
          </reference>
          <reference field="1" count="1" selected="0">
            <x v="19"/>
          </reference>
          <reference field="2" count="1" selected="0">
            <x v="39"/>
          </reference>
          <reference field="3" count="1" selected="0">
            <x v="0"/>
          </reference>
          <reference field="12" count="1" selected="0">
            <x v="9"/>
          </reference>
          <reference field="13" count="1">
            <x v="0"/>
          </reference>
        </references>
      </pivotArea>
    </format>
    <format dxfId="1707">
      <pivotArea dataOnly="0" labelOnly="1" fieldPosition="0">
        <references count="6">
          <reference field="0" count="1" selected="0">
            <x v="25"/>
          </reference>
          <reference field="1" count="1" selected="0">
            <x v="22"/>
          </reference>
          <reference field="2" count="1" selected="0">
            <x v="84"/>
          </reference>
          <reference field="3" count="1" selected="0">
            <x v="0"/>
          </reference>
          <reference field="12" count="1" selected="0">
            <x v="9"/>
          </reference>
          <reference field="13" count="1">
            <x v="0"/>
          </reference>
        </references>
      </pivotArea>
    </format>
    <format dxfId="1706">
      <pivotArea dataOnly="0" labelOnly="1" fieldPosition="0">
        <references count="6">
          <reference field="0" count="1" selected="0">
            <x v="26"/>
          </reference>
          <reference field="1" count="1" selected="0">
            <x v="23"/>
          </reference>
          <reference field="2" count="1" selected="0">
            <x v="217"/>
          </reference>
          <reference field="3" count="1" selected="0">
            <x v="0"/>
          </reference>
          <reference field="12" count="1" selected="0">
            <x v="5"/>
          </reference>
          <reference field="13" count="1">
            <x v="0"/>
          </reference>
        </references>
      </pivotArea>
    </format>
    <format dxfId="1705">
      <pivotArea dataOnly="0" labelOnly="1" fieldPosition="0">
        <references count="6">
          <reference field="0" count="1" selected="0">
            <x v="28"/>
          </reference>
          <reference field="1" count="1" selected="0">
            <x v="25"/>
          </reference>
          <reference field="2" count="1" selected="0">
            <x v="52"/>
          </reference>
          <reference field="3" count="1" selected="0">
            <x v="0"/>
          </reference>
          <reference field="12" count="1" selected="0">
            <x v="0"/>
          </reference>
          <reference field="13" count="1">
            <x v="0"/>
          </reference>
        </references>
      </pivotArea>
    </format>
    <format dxfId="1704">
      <pivotArea dataOnly="0" labelOnly="1" fieldPosition="0">
        <references count="6">
          <reference field="0" count="1" selected="0">
            <x v="29"/>
          </reference>
          <reference field="1" count="1" selected="0">
            <x v="26"/>
          </reference>
          <reference field="2" count="1" selected="0">
            <x v="62"/>
          </reference>
          <reference field="3" count="1" selected="0">
            <x v="0"/>
          </reference>
          <reference field="12" count="1" selected="0">
            <x v="15"/>
          </reference>
          <reference field="13" count="1">
            <x v="0"/>
          </reference>
        </references>
      </pivotArea>
    </format>
    <format dxfId="1703">
      <pivotArea dataOnly="0" labelOnly="1" fieldPosition="0">
        <references count="6">
          <reference field="0" count="1" selected="0">
            <x v="30"/>
          </reference>
          <reference field="1" count="1" selected="0">
            <x v="27"/>
          </reference>
          <reference field="2" count="1" selected="0">
            <x v="7"/>
          </reference>
          <reference field="3" count="1" selected="0">
            <x v="0"/>
          </reference>
          <reference field="12" count="1" selected="0">
            <x v="15"/>
          </reference>
          <reference field="13" count="1">
            <x v="0"/>
          </reference>
        </references>
      </pivotArea>
    </format>
    <format dxfId="1702">
      <pivotArea dataOnly="0" labelOnly="1" fieldPosition="0">
        <references count="6">
          <reference field="0" count="1" selected="0">
            <x v="31"/>
          </reference>
          <reference field="1" count="1" selected="0">
            <x v="28"/>
          </reference>
          <reference field="2" count="1" selected="0">
            <x v="53"/>
          </reference>
          <reference field="3" count="1" selected="0">
            <x v="0"/>
          </reference>
          <reference field="12" count="1" selected="0">
            <x v="7"/>
          </reference>
          <reference field="13" count="1">
            <x v="0"/>
          </reference>
        </references>
      </pivotArea>
    </format>
    <format dxfId="1701">
      <pivotArea dataOnly="0" labelOnly="1" fieldPosition="0">
        <references count="6">
          <reference field="0" count="1" selected="0">
            <x v="35"/>
          </reference>
          <reference field="1" count="1" selected="0">
            <x v="32"/>
          </reference>
          <reference field="2" count="1" selected="0">
            <x v="51"/>
          </reference>
          <reference field="3" count="1" selected="0">
            <x v="0"/>
          </reference>
          <reference field="12" count="1" selected="0">
            <x v="9"/>
          </reference>
          <reference field="13" count="1">
            <x v="0"/>
          </reference>
        </references>
      </pivotArea>
    </format>
    <format dxfId="1700">
      <pivotArea dataOnly="0" labelOnly="1" fieldPosition="0">
        <references count="6">
          <reference field="0" count="1" selected="0">
            <x v="36"/>
          </reference>
          <reference field="1" count="1" selected="0">
            <x v="33"/>
          </reference>
          <reference field="2" count="1" selected="0">
            <x v="130"/>
          </reference>
          <reference field="3" count="1" selected="0">
            <x v="0"/>
          </reference>
          <reference field="12" count="1" selected="0">
            <x v="22"/>
          </reference>
          <reference field="13" count="1">
            <x v="0"/>
          </reference>
        </references>
      </pivotArea>
    </format>
    <format dxfId="1699">
      <pivotArea dataOnly="0" labelOnly="1" fieldPosition="0">
        <references count="6">
          <reference field="0" count="1" selected="0">
            <x v="37"/>
          </reference>
          <reference field="1" count="1" selected="0">
            <x v="34"/>
          </reference>
          <reference field="2" count="1" selected="0">
            <x v="70"/>
          </reference>
          <reference field="3" count="1" selected="0">
            <x v="0"/>
          </reference>
          <reference field="12" count="1" selected="0">
            <x v="10"/>
          </reference>
          <reference field="13" count="1">
            <x v="0"/>
          </reference>
        </references>
      </pivotArea>
    </format>
    <format dxfId="1698">
      <pivotArea dataOnly="0" labelOnly="1" fieldPosition="0">
        <references count="6">
          <reference field="0" count="1" selected="0">
            <x v="38"/>
          </reference>
          <reference field="1" count="1" selected="0">
            <x v="0"/>
          </reference>
          <reference field="2" count="1" selected="0">
            <x v="45"/>
          </reference>
          <reference field="3" count="1" selected="0">
            <x v="0"/>
          </reference>
          <reference field="12" count="1" selected="0">
            <x v="10"/>
          </reference>
          <reference field="13" count="1">
            <x v="0"/>
          </reference>
        </references>
      </pivotArea>
    </format>
    <format dxfId="1697">
      <pivotArea dataOnly="0" labelOnly="1" fieldPosition="0">
        <references count="6">
          <reference field="0" count="1" selected="0">
            <x v="39"/>
          </reference>
          <reference field="1" count="1" selected="0">
            <x v="1"/>
          </reference>
          <reference field="2" count="1" selected="0">
            <x v="46"/>
          </reference>
          <reference field="3" count="1" selected="0">
            <x v="0"/>
          </reference>
          <reference field="12" count="1" selected="0">
            <x v="10"/>
          </reference>
          <reference field="13" count="1">
            <x v="0"/>
          </reference>
        </references>
      </pivotArea>
    </format>
    <format dxfId="1696">
      <pivotArea dataOnly="0" labelOnly="1" fieldPosition="0">
        <references count="6">
          <reference field="0" count="1" selected="0">
            <x v="42"/>
          </reference>
          <reference field="1" count="1" selected="0">
            <x v="4"/>
          </reference>
          <reference field="2" count="1" selected="0">
            <x v="64"/>
          </reference>
          <reference field="3" count="1" selected="0">
            <x v="0"/>
          </reference>
          <reference field="12" count="1" selected="0">
            <x v="10"/>
          </reference>
          <reference field="13" count="1">
            <x v="0"/>
          </reference>
        </references>
      </pivotArea>
    </format>
    <format dxfId="1695">
      <pivotArea dataOnly="0" labelOnly="1" fieldPosition="0">
        <references count="6">
          <reference field="0" count="1" selected="0">
            <x v="43"/>
          </reference>
          <reference field="1" count="1" selected="0">
            <x v="5"/>
          </reference>
          <reference field="2" count="1" selected="0">
            <x v="19"/>
          </reference>
          <reference field="3" count="1" selected="0">
            <x v="0"/>
          </reference>
          <reference field="12" count="1" selected="0">
            <x v="10"/>
          </reference>
          <reference field="13" count="1">
            <x v="0"/>
          </reference>
        </references>
      </pivotArea>
    </format>
    <format dxfId="1694">
      <pivotArea dataOnly="0" labelOnly="1" fieldPosition="0">
        <references count="6">
          <reference field="0" count="1" selected="0">
            <x v="44"/>
          </reference>
          <reference field="1" count="1" selected="0">
            <x v="6"/>
          </reference>
          <reference field="2" count="1" selected="0">
            <x v="23"/>
          </reference>
          <reference field="3" count="1" selected="0">
            <x v="0"/>
          </reference>
          <reference field="12" count="1" selected="0">
            <x v="10"/>
          </reference>
          <reference field="13" count="1">
            <x v="0"/>
          </reference>
        </references>
      </pivotArea>
    </format>
    <format dxfId="1693">
      <pivotArea dataOnly="0" labelOnly="1" fieldPosition="0">
        <references count="6">
          <reference field="0" count="1" selected="0">
            <x v="45"/>
          </reference>
          <reference field="1" count="1" selected="0">
            <x v="7"/>
          </reference>
          <reference field="2" count="1" selected="0">
            <x v="22"/>
          </reference>
          <reference field="3" count="1" selected="0">
            <x v="0"/>
          </reference>
          <reference field="12" count="1" selected="0">
            <x v="10"/>
          </reference>
          <reference field="13" count="1">
            <x v="0"/>
          </reference>
        </references>
      </pivotArea>
    </format>
    <format dxfId="1692">
      <pivotArea dataOnly="0" labelOnly="1" fieldPosition="0">
        <references count="6">
          <reference field="0" count="1" selected="0">
            <x v="46"/>
          </reference>
          <reference field="1" count="1" selected="0">
            <x v="8"/>
          </reference>
          <reference field="2" count="1" selected="0">
            <x v="135"/>
          </reference>
          <reference field="3" count="1" selected="0">
            <x v="0"/>
          </reference>
          <reference field="12" count="1" selected="0">
            <x v="10"/>
          </reference>
          <reference field="13" count="1">
            <x v="0"/>
          </reference>
        </references>
      </pivotArea>
    </format>
    <format dxfId="1691">
      <pivotArea dataOnly="0" labelOnly="1" fieldPosition="0">
        <references count="6">
          <reference field="0" count="1" selected="0">
            <x v="47"/>
          </reference>
          <reference field="1" count="1" selected="0">
            <x v="9"/>
          </reference>
          <reference field="2" count="1" selected="0">
            <x v="141"/>
          </reference>
          <reference field="3" count="1" selected="0">
            <x v="0"/>
          </reference>
          <reference field="12" count="1" selected="0">
            <x v="10"/>
          </reference>
          <reference field="13" count="1">
            <x v="0"/>
          </reference>
        </references>
      </pivotArea>
    </format>
    <format dxfId="1690">
      <pivotArea dataOnly="0" labelOnly="1" fieldPosition="0">
        <references count="6">
          <reference field="0" count="1" selected="0">
            <x v="49"/>
          </reference>
          <reference field="1" count="1" selected="0">
            <x v="11"/>
          </reference>
          <reference field="2" count="1" selected="0">
            <x v="127"/>
          </reference>
          <reference field="3" count="1" selected="0">
            <x v="0"/>
          </reference>
          <reference field="12" count="1" selected="0">
            <x v="10"/>
          </reference>
          <reference field="13" count="1">
            <x v="0"/>
          </reference>
        </references>
      </pivotArea>
    </format>
    <format dxfId="1689">
      <pivotArea dataOnly="0" labelOnly="1" fieldPosition="0">
        <references count="6">
          <reference field="0" count="1" selected="0">
            <x v="55"/>
          </reference>
          <reference field="1" count="1" selected="0">
            <x v="35"/>
          </reference>
          <reference field="2" count="1" selected="0">
            <x v="65"/>
          </reference>
          <reference field="3" count="1" selected="0">
            <x v="0"/>
          </reference>
          <reference field="12" count="1" selected="0">
            <x v="3"/>
          </reference>
          <reference field="13" count="1">
            <x v="0"/>
          </reference>
        </references>
      </pivotArea>
    </format>
    <format dxfId="1688">
      <pivotArea dataOnly="0" labelOnly="1" fieldPosition="0">
        <references count="6">
          <reference field="0" count="1" selected="0">
            <x v="56"/>
          </reference>
          <reference field="1" count="1" selected="0">
            <x v="36"/>
          </reference>
          <reference field="2" count="1" selected="0">
            <x v="183"/>
          </reference>
          <reference field="3" count="1" selected="0">
            <x v="0"/>
          </reference>
          <reference field="12" count="1" selected="0">
            <x v="3"/>
          </reference>
          <reference field="13" count="1">
            <x v="0"/>
          </reference>
        </references>
      </pivotArea>
    </format>
    <format dxfId="1687">
      <pivotArea dataOnly="0" labelOnly="1" fieldPosition="0">
        <references count="6">
          <reference field="0" count="1" selected="0">
            <x v="62"/>
          </reference>
          <reference field="1" count="1" selected="0">
            <x v="42"/>
          </reference>
          <reference field="2" count="1" selected="0">
            <x v="15"/>
          </reference>
          <reference field="3" count="1" selected="0">
            <x v="0"/>
          </reference>
          <reference field="12" count="1" selected="0">
            <x v="3"/>
          </reference>
          <reference field="13" count="1">
            <x v="0"/>
          </reference>
        </references>
      </pivotArea>
    </format>
    <format dxfId="1686">
      <pivotArea dataOnly="0" labelOnly="1" fieldPosition="0">
        <references count="6">
          <reference field="0" count="1" selected="0">
            <x v="63"/>
          </reference>
          <reference field="1" count="1" selected="0">
            <x v="43"/>
          </reference>
          <reference field="2" count="1" selected="0">
            <x v="152"/>
          </reference>
          <reference field="3" count="1" selected="0">
            <x v="0"/>
          </reference>
          <reference field="12" count="1" selected="0">
            <x v="3"/>
          </reference>
          <reference field="13" count="1">
            <x v="0"/>
          </reference>
        </references>
      </pivotArea>
    </format>
    <format dxfId="1685">
      <pivotArea dataOnly="0" labelOnly="1" fieldPosition="0">
        <references count="6">
          <reference field="0" count="1" selected="0">
            <x v="64"/>
          </reference>
          <reference field="1" count="1" selected="0">
            <x v="44"/>
          </reference>
          <reference field="2" count="1" selected="0">
            <x v="146"/>
          </reference>
          <reference field="3" count="1" selected="0">
            <x v="0"/>
          </reference>
          <reference field="12" count="1" selected="0">
            <x v="3"/>
          </reference>
          <reference field="13" count="1">
            <x v="0"/>
          </reference>
        </references>
      </pivotArea>
    </format>
    <format dxfId="1684">
      <pivotArea dataOnly="0" labelOnly="1" fieldPosition="0">
        <references count="6">
          <reference field="0" count="1" selected="0">
            <x v="65"/>
          </reference>
          <reference field="1" count="1" selected="0">
            <x v="45"/>
          </reference>
          <reference field="2" count="1" selected="0">
            <x v="204"/>
          </reference>
          <reference field="3" count="1" selected="0">
            <x v="0"/>
          </reference>
          <reference field="12" count="1" selected="0">
            <x v="3"/>
          </reference>
          <reference field="13" count="1">
            <x v="0"/>
          </reference>
        </references>
      </pivotArea>
    </format>
    <format dxfId="1683">
      <pivotArea dataOnly="0" labelOnly="1" fieldPosition="0">
        <references count="6">
          <reference field="0" count="1" selected="0">
            <x v="66"/>
          </reference>
          <reference field="1" count="1" selected="0">
            <x v="46"/>
          </reference>
          <reference field="2" count="1" selected="0">
            <x v="92"/>
          </reference>
          <reference field="3" count="1" selected="0">
            <x v="0"/>
          </reference>
          <reference field="12" count="1" selected="0">
            <x v="3"/>
          </reference>
          <reference field="13" count="1">
            <x v="0"/>
          </reference>
        </references>
      </pivotArea>
    </format>
    <format dxfId="1682">
      <pivotArea dataOnly="0" labelOnly="1" fieldPosition="0">
        <references count="6">
          <reference field="0" count="1" selected="0">
            <x v="67"/>
          </reference>
          <reference field="1" count="1" selected="0">
            <x v="47"/>
          </reference>
          <reference field="2" count="1" selected="0">
            <x v="181"/>
          </reference>
          <reference field="3" count="1" selected="0">
            <x v="0"/>
          </reference>
          <reference field="12" count="1" selected="0">
            <x v="3"/>
          </reference>
          <reference field="13" count="1">
            <x v="0"/>
          </reference>
        </references>
      </pivotArea>
    </format>
    <format dxfId="1681">
      <pivotArea dataOnly="0" labelOnly="1" fieldPosition="0">
        <references count="6">
          <reference field="0" count="1" selected="0">
            <x v="68"/>
          </reference>
          <reference field="1" count="1" selected="0">
            <x v="48"/>
          </reference>
          <reference field="2" count="1" selected="0">
            <x v="231"/>
          </reference>
          <reference field="3" count="1" selected="0">
            <x v="0"/>
          </reference>
          <reference field="12" count="1" selected="0">
            <x v="3"/>
          </reference>
          <reference field="13" count="1">
            <x v="0"/>
          </reference>
        </references>
      </pivotArea>
    </format>
    <format dxfId="1680">
      <pivotArea dataOnly="0" labelOnly="1" fieldPosition="0">
        <references count="6">
          <reference field="0" count="1" selected="0">
            <x v="79"/>
          </reference>
          <reference field="1" count="1" selected="0">
            <x v="59"/>
          </reference>
          <reference field="2" count="1" selected="0">
            <x v="21"/>
          </reference>
          <reference field="3" count="1" selected="0">
            <x v="0"/>
          </reference>
          <reference field="12" count="1" selected="0">
            <x v="3"/>
          </reference>
          <reference field="13" count="1">
            <x v="0"/>
          </reference>
        </references>
      </pivotArea>
    </format>
    <format dxfId="1679">
      <pivotArea dataOnly="0" labelOnly="1" fieldPosition="0">
        <references count="6">
          <reference field="0" count="1" selected="0">
            <x v="81"/>
          </reference>
          <reference field="1" count="1" selected="0">
            <x v="68"/>
          </reference>
          <reference field="2" count="1" selected="0">
            <x v="112"/>
          </reference>
          <reference field="3" count="1" selected="0">
            <x v="0"/>
          </reference>
          <reference field="12" count="1" selected="0">
            <x v="0"/>
          </reference>
          <reference field="13" count="1">
            <x v="0"/>
          </reference>
        </references>
      </pivotArea>
    </format>
    <format dxfId="1678">
      <pivotArea dataOnly="0" labelOnly="1" fieldPosition="0">
        <references count="6">
          <reference field="0" count="1" selected="0">
            <x v="82"/>
          </reference>
          <reference field="1" count="1" selected="0">
            <x v="69"/>
          </reference>
          <reference field="2" count="1" selected="0">
            <x v="226"/>
          </reference>
          <reference field="3" count="1" selected="0">
            <x v="0"/>
          </reference>
          <reference field="12" count="1" selected="0">
            <x v="5"/>
          </reference>
          <reference field="13" count="1">
            <x v="0"/>
          </reference>
        </references>
      </pivotArea>
    </format>
    <format dxfId="1677">
      <pivotArea dataOnly="0" labelOnly="1" fieldPosition="0">
        <references count="6">
          <reference field="0" count="1" selected="0">
            <x v="83"/>
          </reference>
          <reference field="1" count="1" selected="0">
            <x v="70"/>
          </reference>
          <reference field="2" count="1" selected="0">
            <x v="193"/>
          </reference>
          <reference field="3" count="1" selected="0">
            <x v="0"/>
          </reference>
          <reference field="12" count="1" selected="0">
            <x v="5"/>
          </reference>
          <reference field="13" count="1">
            <x v="0"/>
          </reference>
        </references>
      </pivotArea>
    </format>
    <format dxfId="1676">
      <pivotArea dataOnly="0" labelOnly="1" fieldPosition="0">
        <references count="6">
          <reference field="0" count="1" selected="0">
            <x v="84"/>
          </reference>
          <reference field="1" count="1" selected="0">
            <x v="71"/>
          </reference>
          <reference field="2" count="1" selected="0">
            <x v="192"/>
          </reference>
          <reference field="3" count="1" selected="0">
            <x v="0"/>
          </reference>
          <reference field="12" count="1" selected="0">
            <x v="7"/>
          </reference>
          <reference field="13" count="1">
            <x v="0"/>
          </reference>
        </references>
      </pivotArea>
    </format>
    <format dxfId="1675">
      <pivotArea dataOnly="0" labelOnly="1" fieldPosition="0">
        <references count="6">
          <reference field="0" count="1" selected="0">
            <x v="85"/>
          </reference>
          <reference field="1" count="1" selected="0">
            <x v="72"/>
          </reference>
          <reference field="2" count="1" selected="0">
            <x v="87"/>
          </reference>
          <reference field="3" count="1" selected="0">
            <x v="0"/>
          </reference>
          <reference field="12" count="1" selected="0">
            <x v="7"/>
          </reference>
          <reference field="13" count="1">
            <x v="0"/>
          </reference>
        </references>
      </pivotArea>
    </format>
    <format dxfId="1674">
      <pivotArea dataOnly="0" labelOnly="1" fieldPosition="0">
        <references count="6">
          <reference field="0" count="1" selected="0">
            <x v="86"/>
          </reference>
          <reference field="1" count="1" selected="0">
            <x v="73"/>
          </reference>
          <reference field="2" count="1" selected="0">
            <x v="154"/>
          </reference>
          <reference field="3" count="1" selected="0">
            <x v="0"/>
          </reference>
          <reference field="12" count="1" selected="0">
            <x v="7"/>
          </reference>
          <reference field="13" count="1">
            <x v="0"/>
          </reference>
        </references>
      </pivotArea>
    </format>
    <format dxfId="1673">
      <pivotArea dataOnly="0" labelOnly="1" fieldPosition="0">
        <references count="6">
          <reference field="0" count="1" selected="0">
            <x v="87"/>
          </reference>
          <reference field="1" count="1" selected="0">
            <x v="74"/>
          </reference>
          <reference field="2" count="1" selected="0">
            <x v="208"/>
          </reference>
          <reference field="3" count="1" selected="0">
            <x v="0"/>
          </reference>
          <reference field="12" count="1" selected="0">
            <x v="7"/>
          </reference>
          <reference field="13" count="1">
            <x v="0"/>
          </reference>
        </references>
      </pivotArea>
    </format>
    <format dxfId="1672">
      <pivotArea dataOnly="0" labelOnly="1" fieldPosition="0">
        <references count="6">
          <reference field="0" count="1" selected="0">
            <x v="88"/>
          </reference>
          <reference field="1" count="1" selected="0">
            <x v="75"/>
          </reference>
          <reference field="2" count="1" selected="0">
            <x v="38"/>
          </reference>
          <reference field="3" count="1" selected="0">
            <x v="0"/>
          </reference>
          <reference field="12" count="1" selected="0">
            <x v="2"/>
          </reference>
          <reference field="13" count="1">
            <x v="0"/>
          </reference>
        </references>
      </pivotArea>
    </format>
    <format dxfId="1671">
      <pivotArea dataOnly="0" labelOnly="1" fieldPosition="0">
        <references count="6">
          <reference field="0" count="1" selected="0">
            <x v="89"/>
          </reference>
          <reference field="1" count="1" selected="0">
            <x v="76"/>
          </reference>
          <reference field="2" count="1" selected="0">
            <x v="232"/>
          </reference>
          <reference field="3" count="1" selected="0">
            <x v="0"/>
          </reference>
          <reference field="12" count="1" selected="0">
            <x v="7"/>
          </reference>
          <reference field="13" count="1">
            <x v="0"/>
          </reference>
        </references>
      </pivotArea>
    </format>
    <format dxfId="1670">
      <pivotArea dataOnly="0" labelOnly="1" fieldPosition="0">
        <references count="6">
          <reference field="0" count="1" selected="0">
            <x v="90"/>
          </reference>
          <reference field="1" count="1" selected="0">
            <x v="77"/>
          </reference>
          <reference field="2" count="1" selected="0">
            <x v="43"/>
          </reference>
          <reference field="3" count="1" selected="0">
            <x v="0"/>
          </reference>
          <reference field="12" count="1" selected="0">
            <x v="7"/>
          </reference>
          <reference field="13" count="1">
            <x v="0"/>
          </reference>
        </references>
      </pivotArea>
    </format>
    <format dxfId="1669">
      <pivotArea dataOnly="0" labelOnly="1" fieldPosition="0">
        <references count="6">
          <reference field="0" count="1" selected="0">
            <x v="91"/>
          </reference>
          <reference field="1" count="1" selected="0">
            <x v="78"/>
          </reference>
          <reference field="2" count="1" selected="0">
            <x v="12"/>
          </reference>
          <reference field="3" count="1" selected="0">
            <x v="0"/>
          </reference>
          <reference field="12" count="1" selected="0">
            <x v="7"/>
          </reference>
          <reference field="13" count="1">
            <x v="0"/>
          </reference>
        </references>
      </pivotArea>
    </format>
    <format dxfId="1668">
      <pivotArea dataOnly="0" labelOnly="1" fieldPosition="0">
        <references count="6">
          <reference field="0" count="1" selected="0">
            <x v="93"/>
          </reference>
          <reference field="1" count="1" selected="0">
            <x v="80"/>
          </reference>
          <reference field="2" count="1" selected="0">
            <x v="180"/>
          </reference>
          <reference field="3" count="1" selected="0">
            <x v="0"/>
          </reference>
          <reference field="12" count="1" selected="0">
            <x v="7"/>
          </reference>
          <reference field="13" count="1">
            <x v="0"/>
          </reference>
        </references>
      </pivotArea>
    </format>
    <format dxfId="1667">
      <pivotArea dataOnly="0" labelOnly="1" fieldPosition="0">
        <references count="6">
          <reference field="0" count="1" selected="0">
            <x v="94"/>
          </reference>
          <reference field="1" count="1" selected="0">
            <x v="81"/>
          </reference>
          <reference field="2" count="1" selected="0">
            <x v="60"/>
          </reference>
          <reference field="3" count="1" selected="0">
            <x v="0"/>
          </reference>
          <reference field="12" count="1" selected="0">
            <x v="7"/>
          </reference>
          <reference field="13" count="1">
            <x v="0"/>
          </reference>
        </references>
      </pivotArea>
    </format>
    <format dxfId="1666">
      <pivotArea dataOnly="0" labelOnly="1" fieldPosition="0">
        <references count="6">
          <reference field="0" count="1" selected="0">
            <x v="95"/>
          </reference>
          <reference field="1" count="1" selected="0">
            <x v="82"/>
          </reference>
          <reference field="2" count="1" selected="0">
            <x v="5"/>
          </reference>
          <reference field="3" count="1" selected="0">
            <x v="0"/>
          </reference>
          <reference field="12" count="1" selected="0">
            <x v="1"/>
          </reference>
          <reference field="13" count="1">
            <x v="0"/>
          </reference>
        </references>
      </pivotArea>
    </format>
    <format dxfId="1665">
      <pivotArea dataOnly="0" labelOnly="1" fieldPosition="0">
        <references count="6">
          <reference field="0" count="1" selected="0">
            <x v="96"/>
          </reference>
          <reference field="1" count="1" selected="0">
            <x v="83"/>
          </reference>
          <reference field="2" count="1" selected="0">
            <x v="173"/>
          </reference>
          <reference field="3" count="1" selected="0">
            <x v="0"/>
          </reference>
          <reference field="12" count="1" selected="0">
            <x v="3"/>
          </reference>
          <reference field="13" count="1">
            <x v="0"/>
          </reference>
        </references>
      </pivotArea>
    </format>
    <format dxfId="1664">
      <pivotArea dataOnly="0" labelOnly="1" fieldPosition="0">
        <references count="6">
          <reference field="0" count="1" selected="0">
            <x v="97"/>
          </reference>
          <reference field="1" count="1" selected="0">
            <x v="84"/>
          </reference>
          <reference field="2" count="1" selected="0">
            <x v="6"/>
          </reference>
          <reference field="3" count="1" selected="0">
            <x v="0"/>
          </reference>
          <reference field="12" count="1" selected="0">
            <x v="3"/>
          </reference>
          <reference field="13" count="1">
            <x v="0"/>
          </reference>
        </references>
      </pivotArea>
    </format>
    <format dxfId="1663">
      <pivotArea dataOnly="0" labelOnly="1" fieldPosition="0">
        <references count="6">
          <reference field="0" count="1" selected="0">
            <x v="98"/>
          </reference>
          <reference field="1" count="1" selected="0">
            <x v="85"/>
          </reference>
          <reference field="2" count="1" selected="0">
            <x v="214"/>
          </reference>
          <reference field="3" count="1" selected="0">
            <x v="0"/>
          </reference>
          <reference field="12" count="1" selected="0">
            <x v="3"/>
          </reference>
          <reference field="13" count="1">
            <x v="0"/>
          </reference>
        </references>
      </pivotArea>
    </format>
    <format dxfId="1662">
      <pivotArea dataOnly="0" labelOnly="1" fieldPosition="0">
        <references count="6">
          <reference field="0" count="1" selected="0">
            <x v="99"/>
          </reference>
          <reference field="1" count="1" selected="0">
            <x v="86"/>
          </reference>
          <reference field="2" count="1" selected="0">
            <x v="66"/>
          </reference>
          <reference field="3" count="1" selected="0">
            <x v="0"/>
          </reference>
          <reference field="12" count="1" selected="0">
            <x v="3"/>
          </reference>
          <reference field="13" count="1">
            <x v="0"/>
          </reference>
        </references>
      </pivotArea>
    </format>
    <format dxfId="1661">
      <pivotArea dataOnly="0" labelOnly="1" fieldPosition="0">
        <references count="6">
          <reference field="0" count="1" selected="0">
            <x v="100"/>
          </reference>
          <reference field="1" count="1" selected="0">
            <x v="87"/>
          </reference>
          <reference field="2" count="1" selected="0">
            <x v="75"/>
          </reference>
          <reference field="3" count="1" selected="0">
            <x v="0"/>
          </reference>
          <reference field="12" count="1" selected="0">
            <x v="3"/>
          </reference>
          <reference field="13" count="1">
            <x v="0"/>
          </reference>
        </references>
      </pivotArea>
    </format>
    <format dxfId="1660">
      <pivotArea dataOnly="0" labelOnly="1" fieldPosition="0">
        <references count="6">
          <reference field="0" count="1" selected="0">
            <x v="101"/>
          </reference>
          <reference field="1" count="1" selected="0">
            <x v="88"/>
          </reference>
          <reference field="2" count="1" selected="0">
            <x v="29"/>
          </reference>
          <reference field="3" count="1" selected="0">
            <x v="0"/>
          </reference>
          <reference field="12" count="1" selected="0">
            <x v="3"/>
          </reference>
          <reference field="13" count="1">
            <x v="0"/>
          </reference>
        </references>
      </pivotArea>
    </format>
    <format dxfId="1659">
      <pivotArea dataOnly="0" labelOnly="1" fieldPosition="0">
        <references count="6">
          <reference field="0" count="1" selected="0">
            <x v="102"/>
          </reference>
          <reference field="1" count="1" selected="0">
            <x v="89"/>
          </reference>
          <reference field="2" count="1" selected="0">
            <x v="14"/>
          </reference>
          <reference field="3" count="1" selected="0">
            <x v="0"/>
          </reference>
          <reference field="12" count="1" selected="0">
            <x v="3"/>
          </reference>
          <reference field="13" count="1">
            <x v="0"/>
          </reference>
        </references>
      </pivotArea>
    </format>
    <format dxfId="1658">
      <pivotArea dataOnly="0" labelOnly="1" fieldPosition="0">
        <references count="6">
          <reference field="0" count="1" selected="0">
            <x v="103"/>
          </reference>
          <reference field="1" count="1" selected="0">
            <x v="90"/>
          </reference>
          <reference field="2" count="1" selected="0">
            <x v="73"/>
          </reference>
          <reference field="3" count="1" selected="0">
            <x v="0"/>
          </reference>
          <reference field="12" count="1" selected="0">
            <x v="3"/>
          </reference>
          <reference field="13" count="1">
            <x v="0"/>
          </reference>
        </references>
      </pivotArea>
    </format>
    <format dxfId="1657">
      <pivotArea dataOnly="0" labelOnly="1" fieldPosition="0">
        <references count="6">
          <reference field="0" count="1" selected="0">
            <x v="104"/>
          </reference>
          <reference field="1" count="1" selected="0">
            <x v="91"/>
          </reference>
          <reference field="2" count="1" selected="0">
            <x v="68"/>
          </reference>
          <reference field="3" count="1" selected="0">
            <x v="0"/>
          </reference>
          <reference field="12" count="1" selected="0">
            <x v="3"/>
          </reference>
          <reference field="13" count="1">
            <x v="0"/>
          </reference>
        </references>
      </pivotArea>
    </format>
    <format dxfId="1656">
      <pivotArea dataOnly="0" labelOnly="1" fieldPosition="0">
        <references count="6">
          <reference field="0" count="1" selected="0">
            <x v="105"/>
          </reference>
          <reference field="1" count="1" selected="0">
            <x v="92"/>
          </reference>
          <reference field="2" count="1" selected="0">
            <x v="134"/>
          </reference>
          <reference field="3" count="1" selected="0">
            <x v="0"/>
          </reference>
          <reference field="12" count="1" selected="0">
            <x v="7"/>
          </reference>
          <reference field="13" count="1">
            <x v="0"/>
          </reference>
        </references>
      </pivotArea>
    </format>
    <format dxfId="1655">
      <pivotArea dataOnly="0" labelOnly="1" fieldPosition="0">
        <references count="6">
          <reference field="0" count="1" selected="0">
            <x v="106"/>
          </reference>
          <reference field="1" count="1" selected="0">
            <x v="93"/>
          </reference>
          <reference field="2" count="1" selected="0">
            <x v="76"/>
          </reference>
          <reference field="3" count="1" selected="0">
            <x v="0"/>
          </reference>
          <reference field="12" count="1" selected="0">
            <x v="7"/>
          </reference>
          <reference field="13" count="1">
            <x v="0"/>
          </reference>
        </references>
      </pivotArea>
    </format>
    <format dxfId="1654">
      <pivotArea dataOnly="0" labelOnly="1" fieldPosition="0">
        <references count="6">
          <reference field="0" count="1" selected="0">
            <x v="107"/>
          </reference>
          <reference field="1" count="1" selected="0">
            <x v="94"/>
          </reference>
          <reference field="2" count="1" selected="0">
            <x v="190"/>
          </reference>
          <reference field="3" count="1" selected="0">
            <x v="0"/>
          </reference>
          <reference field="12" count="1" selected="0">
            <x v="7"/>
          </reference>
          <reference field="13" count="1">
            <x v="0"/>
          </reference>
        </references>
      </pivotArea>
    </format>
    <format dxfId="1653">
      <pivotArea dataOnly="0" labelOnly="1" fieldPosition="0">
        <references count="6">
          <reference field="0" count="1" selected="0">
            <x v="108"/>
          </reference>
          <reference field="1" count="1" selected="0">
            <x v="95"/>
          </reference>
          <reference field="2" count="1" selected="0">
            <x v="236"/>
          </reference>
          <reference field="3" count="1" selected="0">
            <x v="0"/>
          </reference>
          <reference field="12" count="1" selected="0">
            <x v="7"/>
          </reference>
          <reference field="13" count="1">
            <x v="0"/>
          </reference>
        </references>
      </pivotArea>
    </format>
    <format dxfId="1652">
      <pivotArea dataOnly="0" labelOnly="1" fieldPosition="0">
        <references count="6">
          <reference field="0" count="1" selected="0">
            <x v="110"/>
          </reference>
          <reference field="1" count="1" selected="0">
            <x v="97"/>
          </reference>
          <reference field="2" count="1" selected="0">
            <x v="123"/>
          </reference>
          <reference field="3" count="1" selected="0">
            <x v="0"/>
          </reference>
          <reference field="12" count="1" selected="0">
            <x v="7"/>
          </reference>
          <reference field="13" count="1">
            <x v="0"/>
          </reference>
        </references>
      </pivotArea>
    </format>
    <format dxfId="1651">
      <pivotArea dataOnly="0" labelOnly="1" fieldPosition="0">
        <references count="6">
          <reference field="0" count="1" selected="0">
            <x v="111"/>
          </reference>
          <reference field="1" count="1" selected="0">
            <x v="98"/>
          </reference>
          <reference field="2" count="1" selected="0">
            <x v="83"/>
          </reference>
          <reference field="3" count="1" selected="0">
            <x v="0"/>
          </reference>
          <reference field="12" count="1" selected="0">
            <x v="7"/>
          </reference>
          <reference field="13" count="1">
            <x v="0"/>
          </reference>
        </references>
      </pivotArea>
    </format>
    <format dxfId="1650">
      <pivotArea dataOnly="0" labelOnly="1" fieldPosition="0">
        <references count="6">
          <reference field="0" count="1" selected="0">
            <x v="113"/>
          </reference>
          <reference field="1" count="1" selected="0">
            <x v="100"/>
          </reference>
          <reference field="2" count="1" selected="0">
            <x v="124"/>
          </reference>
          <reference field="3" count="1" selected="0">
            <x v="0"/>
          </reference>
          <reference field="12" count="1" selected="0">
            <x v="7"/>
          </reference>
          <reference field="13" count="1">
            <x v="0"/>
          </reference>
        </references>
      </pivotArea>
    </format>
    <format dxfId="1649">
      <pivotArea dataOnly="0" labelOnly="1" fieldPosition="0">
        <references count="6">
          <reference field="0" count="1" selected="0">
            <x v="121"/>
          </reference>
          <reference field="1" count="1" selected="0">
            <x v="108"/>
          </reference>
          <reference field="2" count="1" selected="0">
            <x v="207"/>
          </reference>
          <reference field="3" count="1" selected="0">
            <x v="0"/>
          </reference>
          <reference field="12" count="1" selected="0">
            <x v="5"/>
          </reference>
          <reference field="13" count="1">
            <x v="0"/>
          </reference>
        </references>
      </pivotArea>
    </format>
    <format dxfId="1648">
      <pivotArea dataOnly="0" labelOnly="1" fieldPosition="0">
        <references count="6">
          <reference field="0" count="1" selected="0">
            <x v="122"/>
          </reference>
          <reference field="1" count="1" selected="0">
            <x v="109"/>
          </reference>
          <reference field="2" count="1" selected="0">
            <x v="35"/>
          </reference>
          <reference field="3" count="1" selected="0">
            <x v="0"/>
          </reference>
          <reference field="12" count="1" selected="0">
            <x v="3"/>
          </reference>
          <reference field="13" count="1">
            <x v="0"/>
          </reference>
        </references>
      </pivotArea>
    </format>
    <format dxfId="1647">
      <pivotArea dataOnly="0" labelOnly="1" fieldPosition="0">
        <references count="6">
          <reference field="0" count="1" selected="0">
            <x v="123"/>
          </reference>
          <reference field="1" count="1" selected="0">
            <x v="110"/>
          </reference>
          <reference field="2" count="1" selected="0">
            <x v="176"/>
          </reference>
          <reference field="3" count="1" selected="0">
            <x v="0"/>
          </reference>
          <reference field="12" count="1" selected="0">
            <x v="5"/>
          </reference>
          <reference field="13" count="1">
            <x v="0"/>
          </reference>
        </references>
      </pivotArea>
    </format>
    <format dxfId="1646">
      <pivotArea dataOnly="0" labelOnly="1" fieldPosition="0">
        <references count="6">
          <reference field="0" count="1" selected="0">
            <x v="124"/>
          </reference>
          <reference field="1" count="1" selected="0">
            <x v="111"/>
          </reference>
          <reference field="2" count="1" selected="0">
            <x v="218"/>
          </reference>
          <reference field="3" count="1" selected="0">
            <x v="0"/>
          </reference>
          <reference field="12" count="1" selected="0">
            <x v="0"/>
          </reference>
          <reference field="13" count="1">
            <x v="0"/>
          </reference>
        </references>
      </pivotArea>
    </format>
    <format dxfId="1645">
      <pivotArea dataOnly="0" labelOnly="1" fieldPosition="0">
        <references count="6">
          <reference field="0" count="1" selected="0">
            <x v="125"/>
          </reference>
          <reference field="1" count="1" selected="0">
            <x v="112"/>
          </reference>
          <reference field="2" count="1" selected="0">
            <x v="197"/>
          </reference>
          <reference field="3" count="1" selected="0">
            <x v="0"/>
          </reference>
          <reference field="12" count="1" selected="0">
            <x v="3"/>
          </reference>
          <reference field="13" count="1">
            <x v="0"/>
          </reference>
        </references>
      </pivotArea>
    </format>
    <format dxfId="1644">
      <pivotArea dataOnly="0" labelOnly="1" fieldPosition="0">
        <references count="6">
          <reference field="0" count="1" selected="0">
            <x v="126"/>
          </reference>
          <reference field="1" count="1" selected="0">
            <x v="113"/>
          </reference>
          <reference field="2" count="1" selected="0">
            <x v="191"/>
          </reference>
          <reference field="3" count="1" selected="0">
            <x v="0"/>
          </reference>
          <reference field="12" count="1" selected="0">
            <x v="0"/>
          </reference>
          <reference field="13" count="1">
            <x v="0"/>
          </reference>
        </references>
      </pivotArea>
    </format>
    <format dxfId="1643">
      <pivotArea dataOnly="0" labelOnly="1" fieldPosition="0">
        <references count="6">
          <reference field="0" count="1" selected="0">
            <x v="127"/>
          </reference>
          <reference field="1" count="1" selected="0">
            <x v="114"/>
          </reference>
          <reference field="2" count="1" selected="0">
            <x v="174"/>
          </reference>
          <reference field="3" count="1" selected="0">
            <x v="0"/>
          </reference>
          <reference field="12" count="1" selected="0">
            <x v="0"/>
          </reference>
          <reference field="13" count="1">
            <x v="0"/>
          </reference>
        </references>
      </pivotArea>
    </format>
    <format dxfId="1642">
      <pivotArea dataOnly="0" labelOnly="1" fieldPosition="0">
        <references count="6">
          <reference field="0" count="1" selected="0">
            <x v="128"/>
          </reference>
          <reference field="1" count="1" selected="0">
            <x v="115"/>
          </reference>
          <reference field="2" count="1" selected="0">
            <x v="59"/>
          </reference>
          <reference field="3" count="1" selected="0">
            <x v="0"/>
          </reference>
          <reference field="12" count="1" selected="0">
            <x v="0"/>
          </reference>
          <reference field="13" count="1">
            <x v="0"/>
          </reference>
        </references>
      </pivotArea>
    </format>
    <format dxfId="1641">
      <pivotArea dataOnly="0" labelOnly="1" fieldPosition="0">
        <references count="6">
          <reference field="0" count="1" selected="0">
            <x v="129"/>
          </reference>
          <reference field="1" count="1" selected="0">
            <x v="116"/>
          </reference>
          <reference field="2" count="1" selected="0">
            <x v="212"/>
          </reference>
          <reference field="3" count="1" selected="0">
            <x v="0"/>
          </reference>
          <reference field="12" count="1" selected="0">
            <x v="3"/>
          </reference>
          <reference field="13" count="1">
            <x v="0"/>
          </reference>
        </references>
      </pivotArea>
    </format>
    <format dxfId="1640">
      <pivotArea dataOnly="0" labelOnly="1" fieldPosition="0">
        <references count="6">
          <reference field="0" count="1" selected="0">
            <x v="130"/>
          </reference>
          <reference field="1" count="1" selected="0">
            <x v="117"/>
          </reference>
          <reference field="2" count="1" selected="0">
            <x v="118"/>
          </reference>
          <reference field="3" count="1" selected="0">
            <x v="0"/>
          </reference>
          <reference field="12" count="1" selected="0">
            <x v="7"/>
          </reference>
          <reference field="13" count="1">
            <x v="0"/>
          </reference>
        </references>
      </pivotArea>
    </format>
    <format dxfId="1639">
      <pivotArea dataOnly="0" labelOnly="1" fieldPosition="0">
        <references count="6">
          <reference field="0" count="1" selected="0">
            <x v="134"/>
          </reference>
          <reference field="1" count="1" selected="0">
            <x v="127"/>
          </reference>
          <reference field="2" count="1" selected="0">
            <x v="2"/>
          </reference>
          <reference field="3" count="1" selected="0">
            <x v="0"/>
          </reference>
          <reference field="12" count="1" selected="0">
            <x v="4"/>
          </reference>
          <reference field="13" count="1">
            <x v="0"/>
          </reference>
        </references>
      </pivotArea>
    </format>
    <format dxfId="1638">
      <pivotArea dataOnly="0" labelOnly="1" fieldPosition="0">
        <references count="6">
          <reference field="0" count="1" selected="0">
            <x v="135"/>
          </reference>
          <reference field="1" count="1" selected="0">
            <x v="128"/>
          </reference>
          <reference field="2" count="1" selected="0">
            <x v="151"/>
          </reference>
          <reference field="3" count="1" selected="0">
            <x v="0"/>
          </reference>
          <reference field="12" count="1" selected="0">
            <x v="3"/>
          </reference>
          <reference field="13" count="1">
            <x v="0"/>
          </reference>
        </references>
      </pivotArea>
    </format>
    <format dxfId="1637">
      <pivotArea dataOnly="0" labelOnly="1" fieldPosition="0">
        <references count="6">
          <reference field="0" count="1" selected="0">
            <x v="136"/>
          </reference>
          <reference field="1" count="1" selected="0">
            <x v="129"/>
          </reference>
          <reference field="2" count="1" selected="0">
            <x v="219"/>
          </reference>
          <reference field="3" count="1" selected="0">
            <x v="0"/>
          </reference>
          <reference field="12" count="1" selected="0">
            <x v="3"/>
          </reference>
          <reference field="13" count="1">
            <x v="0"/>
          </reference>
        </references>
      </pivotArea>
    </format>
    <format dxfId="1636">
      <pivotArea dataOnly="0" labelOnly="1" fieldPosition="0">
        <references count="6">
          <reference field="0" count="1" selected="0">
            <x v="144"/>
          </reference>
          <reference field="1" count="1" selected="0">
            <x v="137"/>
          </reference>
          <reference field="2" count="1" selected="0">
            <x v="79"/>
          </reference>
          <reference field="3" count="1" selected="0">
            <x v="0"/>
          </reference>
          <reference field="12" count="1" selected="0">
            <x v="0"/>
          </reference>
          <reference field="13" count="1">
            <x v="0"/>
          </reference>
        </references>
      </pivotArea>
    </format>
    <format dxfId="1635">
      <pivotArea dataOnly="0" labelOnly="1" fieldPosition="0">
        <references count="6">
          <reference field="0" count="1" selected="0">
            <x v="146"/>
          </reference>
          <reference field="1" count="1" selected="0">
            <x v="139"/>
          </reference>
          <reference field="2" count="1" selected="0">
            <x v="30"/>
          </reference>
          <reference field="3" count="1" selected="0">
            <x v="0"/>
          </reference>
          <reference field="12" count="1" selected="0">
            <x v="26"/>
          </reference>
          <reference field="13" count="1">
            <x v="0"/>
          </reference>
        </references>
      </pivotArea>
    </format>
    <format dxfId="1634">
      <pivotArea dataOnly="0" labelOnly="1" fieldPosition="0">
        <references count="6">
          <reference field="0" count="1" selected="0">
            <x v="147"/>
          </reference>
          <reference field="1" count="1" selected="0">
            <x v="140"/>
          </reference>
          <reference field="2" count="1" selected="0">
            <x v="211"/>
          </reference>
          <reference field="3" count="1" selected="0">
            <x v="0"/>
          </reference>
          <reference field="12" count="1" selected="0">
            <x v="26"/>
          </reference>
          <reference field="13" count="1">
            <x v="0"/>
          </reference>
        </references>
      </pivotArea>
    </format>
    <format dxfId="1633">
      <pivotArea dataOnly="0" labelOnly="1" fieldPosition="0">
        <references count="6">
          <reference field="0" count="1" selected="0">
            <x v="148"/>
          </reference>
          <reference field="1" count="1" selected="0">
            <x v="141"/>
          </reference>
          <reference field="2" count="1" selected="0">
            <x v="95"/>
          </reference>
          <reference field="3" count="1" selected="0">
            <x v="0"/>
          </reference>
          <reference field="12" count="1" selected="0">
            <x v="26"/>
          </reference>
          <reference field="13" count="1">
            <x v="0"/>
          </reference>
        </references>
      </pivotArea>
    </format>
    <format dxfId="1632">
      <pivotArea dataOnly="0" labelOnly="1" fieldPosition="0">
        <references count="6">
          <reference field="0" count="1" selected="0">
            <x v="149"/>
          </reference>
          <reference field="1" count="1" selected="0">
            <x v="142"/>
          </reference>
          <reference field="2" count="1" selected="0">
            <x v="165"/>
          </reference>
          <reference field="3" count="1" selected="0">
            <x v="0"/>
          </reference>
          <reference field="12" count="1" selected="0">
            <x v="14"/>
          </reference>
          <reference field="13" count="1">
            <x v="0"/>
          </reference>
        </references>
      </pivotArea>
    </format>
    <format dxfId="1631">
      <pivotArea dataOnly="0" labelOnly="1" fieldPosition="0">
        <references count="6">
          <reference field="0" count="1" selected="0">
            <x v="150"/>
          </reference>
          <reference field="1" count="1" selected="0">
            <x v="143"/>
          </reference>
          <reference field="2" count="1" selected="0">
            <x v="166"/>
          </reference>
          <reference field="3" count="1" selected="0">
            <x v="0"/>
          </reference>
          <reference field="12" count="1" selected="0">
            <x v="14"/>
          </reference>
          <reference field="13" count="1">
            <x v="0"/>
          </reference>
        </references>
      </pivotArea>
    </format>
    <format dxfId="1630">
      <pivotArea dataOnly="0" labelOnly="1" fieldPosition="0">
        <references count="6">
          <reference field="0" count="1" selected="0">
            <x v="151"/>
          </reference>
          <reference field="1" count="1" selected="0">
            <x v="144"/>
          </reference>
          <reference field="2" count="1" selected="0">
            <x v="85"/>
          </reference>
          <reference field="3" count="1" selected="0">
            <x v="0"/>
          </reference>
          <reference field="12" count="1" selected="0">
            <x v="14"/>
          </reference>
          <reference field="13" count="1">
            <x v="0"/>
          </reference>
        </references>
      </pivotArea>
    </format>
    <format dxfId="1629">
      <pivotArea dataOnly="0" labelOnly="1" fieldPosition="0">
        <references count="6">
          <reference field="0" count="1" selected="0">
            <x v="152"/>
          </reference>
          <reference field="1" count="1" selected="0">
            <x v="145"/>
          </reference>
          <reference field="2" count="1" selected="0">
            <x v="86"/>
          </reference>
          <reference field="3" count="1" selected="0">
            <x v="0"/>
          </reference>
          <reference field="12" count="1" selected="0">
            <x v="14"/>
          </reference>
          <reference field="13" count="1">
            <x v="0"/>
          </reference>
        </references>
      </pivotArea>
    </format>
    <format dxfId="1628">
      <pivotArea dataOnly="0" labelOnly="1" fieldPosition="0">
        <references count="6">
          <reference field="0" count="1" selected="0">
            <x v="153"/>
          </reference>
          <reference field="1" count="1" selected="0">
            <x v="146"/>
          </reference>
          <reference field="2" count="1" selected="0">
            <x v="54"/>
          </reference>
          <reference field="3" count="1" selected="0">
            <x v="0"/>
          </reference>
          <reference field="12" count="1" selected="0">
            <x v="14"/>
          </reference>
          <reference field="13" count="1">
            <x v="0"/>
          </reference>
        </references>
      </pivotArea>
    </format>
    <format dxfId="1627">
      <pivotArea dataOnly="0" labelOnly="1" fieldPosition="0">
        <references count="6">
          <reference field="0" count="1" selected="0">
            <x v="154"/>
          </reference>
          <reference field="1" count="1" selected="0">
            <x v="147"/>
          </reference>
          <reference field="2" count="1" selected="0">
            <x v="109"/>
          </reference>
          <reference field="3" count="1" selected="0">
            <x v="0"/>
          </reference>
          <reference field="12" count="1" selected="0">
            <x v="14"/>
          </reference>
          <reference field="13" count="1">
            <x v="0"/>
          </reference>
        </references>
      </pivotArea>
    </format>
    <format dxfId="1626">
      <pivotArea dataOnly="0" labelOnly="1" fieldPosition="0">
        <references count="6">
          <reference field="0" count="1" selected="0">
            <x v="155"/>
          </reference>
          <reference field="1" count="1" selected="0">
            <x v="148"/>
          </reference>
          <reference field="2" count="1" selected="0">
            <x v="3"/>
          </reference>
          <reference field="3" count="1" selected="0">
            <x v="0"/>
          </reference>
          <reference field="12" count="1" selected="0">
            <x v="23"/>
          </reference>
          <reference field="13" count="1">
            <x v="0"/>
          </reference>
        </references>
      </pivotArea>
    </format>
    <format dxfId="1625">
      <pivotArea dataOnly="0" labelOnly="1" fieldPosition="0">
        <references count="6">
          <reference field="0" count="1" selected="0">
            <x v="159"/>
          </reference>
          <reference field="1" count="1" selected="0">
            <x v="183"/>
          </reference>
          <reference field="2" count="1" selected="0">
            <x v="122"/>
          </reference>
          <reference field="3" count="1" selected="0">
            <x v="0"/>
          </reference>
          <reference field="12" count="1" selected="0">
            <x v="8"/>
          </reference>
          <reference field="13" count="1">
            <x v="0"/>
          </reference>
        </references>
      </pivotArea>
    </format>
    <format dxfId="1624">
      <pivotArea dataOnly="0" labelOnly="1" fieldPosition="0">
        <references count="6">
          <reference field="0" count="1" selected="0">
            <x v="160"/>
          </reference>
          <reference field="1" count="1" selected="0">
            <x v="184"/>
          </reference>
          <reference field="2" count="1" selected="0">
            <x v="187"/>
          </reference>
          <reference field="3" count="1" selected="0">
            <x v="0"/>
          </reference>
          <reference field="12" count="1" selected="0">
            <x v="7"/>
          </reference>
          <reference field="13" count="1">
            <x v="0"/>
          </reference>
        </references>
      </pivotArea>
    </format>
    <format dxfId="1623">
      <pivotArea dataOnly="0" labelOnly="1" fieldPosition="0">
        <references count="6">
          <reference field="0" count="1" selected="0">
            <x v="161"/>
          </reference>
          <reference field="1" count="1" selected="0">
            <x v="185"/>
          </reference>
          <reference field="2" count="1" selected="0">
            <x v="186"/>
          </reference>
          <reference field="3" count="1" selected="0">
            <x v="0"/>
          </reference>
          <reference field="12" count="1" selected="0">
            <x v="9"/>
          </reference>
          <reference field="13" count="1">
            <x v="0"/>
          </reference>
        </references>
      </pivotArea>
    </format>
    <format dxfId="1622">
      <pivotArea dataOnly="0" labelOnly="1" fieldPosition="0">
        <references count="6">
          <reference field="0" count="1" selected="0">
            <x v="162"/>
          </reference>
          <reference field="1" count="1" selected="0">
            <x v="186"/>
          </reference>
          <reference field="2" count="1" selected="0">
            <x v="125"/>
          </reference>
          <reference field="3" count="1" selected="0">
            <x v="0"/>
          </reference>
          <reference field="12" count="1" selected="0">
            <x v="10"/>
          </reference>
          <reference field="13" count="1">
            <x v="0"/>
          </reference>
        </references>
      </pivotArea>
    </format>
    <format dxfId="1621">
      <pivotArea dataOnly="0" labelOnly="1" fieldPosition="0">
        <references count="6">
          <reference field="0" count="1" selected="0">
            <x v="164"/>
          </reference>
          <reference field="1" count="1" selected="0">
            <x v="188"/>
          </reference>
          <reference field="2" count="1" selected="0">
            <x v="119"/>
          </reference>
          <reference field="3" count="1" selected="0">
            <x v="0"/>
          </reference>
          <reference field="12" count="1" selected="0">
            <x v="13"/>
          </reference>
          <reference field="13" count="1">
            <x v="0"/>
          </reference>
        </references>
      </pivotArea>
    </format>
    <format dxfId="1620">
      <pivotArea dataOnly="0" labelOnly="1" fieldPosition="0">
        <references count="6">
          <reference field="0" count="1" selected="0">
            <x v="165"/>
          </reference>
          <reference field="1" count="1" selected="0">
            <x v="189"/>
          </reference>
          <reference field="2" count="1" selected="0">
            <x v="156"/>
          </reference>
          <reference field="3" count="1" selected="0">
            <x v="0"/>
          </reference>
          <reference field="12" count="1" selected="0">
            <x v="13"/>
          </reference>
          <reference field="13" count="1">
            <x v="0"/>
          </reference>
        </references>
      </pivotArea>
    </format>
    <format dxfId="1619">
      <pivotArea dataOnly="0" labelOnly="1" fieldPosition="0">
        <references count="6">
          <reference field="0" count="1" selected="0">
            <x v="166"/>
          </reference>
          <reference field="1" count="1" selected="0">
            <x v="190"/>
          </reference>
          <reference field="2" count="1" selected="0">
            <x v="213"/>
          </reference>
          <reference field="3" count="1" selected="0">
            <x v="0"/>
          </reference>
          <reference field="12" count="1" selected="0">
            <x v="13"/>
          </reference>
          <reference field="13" count="1">
            <x v="0"/>
          </reference>
        </references>
      </pivotArea>
    </format>
    <format dxfId="1618">
      <pivotArea dataOnly="0" labelOnly="1" fieldPosition="0">
        <references count="6">
          <reference field="0" count="1" selected="0">
            <x v="167"/>
          </reference>
          <reference field="1" count="1" selected="0">
            <x v="199"/>
          </reference>
          <reference field="2" count="1" selected="0">
            <x v="56"/>
          </reference>
          <reference field="3" count="1" selected="0">
            <x v="0"/>
          </reference>
          <reference field="12" count="1" selected="0">
            <x v="18"/>
          </reference>
          <reference field="13" count="1">
            <x v="0"/>
          </reference>
        </references>
      </pivotArea>
    </format>
    <format dxfId="1617">
      <pivotArea dataOnly="0" labelOnly="1" fieldPosition="0">
        <references count="6">
          <reference field="0" count="1" selected="0">
            <x v="168"/>
          </reference>
          <reference field="1" count="1" selected="0">
            <x v="200"/>
          </reference>
          <reference field="2" count="1" selected="0">
            <x v="9"/>
          </reference>
          <reference field="3" count="1" selected="0">
            <x v="0"/>
          </reference>
          <reference field="12" count="1" selected="0">
            <x v="7"/>
          </reference>
          <reference field="13" count="1">
            <x v="0"/>
          </reference>
        </references>
      </pivotArea>
    </format>
    <format dxfId="1616">
      <pivotArea dataOnly="0" labelOnly="1" fieldPosition="0">
        <references count="6">
          <reference field="0" count="1" selected="0">
            <x v="171"/>
          </reference>
          <reference field="1" count="1" selected="0">
            <x v="203"/>
          </reference>
          <reference field="2" count="1" selected="0">
            <x v="10"/>
          </reference>
          <reference field="3" count="1" selected="0">
            <x v="0"/>
          </reference>
          <reference field="12" count="1" selected="0">
            <x v="9"/>
          </reference>
          <reference field="13" count="1">
            <x v="0"/>
          </reference>
        </references>
      </pivotArea>
    </format>
    <format dxfId="1615">
      <pivotArea dataOnly="0" labelOnly="1" fieldPosition="0">
        <references count="6">
          <reference field="0" count="1" selected="0">
            <x v="172"/>
          </reference>
          <reference field="1" count="1" selected="0">
            <x v="204"/>
          </reference>
          <reference field="2" count="1" selected="0">
            <x v="216"/>
          </reference>
          <reference field="3" count="1" selected="0">
            <x v="0"/>
          </reference>
          <reference field="12" count="1" selected="0">
            <x v="2"/>
          </reference>
          <reference field="13" count="1">
            <x v="0"/>
          </reference>
        </references>
      </pivotArea>
    </format>
    <format dxfId="1614">
      <pivotArea dataOnly="0" labelOnly="1" fieldPosition="0">
        <references count="6">
          <reference field="0" count="1" selected="0">
            <x v="173"/>
          </reference>
          <reference field="1" count="1" selected="0">
            <x v="205"/>
          </reference>
          <reference field="2" count="1" selected="0">
            <x v="94"/>
          </reference>
          <reference field="3" count="1" selected="0">
            <x v="0"/>
          </reference>
          <reference field="12" count="1" selected="0">
            <x v="20"/>
          </reference>
          <reference field="13" count="1">
            <x v="0"/>
          </reference>
        </references>
      </pivotArea>
    </format>
    <format dxfId="1613">
      <pivotArea dataOnly="0" labelOnly="1" fieldPosition="0">
        <references count="6">
          <reference field="0" count="1" selected="0">
            <x v="175"/>
          </reference>
          <reference field="1" count="1" selected="0">
            <x v="207"/>
          </reference>
          <reference field="2" count="1" selected="0">
            <x v="172"/>
          </reference>
          <reference field="3" count="1" selected="0">
            <x v="0"/>
          </reference>
          <reference field="12" count="1" selected="0">
            <x v="21"/>
          </reference>
          <reference field="13" count="1">
            <x v="0"/>
          </reference>
        </references>
      </pivotArea>
    </format>
    <format dxfId="1612">
      <pivotArea dataOnly="0" labelOnly="1" fieldPosition="0">
        <references count="6">
          <reference field="0" count="1" selected="0">
            <x v="176"/>
          </reference>
          <reference field="1" count="1" selected="0">
            <x v="208"/>
          </reference>
          <reference field="2" count="1" selected="0">
            <x v="215"/>
          </reference>
          <reference field="3" count="1" selected="0">
            <x v="0"/>
          </reference>
          <reference field="12" count="1" selected="0">
            <x v="20"/>
          </reference>
          <reference field="13" count="1">
            <x v="0"/>
          </reference>
        </references>
      </pivotArea>
    </format>
    <format dxfId="1611">
      <pivotArea dataOnly="0" labelOnly="1" fieldPosition="0">
        <references count="6">
          <reference field="0" count="1" selected="0">
            <x v="177"/>
          </reference>
          <reference field="1" count="1" selected="0">
            <x v="209"/>
          </reference>
          <reference field="2" count="1" selected="0">
            <x v="114"/>
          </reference>
          <reference field="3" count="1" selected="0">
            <x v="0"/>
          </reference>
          <reference field="12" count="1" selected="0">
            <x v="20"/>
          </reference>
          <reference field="13" count="1">
            <x v="0"/>
          </reference>
        </references>
      </pivotArea>
    </format>
    <format dxfId="1610">
      <pivotArea dataOnly="0" labelOnly="1" fieldPosition="0">
        <references count="6">
          <reference field="0" count="1" selected="0">
            <x v="178"/>
          </reference>
          <reference field="1" count="1" selected="0">
            <x v="210"/>
          </reference>
          <reference field="2" count="1" selected="0">
            <x v="11"/>
          </reference>
          <reference field="3" count="1" selected="0">
            <x v="0"/>
          </reference>
          <reference field="12" count="1" selected="0">
            <x v="20"/>
          </reference>
          <reference field="13" count="1">
            <x v="0"/>
          </reference>
        </references>
      </pivotArea>
    </format>
    <format dxfId="1609">
      <pivotArea dataOnly="0" labelOnly="1" fieldPosition="0">
        <references count="6">
          <reference field="0" count="1" selected="0">
            <x v="179"/>
          </reference>
          <reference field="1" count="1" selected="0">
            <x v="211"/>
          </reference>
          <reference field="2" count="1" selected="0">
            <x v="96"/>
          </reference>
          <reference field="3" count="1" selected="0">
            <x v="0"/>
          </reference>
          <reference field="12" count="1" selected="0">
            <x v="20"/>
          </reference>
          <reference field="13" count="1">
            <x v="0"/>
          </reference>
        </references>
      </pivotArea>
    </format>
    <format dxfId="1608">
      <pivotArea dataOnly="0" labelOnly="1" fieldPosition="0">
        <references count="6">
          <reference field="0" count="1" selected="0">
            <x v="180"/>
          </reference>
          <reference field="1" count="1" selected="0">
            <x v="212"/>
          </reference>
          <reference field="2" count="1" selected="0">
            <x v="97"/>
          </reference>
          <reference field="3" count="1" selected="0">
            <x v="0"/>
          </reference>
          <reference field="12" count="1" selected="0">
            <x v="14"/>
          </reference>
          <reference field="13" count="1">
            <x v="0"/>
          </reference>
        </references>
      </pivotArea>
    </format>
    <format dxfId="1607">
      <pivotArea dataOnly="0" labelOnly="1" fieldPosition="0">
        <references count="6">
          <reference field="0" count="1" selected="0">
            <x v="181"/>
          </reference>
          <reference field="1" count="1" selected="0">
            <x v="213"/>
          </reference>
          <reference field="2" count="1" selected="0">
            <x v="234"/>
          </reference>
          <reference field="3" count="1" selected="0">
            <x v="0"/>
          </reference>
          <reference field="12" count="1" selected="0">
            <x v="14"/>
          </reference>
          <reference field="13" count="1">
            <x v="0"/>
          </reference>
        </references>
      </pivotArea>
    </format>
    <format dxfId="1606">
      <pivotArea dataOnly="0" labelOnly="1" fieldPosition="0">
        <references count="6">
          <reference field="0" count="1" selected="0">
            <x v="182"/>
          </reference>
          <reference field="1" count="1" selected="0">
            <x v="214"/>
          </reference>
          <reference field="2" count="1" selected="0">
            <x v="235"/>
          </reference>
          <reference field="3" count="1" selected="0">
            <x v="0"/>
          </reference>
          <reference field="12" count="1" selected="0">
            <x v="7"/>
          </reference>
          <reference field="13" count="1">
            <x v="0"/>
          </reference>
        </references>
      </pivotArea>
    </format>
    <format dxfId="1605">
      <pivotArea dataOnly="0" labelOnly="1" fieldPosition="0">
        <references count="6">
          <reference field="0" count="1" selected="0">
            <x v="183"/>
          </reference>
          <reference field="1" count="1" selected="0">
            <x v="215"/>
          </reference>
          <reference field="2" count="1" selected="0">
            <x v="206"/>
          </reference>
          <reference field="3" count="1" selected="0">
            <x v="0"/>
          </reference>
          <reference field="12" count="1" selected="0">
            <x v="14"/>
          </reference>
          <reference field="13" count="1">
            <x v="0"/>
          </reference>
        </references>
      </pivotArea>
    </format>
    <format dxfId="1604">
      <pivotArea dataOnly="0" labelOnly="1" fieldPosition="0">
        <references count="6">
          <reference field="0" count="1" selected="0">
            <x v="184"/>
          </reference>
          <reference field="1" count="1" selected="0">
            <x v="216"/>
          </reference>
          <reference field="2" count="1" selected="0">
            <x v="111"/>
          </reference>
          <reference field="3" count="1" selected="0">
            <x v="0"/>
          </reference>
          <reference field="12" count="1" selected="0">
            <x v="22"/>
          </reference>
          <reference field="13" count="1">
            <x v="0"/>
          </reference>
        </references>
      </pivotArea>
    </format>
    <format dxfId="1603">
      <pivotArea dataOnly="0" labelOnly="1" fieldPosition="0">
        <references count="6">
          <reference field="0" count="1" selected="0">
            <x v="185"/>
          </reference>
          <reference field="1" count="1" selected="0">
            <x v="217"/>
          </reference>
          <reference field="2" count="1" selected="0">
            <x v="113"/>
          </reference>
          <reference field="3" count="1" selected="0">
            <x v="0"/>
          </reference>
          <reference field="12" count="1" selected="0">
            <x v="12"/>
          </reference>
          <reference field="13" count="1">
            <x v="0"/>
          </reference>
        </references>
      </pivotArea>
    </format>
    <format dxfId="1602">
      <pivotArea dataOnly="0" labelOnly="1" fieldPosition="0">
        <references count="6">
          <reference field="0" count="1" selected="0">
            <x v="186"/>
          </reference>
          <reference field="1" count="1" selected="0">
            <x v="218"/>
          </reference>
          <reference field="2" count="1" selected="0">
            <x v="93"/>
          </reference>
          <reference field="3" count="1" selected="0">
            <x v="0"/>
          </reference>
          <reference field="12" count="1" selected="0">
            <x v="12"/>
          </reference>
          <reference field="13" count="1">
            <x v="2"/>
          </reference>
        </references>
      </pivotArea>
    </format>
    <format dxfId="1601">
      <pivotArea dataOnly="0" labelOnly="1" fieldPosition="0">
        <references count="6">
          <reference field="0" count="1" selected="0">
            <x v="187"/>
          </reference>
          <reference field="1" count="1" selected="0">
            <x v="219"/>
          </reference>
          <reference field="2" count="1" selected="0">
            <x v="104"/>
          </reference>
          <reference field="3" count="1" selected="0">
            <x v="0"/>
          </reference>
          <reference field="12" count="1" selected="0">
            <x v="12"/>
          </reference>
          <reference field="13" count="1">
            <x v="14"/>
          </reference>
        </references>
      </pivotArea>
    </format>
    <format dxfId="1600">
      <pivotArea dataOnly="0" labelOnly="1" fieldPosition="0">
        <references count="6">
          <reference field="0" count="1" selected="0">
            <x v="188"/>
          </reference>
          <reference field="1" count="1" selected="0">
            <x v="220"/>
          </reference>
          <reference field="2" count="1" selected="0">
            <x v="196"/>
          </reference>
          <reference field="3" count="1" selected="0">
            <x v="0"/>
          </reference>
          <reference field="12" count="1" selected="0">
            <x v="12"/>
          </reference>
          <reference field="13" count="1">
            <x v="14"/>
          </reference>
        </references>
      </pivotArea>
    </format>
    <format dxfId="1599">
      <pivotArea dataOnly="0" labelOnly="1" fieldPosition="0">
        <references count="6">
          <reference field="0" count="1" selected="0">
            <x v="189"/>
          </reference>
          <reference field="1" count="1" selected="0">
            <x v="221"/>
          </reference>
          <reference field="2" count="1" selected="0">
            <x v="182"/>
          </reference>
          <reference field="3" count="1" selected="0">
            <x v="0"/>
          </reference>
          <reference field="12" count="1" selected="0">
            <x v="12"/>
          </reference>
          <reference field="13" count="1">
            <x v="0"/>
          </reference>
        </references>
      </pivotArea>
    </format>
    <format dxfId="1598">
      <pivotArea dataOnly="0" labelOnly="1" fieldPosition="0">
        <references count="6">
          <reference field="0" count="1" selected="0">
            <x v="192"/>
          </reference>
          <reference field="1" count="1" selected="0">
            <x v="224"/>
          </reference>
          <reference field="2" count="1" selected="0">
            <x v="80"/>
          </reference>
          <reference field="3" count="1" selected="0">
            <x v="0"/>
          </reference>
          <reference field="12" count="1" selected="0">
            <x v="7"/>
          </reference>
          <reference field="13" count="1">
            <x v="0"/>
          </reference>
        </references>
      </pivotArea>
    </format>
    <format dxfId="1597">
      <pivotArea dataOnly="0" labelOnly="1" fieldPosition="0">
        <references count="6">
          <reference field="0" count="1" selected="0">
            <x v="193"/>
          </reference>
          <reference field="1" count="1" selected="0">
            <x v="225"/>
          </reference>
          <reference field="2" count="1" selected="0">
            <x v="238"/>
          </reference>
          <reference field="3" count="1" selected="0">
            <x v="0"/>
          </reference>
          <reference field="12" count="1" selected="0">
            <x v="7"/>
          </reference>
          <reference field="13" count="1">
            <x v="0"/>
          </reference>
        </references>
      </pivotArea>
    </format>
    <format dxfId="1596">
      <pivotArea dataOnly="0" labelOnly="1" fieldPosition="0">
        <references count="6">
          <reference field="0" count="1" selected="0">
            <x v="197"/>
          </reference>
          <reference field="1" count="1" selected="0">
            <x v="236"/>
          </reference>
          <reference field="2" count="1" selected="0">
            <x v="102"/>
          </reference>
          <reference field="3" count="1" selected="0">
            <x v="0"/>
          </reference>
          <reference field="12" count="1" selected="0">
            <x v="18"/>
          </reference>
          <reference field="13" count="1">
            <x v="0"/>
          </reference>
        </references>
      </pivotArea>
    </format>
    <format dxfId="1595">
      <pivotArea dataOnly="0" labelOnly="1" fieldPosition="0">
        <references count="6">
          <reference field="0" count="1" selected="0">
            <x v="199"/>
          </reference>
          <reference field="1" count="1" selected="0">
            <x v="238"/>
          </reference>
          <reference field="2" count="1" selected="0">
            <x v="33"/>
          </reference>
          <reference field="3" count="1" selected="0">
            <x v="0"/>
          </reference>
          <reference field="12" count="1" selected="0">
            <x v="20"/>
          </reference>
          <reference field="13" count="1">
            <x v="0"/>
          </reference>
        </references>
      </pivotArea>
    </format>
    <format dxfId="1594">
      <pivotArea dataOnly="0" labelOnly="1" fieldPosition="0">
        <references count="6">
          <reference field="0" count="1" selected="0">
            <x v="200"/>
          </reference>
          <reference field="1" count="1" selected="0">
            <x v="239"/>
          </reference>
          <reference field="2" count="1" selected="0">
            <x v="34"/>
          </reference>
          <reference field="3" count="1" selected="0">
            <x v="0"/>
          </reference>
          <reference field="12" count="1" selected="0">
            <x v="20"/>
          </reference>
          <reference field="13" count="1">
            <x v="0"/>
          </reference>
        </references>
      </pivotArea>
    </format>
    <format dxfId="1593">
      <pivotArea dataOnly="0" labelOnly="1" fieldPosition="0">
        <references count="6">
          <reference field="0" count="1" selected="0">
            <x v="201"/>
          </reference>
          <reference field="1" count="1" selected="0">
            <x v="240"/>
          </reference>
          <reference field="2" count="1" selected="0">
            <x v="37"/>
          </reference>
          <reference field="3" count="1" selected="0">
            <x v="0"/>
          </reference>
          <reference field="12" count="1" selected="0">
            <x v="20"/>
          </reference>
          <reference field="13" count="1">
            <x v="0"/>
          </reference>
        </references>
      </pivotArea>
    </format>
    <format dxfId="1592">
      <pivotArea dataOnly="0" labelOnly="1" fieldPosition="0">
        <references count="6">
          <reference field="0" count="1" selected="0">
            <x v="204"/>
          </reference>
          <reference field="1" count="1" selected="0">
            <x v="149"/>
          </reference>
          <reference field="2" count="1" selected="0">
            <x v="117"/>
          </reference>
          <reference field="3" count="1" selected="0">
            <x v="0"/>
          </reference>
          <reference field="12" count="1" selected="0">
            <x v="12"/>
          </reference>
          <reference field="13" count="1">
            <x v="14"/>
          </reference>
        </references>
      </pivotArea>
    </format>
    <format dxfId="1591">
      <pivotArea dataOnly="0" labelOnly="1" fieldPosition="0">
        <references count="6">
          <reference field="0" count="1" selected="0">
            <x v="206"/>
          </reference>
          <reference field="1" count="1" selected="0">
            <x v="151"/>
          </reference>
          <reference field="2" count="1" selected="0">
            <x v="159"/>
          </reference>
          <reference field="3" count="1" selected="0">
            <x v="0"/>
          </reference>
          <reference field="12" count="1" selected="0">
            <x v="12"/>
          </reference>
          <reference field="13" count="1">
            <x v="5"/>
          </reference>
        </references>
      </pivotArea>
    </format>
    <format dxfId="1590">
      <pivotArea dataOnly="0" labelOnly="1" fieldPosition="0">
        <references count="6">
          <reference field="0" count="1" selected="0">
            <x v="207"/>
          </reference>
          <reference field="1" count="1" selected="0">
            <x v="152"/>
          </reference>
          <reference field="2" count="1" selected="0">
            <x v="81"/>
          </reference>
          <reference field="3" count="1" selected="0">
            <x v="0"/>
          </reference>
          <reference field="12" count="1" selected="0">
            <x v="7"/>
          </reference>
          <reference field="13" count="1">
            <x v="0"/>
          </reference>
        </references>
      </pivotArea>
    </format>
    <format dxfId="1589">
      <pivotArea dataOnly="0" labelOnly="1" fieldPosition="0">
        <references count="6">
          <reference field="0" count="1" selected="0">
            <x v="208"/>
          </reference>
          <reference field="1" count="1" selected="0">
            <x v="153"/>
          </reference>
          <reference field="2" count="1" selected="0">
            <x v="103"/>
          </reference>
          <reference field="3" count="1" selected="0">
            <x v="0"/>
          </reference>
          <reference field="12" count="1" selected="0">
            <x v="14"/>
          </reference>
          <reference field="13" count="1">
            <x v="16"/>
          </reference>
        </references>
      </pivotArea>
    </format>
    <format dxfId="1588">
      <pivotArea dataOnly="0" labelOnly="1" fieldPosition="0">
        <references count="6">
          <reference field="0" count="1" selected="0">
            <x v="209"/>
          </reference>
          <reference field="1" count="1" selected="0">
            <x v="154"/>
          </reference>
          <reference field="2" count="1" selected="0">
            <x v="98"/>
          </reference>
          <reference field="3" count="1" selected="0">
            <x v="0"/>
          </reference>
          <reference field="12" count="1" selected="0">
            <x v="14"/>
          </reference>
          <reference field="13" count="1">
            <x v="17"/>
          </reference>
        </references>
      </pivotArea>
    </format>
    <format dxfId="1587">
      <pivotArea dataOnly="0" labelOnly="1" fieldPosition="0">
        <references count="6">
          <reference field="0" count="1" selected="0">
            <x v="210"/>
          </reference>
          <reference field="1" count="1" selected="0">
            <x v="155"/>
          </reference>
          <reference field="2" count="1" selected="0">
            <x v="162"/>
          </reference>
          <reference field="3" count="1" selected="0">
            <x v="0"/>
          </reference>
          <reference field="12" count="1" selected="0">
            <x v="7"/>
          </reference>
          <reference field="13" count="1">
            <x v="2"/>
          </reference>
        </references>
      </pivotArea>
    </format>
    <format dxfId="1586">
      <pivotArea dataOnly="0" labelOnly="1" fieldPosition="0">
        <references count="6">
          <reference field="0" count="1" selected="0">
            <x v="211"/>
          </reference>
          <reference field="1" count="1" selected="0">
            <x v="156"/>
          </reference>
          <reference field="2" count="1" selected="0">
            <x v="164"/>
          </reference>
          <reference field="3" count="1" selected="0">
            <x v="0"/>
          </reference>
          <reference field="12" count="1" selected="0">
            <x v="20"/>
          </reference>
          <reference field="13" count="1">
            <x v="3"/>
          </reference>
        </references>
      </pivotArea>
    </format>
    <format dxfId="1585">
      <pivotArea dataOnly="0" labelOnly="1" fieldPosition="0">
        <references count="6">
          <reference field="0" count="1" selected="0">
            <x v="212"/>
          </reference>
          <reference field="1" count="1" selected="0">
            <x v="157"/>
          </reference>
          <reference field="2" count="1" selected="0">
            <x v="170"/>
          </reference>
          <reference field="3" count="1" selected="0">
            <x v="0"/>
          </reference>
          <reference field="12" count="1" selected="0">
            <x v="20"/>
          </reference>
          <reference field="13" count="1">
            <x v="4"/>
          </reference>
        </references>
      </pivotArea>
    </format>
    <format dxfId="1584">
      <pivotArea dataOnly="0" labelOnly="1" fieldPosition="0">
        <references count="6">
          <reference field="0" count="1" selected="0">
            <x v="214"/>
          </reference>
          <reference field="1" count="1" selected="0">
            <x v="159"/>
          </reference>
          <reference field="2" count="1" selected="0">
            <x v="139"/>
          </reference>
          <reference field="3" count="1" selected="0">
            <x v="0"/>
          </reference>
          <reference field="12" count="1" selected="0">
            <x v="10"/>
          </reference>
          <reference field="13" count="1">
            <x v="15"/>
          </reference>
        </references>
      </pivotArea>
    </format>
    <format dxfId="1583">
      <pivotArea dataOnly="0" labelOnly="1" fieldPosition="0">
        <references count="6">
          <reference field="0" count="1" selected="0">
            <x v="215"/>
          </reference>
          <reference field="1" count="1" selected="0">
            <x v="160"/>
          </reference>
          <reference field="2" count="1" selected="0">
            <x v="137"/>
          </reference>
          <reference field="3" count="1" selected="0">
            <x v="0"/>
          </reference>
          <reference field="12" count="1" selected="0">
            <x v="10"/>
          </reference>
          <reference field="13" count="1">
            <x v="11"/>
          </reference>
        </references>
      </pivotArea>
    </format>
    <format dxfId="1582">
      <pivotArea dataOnly="0" labelOnly="1" fieldPosition="0">
        <references count="6">
          <reference field="0" count="1" selected="0">
            <x v="216"/>
          </reference>
          <reference field="1" count="1" selected="0">
            <x v="161"/>
          </reference>
          <reference field="2" count="1" selected="0">
            <x v="136"/>
          </reference>
          <reference field="3" count="1" selected="0">
            <x v="0"/>
          </reference>
          <reference field="12" count="1" selected="0">
            <x v="10"/>
          </reference>
          <reference field="13" count="1">
            <x v="13"/>
          </reference>
        </references>
      </pivotArea>
    </format>
    <format dxfId="1581">
      <pivotArea dataOnly="0" labelOnly="1" fieldPosition="0">
        <references count="6">
          <reference field="0" count="1" selected="0">
            <x v="217"/>
          </reference>
          <reference field="1" count="1" selected="0">
            <x v="162"/>
          </reference>
          <reference field="2" count="1" selected="0">
            <x v="13"/>
          </reference>
          <reference field="3" count="1" selected="0">
            <x v="0"/>
          </reference>
          <reference field="12" count="1" selected="0">
            <x v="10"/>
          </reference>
          <reference field="13" count="1">
            <x v="10"/>
          </reference>
        </references>
      </pivotArea>
    </format>
    <format dxfId="1580">
      <pivotArea dataOnly="0" labelOnly="1" fieldPosition="0">
        <references count="6">
          <reference field="0" count="1" selected="0">
            <x v="218"/>
          </reference>
          <reference field="1" count="1" selected="0">
            <x v="163"/>
          </reference>
          <reference field="2" count="1" selected="0">
            <x v="179"/>
          </reference>
          <reference field="3" count="1" selected="0">
            <x v="0"/>
          </reference>
          <reference field="12" count="1" selected="0">
            <x v="10"/>
          </reference>
          <reference field="13" count="1">
            <x v="10"/>
          </reference>
        </references>
      </pivotArea>
    </format>
    <format dxfId="1579">
      <pivotArea dataOnly="0" labelOnly="1" fieldPosition="0">
        <references count="6">
          <reference field="0" count="1" selected="0">
            <x v="219"/>
          </reference>
          <reference field="1" count="1" selected="0">
            <x v="164"/>
          </reference>
          <reference field="2" count="1" selected="0">
            <x v="138"/>
          </reference>
          <reference field="3" count="1" selected="0">
            <x v="0"/>
          </reference>
          <reference field="12" count="1" selected="0">
            <x v="10"/>
          </reference>
          <reference field="13" count="1">
            <x v="8"/>
          </reference>
        </references>
      </pivotArea>
    </format>
    <format dxfId="1578">
      <pivotArea dataOnly="0" labelOnly="1" fieldPosition="0">
        <references count="6">
          <reference field="0" count="1" selected="0">
            <x v="220"/>
          </reference>
          <reference field="1" count="1" selected="0">
            <x v="165"/>
          </reference>
          <reference field="2" count="1" selected="0">
            <x v="142"/>
          </reference>
          <reference field="3" count="1" selected="0">
            <x v="0"/>
          </reference>
          <reference field="12" count="1" selected="0">
            <x v="11"/>
          </reference>
          <reference field="13" count="1">
            <x v="12"/>
          </reference>
        </references>
      </pivotArea>
    </format>
    <format dxfId="1577">
      <pivotArea dataOnly="0" labelOnly="1" fieldPosition="0">
        <references count="6">
          <reference field="0" count="1" selected="0">
            <x v="221"/>
          </reference>
          <reference field="1" count="1" selected="0">
            <x v="166"/>
          </reference>
          <reference field="2" count="1" selected="0">
            <x v="143"/>
          </reference>
          <reference field="3" count="1" selected="0">
            <x v="0"/>
          </reference>
          <reference field="12" count="1" selected="0">
            <x v="10"/>
          </reference>
          <reference field="13" count="1">
            <x v="9"/>
          </reference>
        </references>
      </pivotArea>
    </format>
    <format dxfId="1576">
      <pivotArea dataOnly="0" labelOnly="1" fieldPosition="0">
        <references count="6">
          <reference field="0" count="1" selected="0">
            <x v="223"/>
          </reference>
          <reference field="1" count="1" selected="0">
            <x v="168"/>
          </reference>
          <reference field="2" count="1" selected="0">
            <x v="71"/>
          </reference>
          <reference field="3" count="1" selected="0">
            <x v="0"/>
          </reference>
          <reference field="12" count="1" selected="0">
            <x v="24"/>
          </reference>
          <reference field="13" count="1">
            <x v="7"/>
          </reference>
        </references>
      </pivotArea>
    </format>
    <format dxfId="1575">
      <pivotArea dataOnly="0" labelOnly="1" fieldPosition="0">
        <references count="6">
          <reference field="0" count="1" selected="0">
            <x v="224"/>
          </reference>
          <reference field="1" count="1" selected="0">
            <x v="169"/>
          </reference>
          <reference field="2" count="1" selected="0">
            <x v="121"/>
          </reference>
          <reference field="3" count="1" selected="0">
            <x v="0"/>
          </reference>
          <reference field="12" count="1" selected="0">
            <x v="23"/>
          </reference>
          <reference field="13" count="1">
            <x v="1"/>
          </reference>
        </references>
      </pivotArea>
    </format>
    <format dxfId="1574">
      <pivotArea dataOnly="0" labelOnly="1" fieldPosition="0">
        <references count="6">
          <reference field="0" count="1" selected="0">
            <x v="225"/>
          </reference>
          <reference field="1" count="1" selected="0">
            <x v="170"/>
          </reference>
          <reference field="2" count="1" selected="0">
            <x v="120"/>
          </reference>
          <reference field="3" count="1" selected="0">
            <x v="0"/>
          </reference>
          <reference field="12" count="1" selected="0">
            <x v="23"/>
          </reference>
          <reference field="13" count="1">
            <x v="22"/>
          </reference>
        </references>
      </pivotArea>
    </format>
    <format dxfId="1573">
      <pivotArea dataOnly="0" labelOnly="1" fieldPosition="0">
        <references count="6">
          <reference field="0" count="1" selected="0">
            <x v="226"/>
          </reference>
          <reference field="1" count="1" selected="0">
            <x v="171"/>
          </reference>
          <reference field="2" count="1" selected="0">
            <x v="41"/>
          </reference>
          <reference field="3" count="1" selected="0">
            <x v="0"/>
          </reference>
          <reference field="12" count="1" selected="0">
            <x v="23"/>
          </reference>
          <reference field="13" count="1">
            <x v="22"/>
          </reference>
        </references>
      </pivotArea>
    </format>
    <format dxfId="1572">
      <pivotArea dataOnly="0" labelOnly="1" fieldPosition="0">
        <references count="6">
          <reference field="0" count="1" selected="0">
            <x v="227"/>
          </reference>
          <reference field="1" count="1" selected="0">
            <x v="172"/>
          </reference>
          <reference field="2" count="1" selected="0">
            <x v="42"/>
          </reference>
          <reference field="3" count="1" selected="0">
            <x v="0"/>
          </reference>
          <reference field="12" count="1" selected="0">
            <x v="23"/>
          </reference>
          <reference field="13" count="1">
            <x v="22"/>
          </reference>
        </references>
      </pivotArea>
    </format>
    <format dxfId="1571">
      <pivotArea dataOnly="0" labelOnly="1" fieldPosition="0">
        <references count="6">
          <reference field="0" count="1" selected="0">
            <x v="228"/>
          </reference>
          <reference field="1" count="1" selected="0">
            <x v="173"/>
          </reference>
          <reference field="2" count="1" selected="0">
            <x v="145"/>
          </reference>
          <reference field="3" count="1" selected="0">
            <x v="0"/>
          </reference>
          <reference field="12" count="1" selected="0">
            <x v="3"/>
          </reference>
          <reference field="13" count="1">
            <x v="21"/>
          </reference>
        </references>
      </pivotArea>
    </format>
    <format dxfId="1570">
      <pivotArea dataOnly="0" labelOnly="1" fieldPosition="0">
        <references count="6">
          <reference field="0" count="1" selected="0">
            <x v="229"/>
          </reference>
          <reference field="1" count="1" selected="0">
            <x v="174"/>
          </reference>
          <reference field="2" count="1" selected="0">
            <x v="91"/>
          </reference>
          <reference field="3" count="1" selected="0">
            <x v="0"/>
          </reference>
          <reference field="12" count="1" selected="0">
            <x v="3"/>
          </reference>
          <reference field="13" count="1">
            <x v="18"/>
          </reference>
        </references>
      </pivotArea>
    </format>
    <format dxfId="1569">
      <pivotArea dataOnly="0" labelOnly="1" fieldPosition="0">
        <references count="6">
          <reference field="0" count="1" selected="0">
            <x v="230"/>
          </reference>
          <reference field="1" count="1" selected="0">
            <x v="175"/>
          </reference>
          <reference field="2" count="1" selected="0">
            <x v="160"/>
          </reference>
          <reference field="3" count="1" selected="0">
            <x v="0"/>
          </reference>
          <reference field="12" count="1" selected="0">
            <x v="3"/>
          </reference>
          <reference field="13" count="1">
            <x v="18"/>
          </reference>
        </references>
      </pivotArea>
    </format>
    <format dxfId="1568">
      <pivotArea dataOnly="0" labelOnly="1" fieldPosition="0">
        <references count="6">
          <reference field="0" count="1" selected="0">
            <x v="231"/>
          </reference>
          <reference field="1" count="1" selected="0">
            <x v="176"/>
          </reference>
          <reference field="2" count="1" selected="0">
            <x v="42"/>
          </reference>
          <reference field="3" count="1" selected="0">
            <x v="0"/>
          </reference>
          <reference field="12" count="1" selected="0">
            <x v="3"/>
          </reference>
          <reference field="13" count="1">
            <x v="20"/>
          </reference>
        </references>
      </pivotArea>
    </format>
    <format dxfId="1567">
      <pivotArea dataOnly="0" labelOnly="1" fieldPosition="0">
        <references count="6">
          <reference field="0" count="1" selected="0">
            <x v="232"/>
          </reference>
          <reference field="1" count="1" selected="0">
            <x v="177"/>
          </reference>
          <reference field="2" count="1" selected="0">
            <x v="47"/>
          </reference>
          <reference field="3" count="1" selected="0">
            <x v="0"/>
          </reference>
          <reference field="12" count="1" selected="0">
            <x v="3"/>
          </reference>
          <reference field="13" count="1">
            <x v="19"/>
          </reference>
        </references>
      </pivotArea>
    </format>
    <format dxfId="1566">
      <pivotArea dataOnly="0" labelOnly="1" fieldPosition="0">
        <references count="6">
          <reference field="0" count="1" selected="0">
            <x v="233"/>
          </reference>
          <reference field="1" count="1" selected="0">
            <x v="178"/>
          </reference>
          <reference field="2" count="1" selected="0">
            <x v="32"/>
          </reference>
          <reference field="3" count="1" selected="0">
            <x v="0"/>
          </reference>
          <reference field="12" count="1" selected="0">
            <x v="3"/>
          </reference>
          <reference field="13" count="1">
            <x v="6"/>
          </reference>
        </references>
      </pivotArea>
    </format>
    <format dxfId="1565">
      <pivotArea dataOnly="0" labelOnly="1" fieldPosition="0">
        <references count="6">
          <reference field="0" count="1" selected="0">
            <x v="234"/>
          </reference>
          <reference field="1" count="1" selected="0">
            <x v="179"/>
          </reference>
          <reference field="2" count="1" selected="0">
            <x v="163"/>
          </reference>
          <reference field="3" count="1" selected="0">
            <x v="0"/>
          </reference>
          <reference field="12" count="1" selected="0">
            <x v="28"/>
          </reference>
          <reference field="13" count="1">
            <x v="25"/>
          </reference>
        </references>
      </pivotArea>
    </format>
    <format dxfId="1564">
      <pivotArea dataOnly="0" labelOnly="1" fieldPosition="0">
        <references count="6">
          <reference field="0" count="1" selected="0">
            <x v="235"/>
          </reference>
          <reference field="1" count="1" selected="0">
            <x v="191"/>
          </reference>
          <reference field="2" count="1" selected="0">
            <x v="155"/>
          </reference>
          <reference field="3" count="1" selected="0">
            <x v="0"/>
          </reference>
          <reference field="12" count="1" selected="0">
            <x v="3"/>
          </reference>
          <reference field="13" count="1">
            <x v="0"/>
          </reference>
        </references>
      </pivotArea>
    </format>
    <format dxfId="1563">
      <pivotArea dataOnly="0" labelOnly="1" fieldPosition="0">
        <references count="6">
          <reference field="0" count="1" selected="0">
            <x v="236"/>
          </reference>
          <reference field="1" count="1" selected="0">
            <x v="192"/>
          </reference>
          <reference field="2" count="1" selected="0">
            <x v="27"/>
          </reference>
          <reference field="3" count="1" selected="0">
            <x v="0"/>
          </reference>
          <reference field="12" count="1" selected="0">
            <x v="3"/>
          </reference>
          <reference field="13" count="1">
            <x v="0"/>
          </reference>
        </references>
      </pivotArea>
    </format>
    <format dxfId="1562">
      <pivotArea dataOnly="0" labelOnly="1" fieldPosition="0">
        <references count="6">
          <reference field="0" count="1" selected="0">
            <x v="237"/>
          </reference>
          <reference field="1" count="1" selected="0">
            <x v="193"/>
          </reference>
          <reference field="2" count="1" selected="0">
            <x v="89"/>
          </reference>
          <reference field="3" count="1" selected="0">
            <x v="0"/>
          </reference>
          <reference field="12" count="1" selected="0">
            <x v="3"/>
          </reference>
          <reference field="13" count="1">
            <x v="0"/>
          </reference>
        </references>
      </pivotArea>
    </format>
    <format dxfId="1561">
      <pivotArea dataOnly="0" labelOnly="1" fieldPosition="0">
        <references count="6">
          <reference field="0" count="1" selected="0">
            <x v="238"/>
          </reference>
          <reference field="1" count="1" selected="0">
            <x v="194"/>
          </reference>
          <reference field="2" count="1" selected="0">
            <x v="25"/>
          </reference>
          <reference field="3" count="1" selected="0">
            <x v="0"/>
          </reference>
          <reference field="12" count="1" selected="0">
            <x v="0"/>
          </reference>
          <reference field="13" count="1">
            <x v="0"/>
          </reference>
        </references>
      </pivotArea>
    </format>
    <format dxfId="1560">
      <pivotArea dataOnly="0" labelOnly="1" fieldPosition="0">
        <references count="6">
          <reference field="0" count="1" selected="0">
            <x v="239"/>
          </reference>
          <reference field="1" count="1" selected="0">
            <x v="195"/>
          </reference>
          <reference field="2" count="1" selected="0">
            <x v="28"/>
          </reference>
          <reference field="3" count="1" selected="0">
            <x v="0"/>
          </reference>
          <reference field="12" count="1" selected="0">
            <x v="0"/>
          </reference>
          <reference field="13" count="1">
            <x v="0"/>
          </reference>
        </references>
      </pivotArea>
    </format>
    <format dxfId="1559">
      <pivotArea dataOnly="0" labelOnly="1" fieldPosition="0">
        <references count="6">
          <reference field="0" count="1" selected="0">
            <x v="240"/>
          </reference>
          <reference field="1" count="1" selected="0">
            <x v="196"/>
          </reference>
          <reference field="2" count="1" selected="0">
            <x v="40"/>
          </reference>
          <reference field="3" count="1" selected="0">
            <x v="0"/>
          </reference>
          <reference field="12" count="1" selected="0">
            <x v="3"/>
          </reference>
          <reference field="13" count="1">
            <x v="0"/>
          </reference>
        </references>
      </pivotArea>
    </format>
    <format dxfId="1558">
      <pivotArea dataOnly="0" labelOnly="1" fieldPosition="0">
        <references count="6">
          <reference field="0" count="1" selected="0">
            <x v="241"/>
          </reference>
          <reference field="1" count="1" selected="0">
            <x v="197"/>
          </reference>
          <reference field="2" count="1" selected="0">
            <x v="195"/>
          </reference>
          <reference field="3" count="1" selected="0">
            <x v="0"/>
          </reference>
          <reference field="12" count="1" selected="0">
            <x v="0"/>
          </reference>
          <reference field="13" count="1">
            <x v="0"/>
          </reference>
        </references>
      </pivotArea>
    </format>
    <format dxfId="1557">
      <pivotArea dataOnly="0" labelOnly="1" fieldPosition="0">
        <references count="6">
          <reference field="0" count="1" selected="0">
            <x v="242"/>
          </reference>
          <reference field="1" count="1" selected="0">
            <x v="198"/>
          </reference>
          <reference field="2" count="1" selected="0">
            <x v="132"/>
          </reference>
          <reference field="3" count="1" selected="0">
            <x v="0"/>
          </reference>
          <reference field="12" count="1" selected="0">
            <x v="6"/>
          </reference>
          <reference field="13" count="1">
            <x v="0"/>
          </reference>
        </references>
      </pivotArea>
    </format>
    <format dxfId="1556">
      <pivotArea dataOnly="0" labelOnly="1" fieldPosition="0">
        <references count="7">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x v="38"/>
          </reference>
        </references>
      </pivotArea>
    </format>
    <format dxfId="1555">
      <pivotArea dataOnly="0" labelOnly="1" fieldPosition="0">
        <references count="7">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x v="0"/>
          </reference>
        </references>
      </pivotArea>
    </format>
    <format dxfId="1554">
      <pivotArea dataOnly="0" labelOnly="1" fieldPosition="0">
        <references count="7">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x v="35"/>
          </reference>
        </references>
      </pivotArea>
    </format>
    <format dxfId="1553">
      <pivotArea dataOnly="0" labelOnly="1" fieldPosition="0">
        <references count="7">
          <reference field="0" count="1" selected="0">
            <x v="4"/>
          </reference>
          <reference field="1" count="1" selected="0">
            <x v="232"/>
          </reference>
          <reference field="2" count="1" selected="0">
            <x v="90"/>
          </reference>
          <reference field="3" count="1" selected="0">
            <x v="0"/>
          </reference>
          <reference field="12" count="1" selected="0">
            <x v="3"/>
          </reference>
          <reference field="13" count="1" selected="0">
            <x v="0"/>
          </reference>
          <reference field="14" count="1">
            <x v="35"/>
          </reference>
        </references>
      </pivotArea>
    </format>
    <format dxfId="1552">
      <pivotArea dataOnly="0" labelOnly="1" fieldPosition="0">
        <references count="7">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x v="38"/>
          </reference>
        </references>
      </pivotArea>
    </format>
    <format dxfId="1551">
      <pivotArea dataOnly="0" labelOnly="1" fieldPosition="0">
        <references count="7">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x v="28"/>
          </reference>
        </references>
      </pivotArea>
    </format>
    <format dxfId="1550">
      <pivotArea dataOnly="0" labelOnly="1" fieldPosition="0">
        <references count="7">
          <reference field="0" count="1" selected="0">
            <x v="9"/>
          </reference>
          <reference field="1" count="1" selected="0">
            <x v="120"/>
          </reference>
          <reference field="2" count="1" selected="0">
            <x v="168"/>
          </reference>
          <reference field="3" count="1" selected="0">
            <x v="0"/>
          </reference>
          <reference field="12" count="1" selected="0">
            <x v="0"/>
          </reference>
          <reference field="13" count="1" selected="0">
            <x v="0"/>
          </reference>
          <reference field="14" count="1">
            <x v="28"/>
          </reference>
        </references>
      </pivotArea>
    </format>
    <format dxfId="1549">
      <pivotArea dataOnly="0" labelOnly="1" fieldPosition="0">
        <references count="7">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x v="38"/>
          </reference>
        </references>
      </pivotArea>
    </format>
    <format dxfId="1548">
      <pivotArea dataOnly="0" labelOnly="1" fieldPosition="0">
        <references count="7">
          <reference field="0" count="1" selected="0">
            <x v="11"/>
          </reference>
          <reference field="1" count="1" selected="0">
            <x v="122"/>
          </reference>
          <reference field="2" count="1" selected="0">
            <x v="26"/>
          </reference>
          <reference field="3" count="1" selected="0">
            <x v="0"/>
          </reference>
          <reference field="12" count="1" selected="0">
            <x v="0"/>
          </reference>
          <reference field="13" count="1" selected="0">
            <x v="0"/>
          </reference>
          <reference field="14" count="1">
            <x v="38"/>
          </reference>
        </references>
      </pivotArea>
    </format>
    <format dxfId="1547">
      <pivotArea dataOnly="0" labelOnly="1" fieldPosition="0">
        <references count="7">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x v="40"/>
          </reference>
        </references>
      </pivotArea>
    </format>
    <format dxfId="1546">
      <pivotArea dataOnly="0" labelOnly="1" fieldPosition="0">
        <references count="7">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x v="38"/>
          </reference>
        </references>
      </pivotArea>
    </format>
    <format dxfId="1545">
      <pivotArea dataOnly="0" labelOnly="1" fieldPosition="0">
        <references count="7">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x v="1"/>
          </reference>
        </references>
      </pivotArea>
    </format>
    <format dxfId="1544">
      <pivotArea dataOnly="0" labelOnly="1" fieldPosition="0">
        <references count="7">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x v="1"/>
          </reference>
        </references>
      </pivotArea>
    </format>
    <format dxfId="1543">
      <pivotArea dataOnly="0" labelOnly="1" fieldPosition="0">
        <references count="7">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x v="3"/>
          </reference>
        </references>
      </pivotArea>
    </format>
    <format dxfId="1542">
      <pivotArea dataOnly="0" labelOnly="1" fieldPosition="0">
        <references count="7">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x v="19"/>
          </reference>
        </references>
      </pivotArea>
    </format>
    <format dxfId="1541">
      <pivotArea dataOnly="0" labelOnly="1" fieldPosition="0">
        <references count="7">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x v="13"/>
          </reference>
        </references>
      </pivotArea>
    </format>
    <format dxfId="1540">
      <pivotArea dataOnly="0" labelOnly="1" fieldPosition="0">
        <references count="7">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x v="15"/>
          </reference>
        </references>
      </pivotArea>
    </format>
    <format dxfId="1539">
      <pivotArea dataOnly="0" labelOnly="1" fieldPosition="0">
        <references count="7">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x v="61"/>
          </reference>
        </references>
      </pivotArea>
    </format>
    <format dxfId="1538">
      <pivotArea dataOnly="0" labelOnly="1" fieldPosition="0">
        <references count="7">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x v="2"/>
          </reference>
        </references>
      </pivotArea>
    </format>
    <format dxfId="1537">
      <pivotArea dataOnly="0" labelOnly="1" fieldPosition="0">
        <references count="7">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x v="62"/>
          </reference>
        </references>
      </pivotArea>
    </format>
    <format dxfId="1536">
      <pivotArea dataOnly="0" labelOnly="1" fieldPosition="0">
        <references count="7">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x v="62"/>
          </reference>
        </references>
      </pivotArea>
    </format>
    <format dxfId="1535">
      <pivotArea dataOnly="0" labelOnly="1" fieldPosition="0">
        <references count="7">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x v="58"/>
          </reference>
        </references>
      </pivotArea>
    </format>
    <format dxfId="1534">
      <pivotArea dataOnly="0" labelOnly="1" fieldPosition="0">
        <references count="7">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x v="56"/>
          </reference>
        </references>
      </pivotArea>
    </format>
    <format dxfId="1533">
      <pivotArea dataOnly="0" labelOnly="1" fieldPosition="0">
        <references count="7">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x v="56"/>
          </reference>
        </references>
      </pivotArea>
    </format>
    <format dxfId="1532">
      <pivotArea dataOnly="0" labelOnly="1" fieldPosition="0">
        <references count="7">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x v="56"/>
          </reference>
        </references>
      </pivotArea>
    </format>
    <format dxfId="1531">
      <pivotArea dataOnly="0" labelOnly="1" fieldPosition="0">
        <references count="7">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x v="56"/>
          </reference>
        </references>
      </pivotArea>
    </format>
    <format dxfId="1530">
      <pivotArea dataOnly="0" labelOnly="1" fieldPosition="0">
        <references count="7">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x v="56"/>
          </reference>
        </references>
      </pivotArea>
    </format>
    <format dxfId="1529">
      <pivotArea dataOnly="0" labelOnly="1" fieldPosition="0">
        <references count="7">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x v="66"/>
          </reference>
        </references>
      </pivotArea>
    </format>
    <format dxfId="1528">
      <pivotArea dataOnly="0" labelOnly="1" fieldPosition="0">
        <references count="7">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x v="34"/>
          </reference>
        </references>
      </pivotArea>
    </format>
    <format dxfId="1527">
      <pivotArea dataOnly="0" labelOnly="1" fieldPosition="0">
        <references count="7">
          <reference field="0" count="1" selected="0">
            <x v="56"/>
          </reference>
          <reference field="1" count="1" selected="0">
            <x v="36"/>
          </reference>
          <reference field="2" count="1" selected="0">
            <x v="183"/>
          </reference>
          <reference field="3" count="1" selected="0">
            <x v="0"/>
          </reference>
          <reference field="12" count="1" selected="0">
            <x v="3"/>
          </reference>
          <reference field="13" count="1" selected="0">
            <x v="0"/>
          </reference>
          <reference field="14" count="1">
            <x v="34"/>
          </reference>
        </references>
      </pivotArea>
    </format>
    <format dxfId="1526">
      <pivotArea dataOnly="0" labelOnly="1" fieldPosition="0">
        <references count="7">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x v="47"/>
          </reference>
        </references>
      </pivotArea>
    </format>
    <format dxfId="1525">
      <pivotArea dataOnly="0" labelOnly="1" fieldPosition="0">
        <references count="7">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x v="37"/>
          </reference>
        </references>
      </pivotArea>
    </format>
    <format dxfId="1524">
      <pivotArea dataOnly="0" labelOnly="1" fieldPosition="0">
        <references count="7">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x v="36"/>
          </reference>
        </references>
      </pivotArea>
    </format>
    <format dxfId="1523">
      <pivotArea dataOnly="0" labelOnly="1" fieldPosition="0">
        <references count="7">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x v="0"/>
          </reference>
        </references>
      </pivotArea>
    </format>
    <format dxfId="1522">
      <pivotArea dataOnly="0" labelOnly="1" fieldPosition="0">
        <references count="7">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x v="14"/>
          </reference>
        </references>
      </pivotArea>
    </format>
    <format dxfId="1521">
      <pivotArea dataOnly="0" labelOnly="1" fieldPosition="0">
        <references count="7">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x v="14"/>
          </reference>
        </references>
      </pivotArea>
    </format>
    <format dxfId="1520">
      <pivotArea dataOnly="0" labelOnly="1" fieldPosition="0">
        <references count="7">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x v="14"/>
          </reference>
        </references>
      </pivotArea>
    </format>
    <format dxfId="1519">
      <pivotArea dataOnly="0" labelOnly="1" fieldPosition="0">
        <references count="7">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x v="0"/>
          </reference>
        </references>
      </pivotArea>
    </format>
    <format dxfId="1518">
      <pivotArea dataOnly="0" labelOnly="1" fieldPosition="0">
        <references count="7">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x v="0"/>
          </reference>
        </references>
      </pivotArea>
    </format>
    <format dxfId="1517">
      <pivotArea dataOnly="0" labelOnly="1" fieldPosition="0">
        <references count="7">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x v="0"/>
          </reference>
        </references>
      </pivotArea>
    </format>
    <format dxfId="1516">
      <pivotArea dataOnly="0" labelOnly="1" fieldPosition="0">
        <references count="7">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x v="4"/>
          </reference>
        </references>
      </pivotArea>
    </format>
    <format dxfId="1515">
      <pivotArea dataOnly="0" labelOnly="1" fieldPosition="0">
        <references count="7">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x v="53"/>
          </reference>
        </references>
      </pivotArea>
    </format>
    <format dxfId="1514">
      <pivotArea dataOnly="0" labelOnly="1" fieldPosition="0">
        <references count="7">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x v="53"/>
          </reference>
        </references>
      </pivotArea>
    </format>
    <format dxfId="1513">
      <pivotArea dataOnly="0" labelOnly="1" fieldPosition="0">
        <references count="7">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x v="25"/>
          </reference>
        </references>
      </pivotArea>
    </format>
    <format dxfId="1512">
      <pivotArea dataOnly="0" labelOnly="1" fieldPosition="0">
        <references count="7">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x v="0"/>
          </reference>
        </references>
      </pivotArea>
    </format>
    <format dxfId="1511">
      <pivotArea dataOnly="0" labelOnly="1" fieldPosition="0">
        <references count="7">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x v="50"/>
          </reference>
        </references>
      </pivotArea>
    </format>
    <format dxfId="1510">
      <pivotArea dataOnly="0" labelOnly="1" fieldPosition="0">
        <references count="7">
          <reference field="0" count="1" selected="0">
            <x v="90"/>
          </reference>
          <reference field="1" count="1" selected="0">
            <x v="77"/>
          </reference>
          <reference field="2" count="1" selected="0">
            <x v="43"/>
          </reference>
          <reference field="3" count="1" selected="0">
            <x v="0"/>
          </reference>
          <reference field="12" count="1" selected="0">
            <x v="7"/>
          </reference>
          <reference field="13" count="1" selected="0">
            <x v="0"/>
          </reference>
          <reference field="14" count="1">
            <x v="50"/>
          </reference>
        </references>
      </pivotArea>
    </format>
    <format dxfId="1509">
      <pivotArea dataOnly="0" labelOnly="1" fieldPosition="0">
        <references count="7">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x v="50"/>
          </reference>
        </references>
      </pivotArea>
    </format>
    <format dxfId="1508">
      <pivotArea dataOnly="0" labelOnly="1" fieldPosition="0">
        <references count="7">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x v="49"/>
          </reference>
        </references>
      </pivotArea>
    </format>
    <format dxfId="1507">
      <pivotArea dataOnly="0" labelOnly="1" fieldPosition="0">
        <references count="7">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x v="49"/>
          </reference>
        </references>
      </pivotArea>
    </format>
    <format dxfId="1506">
      <pivotArea dataOnly="0" labelOnly="1" fieldPosition="0">
        <references count="7">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x v="49"/>
          </reference>
        </references>
      </pivotArea>
    </format>
    <format dxfId="1505">
      <pivotArea dataOnly="0" labelOnly="1" fieldPosition="0">
        <references count="7">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x v="16"/>
          </reference>
        </references>
      </pivotArea>
    </format>
    <format dxfId="1504">
      <pivotArea dataOnly="0" labelOnly="1" fieldPosition="0">
        <references count="7">
          <reference field="0" count="1" selected="0">
            <x v="97"/>
          </reference>
          <reference field="1" count="1" selected="0">
            <x v="84"/>
          </reference>
          <reference field="2" count="1" selected="0">
            <x v="6"/>
          </reference>
          <reference field="3" count="1" selected="0">
            <x v="0"/>
          </reference>
          <reference field="12" count="1" selected="0">
            <x v="3"/>
          </reference>
          <reference field="13" count="1" selected="0">
            <x v="0"/>
          </reference>
          <reference field="14" count="1">
            <x v="16"/>
          </reference>
        </references>
      </pivotArea>
    </format>
    <format dxfId="1503">
      <pivotArea dataOnly="0" labelOnly="1" fieldPosition="0">
        <references count="7">
          <reference field="0" count="1" selected="0">
            <x v="98"/>
          </reference>
          <reference field="1" count="1" selected="0">
            <x v="85"/>
          </reference>
          <reference field="2" count="1" selected="0">
            <x v="214"/>
          </reference>
          <reference field="3" count="1" selected="0">
            <x v="0"/>
          </reference>
          <reference field="12" count="1" selected="0">
            <x v="3"/>
          </reference>
          <reference field="13" count="1" selected="0">
            <x v="0"/>
          </reference>
          <reference field="14" count="1">
            <x v="16"/>
          </reference>
        </references>
      </pivotArea>
    </format>
    <format dxfId="1502">
      <pivotArea dataOnly="0" labelOnly="1" fieldPosition="0">
        <references count="7">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x v="16"/>
          </reference>
        </references>
      </pivotArea>
    </format>
    <format dxfId="1501">
      <pivotArea dataOnly="0" labelOnly="1" fieldPosition="0">
        <references count="7">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x v="16"/>
          </reference>
        </references>
      </pivotArea>
    </format>
    <format dxfId="1500">
      <pivotArea dataOnly="0" labelOnly="1" fieldPosition="0">
        <references count="7">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x v="6"/>
          </reference>
        </references>
      </pivotArea>
    </format>
    <format dxfId="1499">
      <pivotArea dataOnly="0" labelOnly="1" fieldPosition="0">
        <references count="7">
          <reference field="0" count="1" selected="0">
            <x v="102"/>
          </reference>
          <reference field="1" count="1" selected="0">
            <x v="89"/>
          </reference>
          <reference field="2" count="1" selected="0">
            <x v="14"/>
          </reference>
          <reference field="3" count="1" selected="0">
            <x v="0"/>
          </reference>
          <reference field="12" count="1" selected="0">
            <x v="3"/>
          </reference>
          <reference field="13" count="1" selected="0">
            <x v="0"/>
          </reference>
          <reference field="14" count="1">
            <x v="16"/>
          </reference>
        </references>
      </pivotArea>
    </format>
    <format dxfId="1498">
      <pivotArea dataOnly="0" labelOnly="1" fieldPosition="0">
        <references count="7">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x v="16"/>
          </reference>
        </references>
      </pivotArea>
    </format>
    <format dxfId="1497">
      <pivotArea dataOnly="0" labelOnly="1" fieldPosition="0">
        <references count="7">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x v="16"/>
          </reference>
        </references>
      </pivotArea>
    </format>
    <format dxfId="1496">
      <pivotArea dataOnly="0" labelOnly="1" fieldPosition="0">
        <references count="7">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x v="16"/>
          </reference>
        </references>
      </pivotArea>
    </format>
    <format dxfId="1495">
      <pivotArea dataOnly="0" labelOnly="1" fieldPosition="0">
        <references count="7">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x v="54"/>
          </reference>
        </references>
      </pivotArea>
    </format>
    <format dxfId="1494">
      <pivotArea dataOnly="0" labelOnly="1" fieldPosition="0">
        <references count="7">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x v="55"/>
          </reference>
        </references>
      </pivotArea>
    </format>
    <format dxfId="1493">
      <pivotArea dataOnly="0" labelOnly="1" fieldPosition="0">
        <references count="7">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x v="55"/>
          </reference>
        </references>
      </pivotArea>
    </format>
    <format dxfId="1492">
      <pivotArea dataOnly="0" labelOnly="1" fieldPosition="0">
        <references count="7">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x v="4"/>
          </reference>
        </references>
      </pivotArea>
    </format>
    <format dxfId="1491">
      <pivotArea dataOnly="0" labelOnly="1" fieldPosition="0">
        <references count="7">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x v="4"/>
          </reference>
        </references>
      </pivotArea>
    </format>
    <format dxfId="1490">
      <pivotArea dataOnly="0" labelOnly="1" fieldPosition="0">
        <references count="7">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x v="7"/>
          </reference>
        </references>
      </pivotArea>
    </format>
    <format dxfId="1489">
      <pivotArea dataOnly="0" labelOnly="1" fieldPosition="0">
        <references count="7">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x v="11"/>
          </reference>
        </references>
      </pivotArea>
    </format>
    <format dxfId="1488">
      <pivotArea dataOnly="0" labelOnly="1" fieldPosition="0">
        <references count="7">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x v="38"/>
          </reference>
        </references>
      </pivotArea>
    </format>
    <format dxfId="1487">
      <pivotArea dataOnly="0" labelOnly="1" fieldPosition="0">
        <references count="7">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x v="34"/>
          </reference>
        </references>
      </pivotArea>
    </format>
    <format dxfId="1486">
      <pivotArea dataOnly="0" labelOnly="1" fieldPosition="0">
        <references count="7">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x v="34"/>
          </reference>
        </references>
      </pivotArea>
    </format>
    <format dxfId="1485">
      <pivotArea dataOnly="0" labelOnly="1" fieldPosition="0">
        <references count="7">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x v="37"/>
          </reference>
        </references>
      </pivotArea>
    </format>
    <format dxfId="1484">
      <pivotArea dataOnly="0" labelOnly="1" fieldPosition="0">
        <references count="7">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x v="36"/>
          </reference>
        </references>
      </pivotArea>
    </format>
    <format dxfId="1483">
      <pivotArea dataOnly="0" labelOnly="1" fieldPosition="0">
        <references count="7">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x v="37"/>
          </reference>
        </references>
      </pivotArea>
    </format>
    <format dxfId="1482">
      <pivotArea dataOnly="0" labelOnly="1" fieldPosition="0">
        <references count="7">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x v="37"/>
          </reference>
        </references>
      </pivotArea>
    </format>
    <format dxfId="1481">
      <pivotArea dataOnly="0" labelOnly="1" fieldPosition="0">
        <references count="7">
          <reference field="0" count="1" selected="0">
            <x v="130"/>
          </reference>
          <reference field="1" count="1" selected="0">
            <x v="117"/>
          </reference>
          <reference field="2" count="1" selected="0">
            <x v="118"/>
          </reference>
          <reference field="3" count="1" selected="0">
            <x v="0"/>
          </reference>
          <reference field="12" count="1" selected="0">
            <x v="7"/>
          </reference>
          <reference field="13" count="1" selected="0">
            <x v="0"/>
          </reference>
          <reference field="14" count="1">
            <x v="37"/>
          </reference>
        </references>
      </pivotArea>
    </format>
    <format dxfId="1480">
      <pivotArea dataOnly="0" labelOnly="1" fieldPosition="0">
        <references count="7">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x v="34"/>
          </reference>
        </references>
      </pivotArea>
    </format>
    <format dxfId="1479">
      <pivotArea dataOnly="0" labelOnly="1" fieldPosition="0">
        <references count="7">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x v="37"/>
          </reference>
        </references>
      </pivotArea>
    </format>
    <format dxfId="1478">
      <pivotArea dataOnly="0" labelOnly="1" fieldPosition="0">
        <references count="7">
          <reference field="0" count="1" selected="0">
            <x v="136"/>
          </reference>
          <reference field="1" count="1" selected="0">
            <x v="129"/>
          </reference>
          <reference field="2" count="1" selected="0">
            <x v="219"/>
          </reference>
          <reference field="3" count="1" selected="0">
            <x v="0"/>
          </reference>
          <reference field="12" count="1" selected="0">
            <x v="3"/>
          </reference>
          <reference field="13" count="1" selected="0">
            <x v="0"/>
          </reference>
          <reference field="14" count="1">
            <x v="37"/>
          </reference>
        </references>
      </pivotArea>
    </format>
    <format dxfId="1477">
      <pivotArea dataOnly="0" labelOnly="1" fieldPosition="0">
        <references count="7">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x v="0"/>
          </reference>
        </references>
      </pivotArea>
    </format>
    <format dxfId="1476">
      <pivotArea dataOnly="0" labelOnly="1" fieldPosition="0">
        <references count="7">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x v="23"/>
          </reference>
        </references>
      </pivotArea>
    </format>
    <format dxfId="1475">
      <pivotArea dataOnly="0" labelOnly="1" fieldPosition="0">
        <references count="7">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x v="22"/>
          </reference>
        </references>
      </pivotArea>
    </format>
    <format dxfId="1474">
      <pivotArea dataOnly="0" labelOnly="1" fieldPosition="0">
        <references count="7">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x v="14"/>
          </reference>
        </references>
      </pivotArea>
    </format>
    <format dxfId="1473">
      <pivotArea dataOnly="0" labelOnly="1" fieldPosition="0">
        <references count="7">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x v="24"/>
          </reference>
        </references>
      </pivotArea>
    </format>
    <format dxfId="1472">
      <pivotArea dataOnly="0" labelOnly="1" fieldPosition="0">
        <references count="7">
          <reference field="0" count="1" selected="0">
            <x v="150"/>
          </reference>
          <reference field="1" count="1" selected="0">
            <x v="143"/>
          </reference>
          <reference field="2" count="1" selected="0">
            <x v="166"/>
          </reference>
          <reference field="3" count="1" selected="0">
            <x v="0"/>
          </reference>
          <reference field="12" count="1" selected="0">
            <x v="14"/>
          </reference>
          <reference field="13" count="1" selected="0">
            <x v="0"/>
          </reference>
          <reference field="14" count="1">
            <x v="24"/>
          </reference>
        </references>
      </pivotArea>
    </format>
    <format dxfId="1471">
      <pivotArea dataOnly="0" labelOnly="1" fieldPosition="0">
        <references count="7">
          <reference field="0" count="1" selected="0">
            <x v="151"/>
          </reference>
          <reference field="1" count="1" selected="0">
            <x v="144"/>
          </reference>
          <reference field="2" count="1" selected="0">
            <x v="85"/>
          </reference>
          <reference field="3" count="1" selected="0">
            <x v="0"/>
          </reference>
          <reference field="12" count="1" selected="0">
            <x v="14"/>
          </reference>
          <reference field="13" count="1" selected="0">
            <x v="0"/>
          </reference>
          <reference field="14" count="1">
            <x v="24"/>
          </reference>
        </references>
      </pivotArea>
    </format>
    <format dxfId="1470">
      <pivotArea dataOnly="0" labelOnly="1" fieldPosition="0">
        <references count="7">
          <reference field="0" count="1" selected="0">
            <x v="152"/>
          </reference>
          <reference field="1" count="1" selected="0">
            <x v="145"/>
          </reference>
          <reference field="2" count="1" selected="0">
            <x v="86"/>
          </reference>
          <reference field="3" count="1" selected="0">
            <x v="0"/>
          </reference>
          <reference field="12" count="1" selected="0">
            <x v="14"/>
          </reference>
          <reference field="13" count="1" selected="0">
            <x v="0"/>
          </reference>
          <reference field="14" count="1">
            <x v="24"/>
          </reference>
        </references>
      </pivotArea>
    </format>
    <format dxfId="1469">
      <pivotArea dataOnly="0" labelOnly="1" fieldPosition="0">
        <references count="7">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x v="18"/>
          </reference>
        </references>
      </pivotArea>
    </format>
    <format dxfId="1468">
      <pivotArea dataOnly="0" labelOnly="1" fieldPosition="0">
        <references count="7">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x v="18"/>
          </reference>
        </references>
      </pivotArea>
    </format>
    <format dxfId="1467">
      <pivotArea dataOnly="0" labelOnly="1" fieldPosition="0">
        <references count="7">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x v="18"/>
          </reference>
        </references>
      </pivotArea>
    </format>
    <format dxfId="1466">
      <pivotArea dataOnly="0" labelOnly="1" fieldPosition="0">
        <references count="7">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x v="51"/>
          </reference>
        </references>
      </pivotArea>
    </format>
    <format dxfId="1465">
      <pivotArea dataOnly="0" labelOnly="1" fieldPosition="0">
        <references count="7">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x v="52"/>
          </reference>
        </references>
      </pivotArea>
    </format>
    <format dxfId="1464">
      <pivotArea dataOnly="0" labelOnly="1" fieldPosition="0">
        <references count="7">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x v="52"/>
          </reference>
        </references>
      </pivotArea>
    </format>
    <format dxfId="1463">
      <pivotArea dataOnly="0" labelOnly="1" fieldPosition="0">
        <references count="7">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x v="65"/>
          </reference>
        </references>
      </pivotArea>
    </format>
    <format dxfId="1462">
      <pivotArea dataOnly="0" labelOnly="1" fieldPosition="0">
        <references count="7">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x v="26"/>
          </reference>
        </references>
      </pivotArea>
    </format>
    <format dxfId="1461">
      <pivotArea dataOnly="0" labelOnly="1" fieldPosition="0">
        <references count="7">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x v="21"/>
          </reference>
        </references>
      </pivotArea>
    </format>
    <format dxfId="1460">
      <pivotArea dataOnly="0" labelOnly="1" fieldPosition="0">
        <references count="7">
          <reference field="0" count="1" selected="0">
            <x v="166"/>
          </reference>
          <reference field="1" count="1" selected="0">
            <x v="190"/>
          </reference>
          <reference field="2" count="1" selected="0">
            <x v="213"/>
          </reference>
          <reference field="3" count="1" selected="0">
            <x v="0"/>
          </reference>
          <reference field="12" count="1" selected="0">
            <x v="13"/>
          </reference>
          <reference field="13" count="1" selected="0">
            <x v="0"/>
          </reference>
          <reference field="14" count="1">
            <x v="21"/>
          </reference>
        </references>
      </pivotArea>
    </format>
    <format dxfId="1459">
      <pivotArea dataOnly="0" labelOnly="1" fieldPosition="0">
        <references count="7">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x v="7"/>
          </reference>
        </references>
      </pivotArea>
    </format>
    <format dxfId="1458">
      <pivotArea dataOnly="0" labelOnly="1" fieldPosition="0">
        <references count="7">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x v="52"/>
          </reference>
        </references>
      </pivotArea>
    </format>
    <format dxfId="1457">
      <pivotArea dataOnly="0" labelOnly="1" fieldPosition="0">
        <references count="7">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x v="8"/>
          </reference>
        </references>
      </pivotArea>
    </format>
    <format dxfId="1456">
      <pivotArea dataOnly="0" labelOnly="1" fieldPosition="0">
        <references count="7">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x v="20"/>
          </reference>
        </references>
      </pivotArea>
    </format>
    <format dxfId="1455">
      <pivotArea dataOnly="0" labelOnly="1" fieldPosition="0">
        <references count="7">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x v="26"/>
          </reference>
        </references>
      </pivotArea>
    </format>
    <format dxfId="1454">
      <pivotArea dataOnly="0" labelOnly="1" fieldPosition="0">
        <references count="7">
          <reference field="0" count="1" selected="0">
            <x v="176"/>
          </reference>
          <reference field="1" count="1" selected="0">
            <x v="208"/>
          </reference>
          <reference field="2" count="1" selected="0">
            <x v="215"/>
          </reference>
          <reference field="3" count="1" selected="0">
            <x v="0"/>
          </reference>
          <reference field="12" count="1" selected="0">
            <x v="20"/>
          </reference>
          <reference field="13" count="1" selected="0">
            <x v="0"/>
          </reference>
          <reference field="14" count="1">
            <x v="26"/>
          </reference>
        </references>
      </pivotArea>
    </format>
    <format dxfId="1453">
      <pivotArea dataOnly="0" labelOnly="1" fieldPosition="0">
        <references count="7">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x v="27"/>
          </reference>
        </references>
      </pivotArea>
    </format>
    <format dxfId="1452">
      <pivotArea dataOnly="0" labelOnly="1" fieldPosition="0">
        <references count="7">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x v="26"/>
          </reference>
        </references>
      </pivotArea>
    </format>
    <format dxfId="1451">
      <pivotArea dataOnly="0" labelOnly="1" fieldPosition="0">
        <references count="7">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x v="26"/>
          </reference>
        </references>
      </pivotArea>
    </format>
    <format dxfId="1450">
      <pivotArea dataOnly="0" labelOnly="1" fieldPosition="0">
        <references count="7">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x v="32"/>
          </reference>
        </references>
      </pivotArea>
    </format>
    <format dxfId="1449">
      <pivotArea dataOnly="0" labelOnly="1" fieldPosition="0">
        <references count="7">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x v="38"/>
          </reference>
        </references>
      </pivotArea>
    </format>
    <format dxfId="1448">
      <pivotArea dataOnly="0" labelOnly="1" fieldPosition="0">
        <references count="7">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x v="38"/>
          </reference>
        </references>
      </pivotArea>
    </format>
    <format dxfId="1447">
      <pivotArea dataOnly="0" labelOnly="1" fieldPosition="0">
        <references count="7">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x v="38"/>
          </reference>
        </references>
      </pivotArea>
    </format>
    <format dxfId="1446">
      <pivotArea dataOnly="0" labelOnly="1" fieldPosition="0">
        <references count="7">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x v="44"/>
          </reference>
        </references>
      </pivotArea>
    </format>
    <format dxfId="1445">
      <pivotArea dataOnly="0" labelOnly="1" fieldPosition="0">
        <references count="7">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x v="45"/>
          </reference>
        </references>
      </pivotArea>
    </format>
    <format dxfId="1444">
      <pivotArea dataOnly="0" labelOnly="1" fieldPosition="0">
        <references count="7">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x v="42"/>
          </reference>
        </references>
      </pivotArea>
    </format>
    <format dxfId="1443">
      <pivotArea dataOnly="0" labelOnly="1" fieldPosition="0">
        <references count="7">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x v="46"/>
          </reference>
        </references>
      </pivotArea>
    </format>
    <format dxfId="1442">
      <pivotArea dataOnly="0" labelOnly="1" fieldPosition="0">
        <references count="7">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x v="46"/>
          </reference>
        </references>
      </pivotArea>
    </format>
    <format dxfId="1441">
      <pivotArea dataOnly="0" labelOnly="1" fieldPosition="0">
        <references count="7">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x v="63"/>
          </reference>
        </references>
      </pivotArea>
    </format>
    <format dxfId="1440">
      <pivotArea dataOnly="0" labelOnly="1" fieldPosition="0">
        <references count="7">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x v="38"/>
          </reference>
        </references>
      </pivotArea>
    </format>
    <format dxfId="1439">
      <pivotArea dataOnly="0" labelOnly="1" fieldPosition="0">
        <references count="7">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x v="0"/>
          </reference>
        </references>
      </pivotArea>
    </format>
    <format dxfId="1438">
      <pivotArea dataOnly="0" labelOnly="1" fieldPosition="0">
        <references count="7">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x v="0"/>
          </reference>
        </references>
      </pivotArea>
    </format>
    <format dxfId="1437">
      <pivotArea dataOnly="0" labelOnly="1" fieldPosition="0">
        <references count="7">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x v="20"/>
          </reference>
        </references>
      </pivotArea>
    </format>
    <format dxfId="1436">
      <pivotArea dataOnly="0" labelOnly="1" fieldPosition="0">
        <references count="7">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x v="0"/>
          </reference>
        </references>
      </pivotArea>
    </format>
    <format dxfId="1435">
      <pivotArea dataOnly="0" labelOnly="1" fieldPosition="0">
        <references count="7">
          <reference field="0" count="1" selected="0">
            <x v="201"/>
          </reference>
          <reference field="1" count="1" selected="0">
            <x v="240"/>
          </reference>
          <reference field="2" count="1" selected="0">
            <x v="37"/>
          </reference>
          <reference field="3" count="1" selected="0">
            <x v="0"/>
          </reference>
          <reference field="12" count="1" selected="0">
            <x v="20"/>
          </reference>
          <reference field="13" count="1" selected="0">
            <x v="0"/>
          </reference>
          <reference field="14" count="1">
            <x v="0"/>
          </reference>
        </references>
      </pivotArea>
    </format>
    <format dxfId="1434">
      <pivotArea dataOnly="0" labelOnly="1" fieldPosition="0">
        <references count="7">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x v="39"/>
          </reference>
        </references>
      </pivotArea>
    </format>
    <format dxfId="1433">
      <pivotArea dataOnly="0" labelOnly="1" fieldPosition="0">
        <references count="7">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x v="38"/>
          </reference>
        </references>
      </pivotArea>
    </format>
    <format dxfId="1432">
      <pivotArea dataOnly="0" labelOnly="1" fieldPosition="0">
        <references count="7">
          <reference field="0" count="1" selected="0">
            <x v="207"/>
          </reference>
          <reference field="1" count="1" selected="0">
            <x v="152"/>
          </reference>
          <reference field="2" count="1" selected="0">
            <x v="81"/>
          </reference>
          <reference field="3" count="1" selected="0">
            <x v="0"/>
          </reference>
          <reference field="12" count="1" selected="0">
            <x v="7"/>
          </reference>
          <reference field="13" count="1" selected="0">
            <x v="0"/>
          </reference>
          <reference field="14" count="1">
            <x v="38"/>
          </reference>
        </references>
      </pivotArea>
    </format>
    <format dxfId="1431">
      <pivotArea dataOnly="0" labelOnly="1" fieldPosition="0">
        <references count="7">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x v="29"/>
          </reference>
        </references>
      </pivotArea>
    </format>
    <format dxfId="1430">
      <pivotArea dataOnly="0" labelOnly="1" fieldPosition="0">
        <references count="7">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x v="31"/>
          </reference>
        </references>
      </pivotArea>
    </format>
    <format dxfId="1429">
      <pivotArea dataOnly="0" labelOnly="1" fieldPosition="0">
        <references count="7">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x v="0"/>
          </reference>
        </references>
      </pivotArea>
    </format>
    <format dxfId="1428">
      <pivotArea dataOnly="0" labelOnly="1" fieldPosition="0">
        <references count="7">
          <reference field="0" count="1" selected="0">
            <x v="211"/>
          </reference>
          <reference field="1" count="1" selected="0">
            <x v="156"/>
          </reference>
          <reference field="2" count="1" selected="0">
            <x v="164"/>
          </reference>
          <reference field="3" count="1" selected="0">
            <x v="0"/>
          </reference>
          <reference field="12" count="1" selected="0">
            <x v="20"/>
          </reference>
          <reference field="13" count="1" selected="0">
            <x v="3"/>
          </reference>
          <reference field="14" count="1">
            <x v="0"/>
          </reference>
        </references>
      </pivotArea>
    </format>
    <format dxfId="1427">
      <pivotArea dataOnly="0" labelOnly="1" fieldPosition="0">
        <references count="7">
          <reference field="0" count="1" selected="0">
            <x v="212"/>
          </reference>
          <reference field="1" count="1" selected="0">
            <x v="157"/>
          </reference>
          <reference field="2" count="1" selected="0">
            <x v="170"/>
          </reference>
          <reference field="3" count="1" selected="0">
            <x v="0"/>
          </reference>
          <reference field="12" count="1" selected="0">
            <x v="20"/>
          </reference>
          <reference field="13" count="1" selected="0">
            <x v="4"/>
          </reference>
          <reference field="14" count="1">
            <x v="0"/>
          </reference>
        </references>
      </pivotArea>
    </format>
    <format dxfId="1426">
      <pivotArea dataOnly="0" labelOnly="1" fieldPosition="0">
        <references count="7">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x v="66"/>
          </reference>
        </references>
      </pivotArea>
    </format>
    <format dxfId="1425">
      <pivotArea dataOnly="0" labelOnly="1" fieldPosition="0">
        <references count="7">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x v="66"/>
          </reference>
        </references>
      </pivotArea>
    </format>
    <format dxfId="1424">
      <pivotArea dataOnly="0" labelOnly="1" fieldPosition="0">
        <references count="7">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x v="66"/>
          </reference>
        </references>
      </pivotArea>
    </format>
    <format dxfId="1423">
      <pivotArea dataOnly="0" labelOnly="1" fieldPosition="0">
        <references count="7">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x v="66"/>
          </reference>
        </references>
      </pivotArea>
    </format>
    <format dxfId="1422">
      <pivotArea dataOnly="0" labelOnly="1" fieldPosition="0">
        <references count="7">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x v="0"/>
          </reference>
        </references>
      </pivotArea>
    </format>
    <format dxfId="1421">
      <pivotArea dataOnly="0" labelOnly="1" fieldPosition="0">
        <references count="7">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x v="0"/>
          </reference>
        </references>
      </pivotArea>
    </format>
    <format dxfId="1420">
      <pivotArea dataOnly="0" labelOnly="1" fieldPosition="0">
        <references count="7">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x v="57"/>
          </reference>
        </references>
      </pivotArea>
    </format>
    <format dxfId="1419">
      <pivotArea dataOnly="0" labelOnly="1" fieldPosition="0">
        <references count="7">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x v="60"/>
          </reference>
        </references>
      </pivotArea>
    </format>
    <format dxfId="1418">
      <pivotArea dataOnly="0" labelOnly="1" fieldPosition="0">
        <references count="7">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x v="0"/>
          </reference>
        </references>
      </pivotArea>
    </format>
    <format dxfId="1417">
      <pivotArea dataOnly="0" labelOnly="1" fieldPosition="0">
        <references count="7">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x v="18"/>
          </reference>
        </references>
      </pivotArea>
    </format>
    <format dxfId="1416">
      <pivotArea dataOnly="0" labelOnly="1" fieldPosition="0">
        <references count="7">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x v="18"/>
          </reference>
        </references>
      </pivotArea>
    </format>
    <format dxfId="1415">
      <pivotArea dataOnly="0" labelOnly="1" fieldPosition="0">
        <references count="7">
          <reference field="0" count="1" selected="0">
            <x v="226"/>
          </reference>
          <reference field="1" count="1" selected="0">
            <x v="171"/>
          </reference>
          <reference field="2" count="1" selected="0">
            <x v="41"/>
          </reference>
          <reference field="3" count="1" selected="0">
            <x v="0"/>
          </reference>
          <reference field="12" count="1" selected="0">
            <x v="23"/>
          </reference>
          <reference field="13" count="1" selected="0">
            <x v="22"/>
          </reference>
          <reference field="14" count="1">
            <x v="18"/>
          </reference>
        </references>
      </pivotArea>
    </format>
    <format dxfId="1414">
      <pivotArea dataOnly="0" labelOnly="1" fieldPosition="0">
        <references count="7">
          <reference field="0" count="1" selected="0">
            <x v="227"/>
          </reference>
          <reference field="1" count="1" selected="0">
            <x v="172"/>
          </reference>
          <reference field="2" count="1" selected="0">
            <x v="42"/>
          </reference>
          <reference field="3" count="1" selected="0">
            <x v="0"/>
          </reference>
          <reference field="12" count="1" selected="0">
            <x v="23"/>
          </reference>
          <reference field="13" count="1" selected="0">
            <x v="22"/>
          </reference>
          <reference field="14" count="1">
            <x v="18"/>
          </reference>
        </references>
      </pivotArea>
    </format>
    <format dxfId="1413">
      <pivotArea dataOnly="0" labelOnly="1" fieldPosition="0">
        <references count="7">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x v="38"/>
          </reference>
        </references>
      </pivotArea>
    </format>
    <format dxfId="1412">
      <pivotArea dataOnly="0" labelOnly="1" fieldPosition="0">
        <references count="7">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x v="34"/>
          </reference>
        </references>
      </pivotArea>
    </format>
    <format dxfId="1411">
      <pivotArea dataOnly="0" labelOnly="1" fieldPosition="0">
        <references count="7">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x v="36"/>
          </reference>
        </references>
      </pivotArea>
    </format>
    <format dxfId="1410">
      <pivotArea dataOnly="0" labelOnly="1" fieldPosition="0">
        <references count="7">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x v="38"/>
          </reference>
        </references>
      </pivotArea>
    </format>
    <format dxfId="1409">
      <pivotArea dataOnly="0" labelOnly="1" fieldPosition="0">
        <references count="7">
          <reference field="0" count="1" selected="0">
            <x v="232"/>
          </reference>
          <reference field="1" count="1" selected="0">
            <x v="177"/>
          </reference>
          <reference field="2" count="1" selected="0">
            <x v="47"/>
          </reference>
          <reference field="3" count="1" selected="0">
            <x v="0"/>
          </reference>
          <reference field="12" count="1" selected="0">
            <x v="3"/>
          </reference>
          <reference field="13" count="1" selected="0">
            <x v="19"/>
          </reference>
          <reference field="14" count="1">
            <x v="38"/>
          </reference>
        </references>
      </pivotArea>
    </format>
    <format dxfId="1408">
      <pivotArea dataOnly="0" labelOnly="1" fieldPosition="0">
        <references count="7">
          <reference field="0" count="1" selected="0">
            <x v="233"/>
          </reference>
          <reference field="1" count="1" selected="0">
            <x v="178"/>
          </reference>
          <reference field="2" count="1" selected="0">
            <x v="32"/>
          </reference>
          <reference field="3" count="1" selected="0">
            <x v="0"/>
          </reference>
          <reference field="12" count="1" selected="0">
            <x v="3"/>
          </reference>
          <reference field="13" count="1" selected="0">
            <x v="6"/>
          </reference>
          <reference field="14" count="1">
            <x v="38"/>
          </reference>
        </references>
      </pivotArea>
    </format>
    <format dxfId="1407">
      <pivotArea dataOnly="0" labelOnly="1" fieldPosition="0">
        <references count="7">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x v="67"/>
          </reference>
        </references>
      </pivotArea>
    </format>
    <format dxfId="1406">
      <pivotArea dataOnly="0" labelOnly="1" fieldPosition="0">
        <references count="7">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x v="38"/>
          </reference>
        </references>
      </pivotArea>
    </format>
    <format dxfId="1405">
      <pivotArea dataOnly="0" labelOnly="1" fieldPosition="0">
        <references count="7">
          <reference field="0" count="1" selected="0">
            <x v="236"/>
          </reference>
          <reference field="1" count="1" selected="0">
            <x v="192"/>
          </reference>
          <reference field="2" count="1" selected="0">
            <x v="27"/>
          </reference>
          <reference field="3" count="1" selected="0">
            <x v="0"/>
          </reference>
          <reference field="12" count="1" selected="0">
            <x v="3"/>
          </reference>
          <reference field="13" count="1" selected="0">
            <x v="0"/>
          </reference>
          <reference field="14" count="1">
            <x v="38"/>
          </reference>
        </references>
      </pivotArea>
    </format>
    <format dxfId="1404">
      <pivotArea dataOnly="0" labelOnly="1" fieldPosition="0">
        <references count="7">
          <reference field="0" count="1" selected="0">
            <x v="237"/>
          </reference>
          <reference field="1" count="1" selected="0">
            <x v="193"/>
          </reference>
          <reference field="2" count="1" selected="0">
            <x v="89"/>
          </reference>
          <reference field="3" count="1" selected="0">
            <x v="0"/>
          </reference>
          <reference field="12" count="1" selected="0">
            <x v="3"/>
          </reference>
          <reference field="13" count="1" selected="0">
            <x v="0"/>
          </reference>
          <reference field="14" count="1">
            <x v="38"/>
          </reference>
        </references>
      </pivotArea>
    </format>
    <format dxfId="1403">
      <pivotArea dataOnly="0" labelOnly="1" fieldPosition="0">
        <references count="7">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x v="0"/>
          </reference>
        </references>
      </pivotArea>
    </format>
    <format dxfId="1402">
      <pivotArea dataOnly="0" labelOnly="1" fieldPosition="0">
        <references count="7">
          <reference field="0" count="1" selected="0">
            <x v="239"/>
          </reference>
          <reference field="1" count="1" selected="0">
            <x v="195"/>
          </reference>
          <reference field="2" count="1" selected="0">
            <x v="28"/>
          </reference>
          <reference field="3" count="1" selected="0">
            <x v="0"/>
          </reference>
          <reference field="12" count="1" selected="0">
            <x v="0"/>
          </reference>
          <reference field="13" count="1" selected="0">
            <x v="0"/>
          </reference>
          <reference field="14" count="1">
            <x v="0"/>
          </reference>
        </references>
      </pivotArea>
    </format>
    <format dxfId="1401">
      <pivotArea dataOnly="0" labelOnly="1" fieldPosition="0">
        <references count="7">
          <reference field="0" count="1" selected="0">
            <x v="240"/>
          </reference>
          <reference field="1" count="1" selected="0">
            <x v="196"/>
          </reference>
          <reference field="2" count="1" selected="0">
            <x v="40"/>
          </reference>
          <reference field="3" count="1" selected="0">
            <x v="0"/>
          </reference>
          <reference field="12" count="1" selected="0">
            <x v="3"/>
          </reference>
          <reference field="13" count="1" selected="0">
            <x v="0"/>
          </reference>
          <reference field="14" count="1">
            <x v="0"/>
          </reference>
        </references>
      </pivotArea>
    </format>
    <format dxfId="1400">
      <pivotArea dataOnly="0" labelOnly="1" fieldPosition="0">
        <references count="7">
          <reference field="0" count="1" selected="0">
            <x v="241"/>
          </reference>
          <reference field="1" count="1" selected="0">
            <x v="197"/>
          </reference>
          <reference field="2" count="1" selected="0">
            <x v="195"/>
          </reference>
          <reference field="3" count="1" selected="0">
            <x v="0"/>
          </reference>
          <reference field="12" count="1" selected="0">
            <x v="0"/>
          </reference>
          <reference field="13" count="1" selected="0">
            <x v="0"/>
          </reference>
          <reference field="14" count="1">
            <x v="0"/>
          </reference>
        </references>
      </pivotArea>
    </format>
    <format dxfId="1399">
      <pivotArea dataOnly="0" labelOnly="1" fieldPosition="0">
        <references count="7">
          <reference field="0" count="1" selected="0">
            <x v="242"/>
          </reference>
          <reference field="1" count="1" selected="0">
            <x v="198"/>
          </reference>
          <reference field="2" count="1" selected="0">
            <x v="132"/>
          </reference>
          <reference field="3" count="1" selected="0">
            <x v="0"/>
          </reference>
          <reference field="12" count="1" selected="0">
            <x v="6"/>
          </reference>
          <reference field="13" count="1" selected="0">
            <x v="0"/>
          </reference>
          <reference field="14" count="1">
            <x v="0"/>
          </reference>
        </references>
      </pivotArea>
    </format>
    <format dxfId="1398">
      <pivotArea dataOnly="0" labelOnly="1" fieldPosition="0">
        <references count="8">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x v="15"/>
          </reference>
        </references>
      </pivotArea>
    </format>
    <format dxfId="1397">
      <pivotArea dataOnly="0" labelOnly="1" fieldPosition="0">
        <references count="8">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x v="14"/>
          </reference>
        </references>
      </pivotArea>
    </format>
    <format dxfId="1396">
      <pivotArea dataOnly="0" labelOnly="1" fieldPosition="0">
        <references count="8">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1395">
      <pivotArea dataOnly="0" labelOnly="1" fieldPosition="0">
        <references count="8">
          <reference field="0" count="1" selected="0">
            <x v="4"/>
          </reference>
          <reference field="1" count="1" selected="0">
            <x v="232"/>
          </reference>
          <reference field="2" count="1" selected="0">
            <x v="90"/>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1394">
      <pivotArea dataOnly="0" labelOnly="1" fieldPosition="0">
        <references count="8">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1393">
      <pivotArea dataOnly="0" labelOnly="1" fieldPosition="0">
        <references count="8">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1392">
      <pivotArea dataOnly="0" labelOnly="1" fieldPosition="0">
        <references count="8">
          <reference field="0" count="1" selected="0">
            <x v="9"/>
          </reference>
          <reference field="1" count="1" selected="0">
            <x v="120"/>
          </reference>
          <reference field="2" count="1" selected="0">
            <x v="168"/>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1391">
      <pivotArea dataOnly="0" labelOnly="1" fieldPosition="0">
        <references count="8">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selected="0">
            <x v="38"/>
          </reference>
          <reference field="15" count="1">
            <x v="0"/>
          </reference>
        </references>
      </pivotArea>
    </format>
    <format dxfId="1390">
      <pivotArea dataOnly="0" labelOnly="1" fieldPosition="0">
        <references count="8">
          <reference field="0" count="1" selected="0">
            <x v="11"/>
          </reference>
          <reference field="1" count="1" selected="0">
            <x v="122"/>
          </reference>
          <reference field="2" count="1" selected="0">
            <x v="26"/>
          </reference>
          <reference field="3" count="1" selected="0">
            <x v="0"/>
          </reference>
          <reference field="12" count="1" selected="0">
            <x v="0"/>
          </reference>
          <reference field="13" count="1" selected="0">
            <x v="0"/>
          </reference>
          <reference field="14" count="1" selected="0">
            <x v="38"/>
          </reference>
          <reference field="15" count="1">
            <x v="0"/>
          </reference>
        </references>
      </pivotArea>
    </format>
    <format dxfId="1389">
      <pivotArea dataOnly="0" labelOnly="1" fieldPosition="0">
        <references count="8">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x v="15"/>
          </reference>
        </references>
      </pivotArea>
    </format>
    <format dxfId="1388">
      <pivotArea dataOnly="0" labelOnly="1" fieldPosition="0">
        <references count="8">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x v="14"/>
          </reference>
        </references>
      </pivotArea>
    </format>
    <format dxfId="1387">
      <pivotArea dataOnly="0" labelOnly="1" fieldPosition="0">
        <references count="8">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x v="21"/>
          </reference>
        </references>
      </pivotArea>
    </format>
    <format dxfId="1386">
      <pivotArea dataOnly="0" labelOnly="1" fieldPosition="0">
        <references count="8">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x v="45"/>
          </reference>
        </references>
      </pivotArea>
    </format>
    <format dxfId="1385">
      <pivotArea dataOnly="0" labelOnly="1" fieldPosition="0">
        <references count="8">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x v="0"/>
          </reference>
        </references>
      </pivotArea>
    </format>
    <format dxfId="1384">
      <pivotArea dataOnly="0" labelOnly="1" fieldPosition="0">
        <references count="8">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x v="12"/>
          </reference>
        </references>
      </pivotArea>
    </format>
    <format dxfId="1383">
      <pivotArea dataOnly="0" labelOnly="1" fieldPosition="0">
        <references count="8">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x v="11"/>
          </reference>
        </references>
      </pivotArea>
    </format>
    <format dxfId="1382">
      <pivotArea dataOnly="0" labelOnly="1" fieldPosition="0">
        <references count="8">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x v="0"/>
          </reference>
        </references>
      </pivotArea>
    </format>
    <format dxfId="1381">
      <pivotArea dataOnly="0" labelOnly="1" fieldPosition="0">
        <references count="8">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x v="23"/>
          </reference>
        </references>
      </pivotArea>
    </format>
    <format dxfId="1380">
      <pivotArea dataOnly="0" labelOnly="1" fieldPosition="0">
        <references count="8">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x v="23"/>
          </reference>
        </references>
      </pivotArea>
    </format>
    <format dxfId="1379">
      <pivotArea dataOnly="0" labelOnly="1" fieldPosition="0">
        <references count="8">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1378">
      <pivotArea dataOnly="0" labelOnly="1" fieldPosition="0">
        <references count="8">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1377">
      <pivotArea dataOnly="0" labelOnly="1" fieldPosition="0">
        <references count="8">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x v="16"/>
          </reference>
        </references>
      </pivotArea>
    </format>
    <format dxfId="1376">
      <pivotArea dataOnly="0" labelOnly="1" fieldPosition="0">
        <references count="8">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x v="0"/>
          </reference>
        </references>
      </pivotArea>
    </format>
    <format dxfId="1375">
      <pivotArea dataOnly="0" labelOnly="1" fieldPosition="0">
        <references count="8">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1374">
      <pivotArea dataOnly="0" labelOnly="1" fieldPosition="0">
        <references count="8">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1373">
      <pivotArea dataOnly="0" labelOnly="1" fieldPosition="0">
        <references count="8">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1372">
      <pivotArea dataOnly="0" labelOnly="1" fieldPosition="0">
        <references count="8">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x v="22"/>
          </reference>
        </references>
      </pivotArea>
    </format>
    <format dxfId="1371">
      <pivotArea dataOnly="0" labelOnly="1" fieldPosition="0">
        <references count="8">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x v="17"/>
          </reference>
        </references>
      </pivotArea>
    </format>
    <format dxfId="1370">
      <pivotArea dataOnly="0" labelOnly="1" fieldPosition="0">
        <references count="8">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1369">
      <pivotArea dataOnly="0" labelOnly="1" fieldPosition="0">
        <references count="8">
          <reference field="0" count="1" selected="0">
            <x v="56"/>
          </reference>
          <reference field="1" count="1" selected="0">
            <x v="36"/>
          </reference>
          <reference field="2" count="1" selected="0">
            <x v="183"/>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1368">
      <pivotArea dataOnly="0" labelOnly="1" fieldPosition="0">
        <references count="8">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x v="43"/>
          </reference>
        </references>
      </pivotArea>
    </format>
    <format dxfId="1367">
      <pivotArea dataOnly="0" labelOnly="1" fieldPosition="0">
        <references count="8">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selected="0">
            <x v="37"/>
          </reference>
          <reference field="15" count="1">
            <x v="43"/>
          </reference>
        </references>
      </pivotArea>
    </format>
    <format dxfId="1366">
      <pivotArea dataOnly="0" labelOnly="1" fieldPosition="0">
        <references count="8">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selected="0">
            <x v="36"/>
          </reference>
          <reference field="15" count="1">
            <x v="43"/>
          </reference>
        </references>
      </pivotArea>
    </format>
    <format dxfId="1365">
      <pivotArea dataOnly="0" labelOnly="1" fieldPosition="0">
        <references count="8">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selected="0">
            <x v="0"/>
          </reference>
          <reference field="15" count="1">
            <x v="43"/>
          </reference>
        </references>
      </pivotArea>
    </format>
    <format dxfId="1364">
      <pivotArea dataOnly="0" labelOnly="1" fieldPosition="0">
        <references count="8">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x v="40"/>
          </reference>
        </references>
      </pivotArea>
    </format>
    <format dxfId="1363">
      <pivotArea dataOnly="0" labelOnly="1" fieldPosition="0">
        <references count="8">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x v="41"/>
          </reference>
        </references>
      </pivotArea>
    </format>
    <format dxfId="1362">
      <pivotArea dataOnly="0" labelOnly="1" fieldPosition="0">
        <references count="8">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x v="0"/>
          </reference>
        </references>
      </pivotArea>
    </format>
    <format dxfId="1361">
      <pivotArea dataOnly="0" labelOnly="1" fieldPosition="0">
        <references count="8">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selected="0">
            <x v="0"/>
          </reference>
          <reference field="15" count="1">
            <x v="0"/>
          </reference>
        </references>
      </pivotArea>
    </format>
    <format dxfId="1360">
      <pivotArea dataOnly="0" labelOnly="1" fieldPosition="0">
        <references count="8">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1359">
      <pivotArea dataOnly="0" labelOnly="1" fieldPosition="0">
        <references count="8">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1358">
      <pivotArea dataOnly="0" labelOnly="1" fieldPosition="0">
        <references count="8">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x v="29"/>
          </reference>
        </references>
      </pivotArea>
    </format>
    <format dxfId="1357">
      <pivotArea dataOnly="0" labelOnly="1" fieldPosition="0">
        <references count="8">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x v="26"/>
          </reference>
        </references>
      </pivotArea>
    </format>
    <format dxfId="1356">
      <pivotArea dataOnly="0" labelOnly="1" fieldPosition="0">
        <references count="8">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x v="0"/>
          </reference>
        </references>
      </pivotArea>
    </format>
    <format dxfId="1355">
      <pivotArea dataOnly="0" labelOnly="1" fieldPosition="0">
        <references count="8">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x v="29"/>
          </reference>
        </references>
      </pivotArea>
    </format>
    <format dxfId="1354">
      <pivotArea dataOnly="0" labelOnly="1" fieldPosition="0">
        <references count="8">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x v="0"/>
          </reference>
        </references>
      </pivotArea>
    </format>
    <format dxfId="1353">
      <pivotArea dataOnly="0" labelOnly="1" fieldPosition="0">
        <references count="8">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selected="0">
            <x v="50"/>
          </reference>
          <reference field="15" count="1">
            <x v="0"/>
          </reference>
        </references>
      </pivotArea>
    </format>
    <format dxfId="1352">
      <pivotArea dataOnly="0" labelOnly="1" fieldPosition="0">
        <references count="8">
          <reference field="0" count="1" selected="0">
            <x v="90"/>
          </reference>
          <reference field="1" count="1" selected="0">
            <x v="77"/>
          </reference>
          <reference field="2" count="1" selected="0">
            <x v="43"/>
          </reference>
          <reference field="3" count="1" selected="0">
            <x v="0"/>
          </reference>
          <reference field="12" count="1" selected="0">
            <x v="7"/>
          </reference>
          <reference field="13" count="1" selected="0">
            <x v="0"/>
          </reference>
          <reference field="14" count="1" selected="0">
            <x v="50"/>
          </reference>
          <reference field="15" count="1">
            <x v="0"/>
          </reference>
        </references>
      </pivotArea>
    </format>
    <format dxfId="1351">
      <pivotArea dataOnly="0" labelOnly="1" fieldPosition="0">
        <references count="8">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x v="0"/>
          </reference>
        </references>
      </pivotArea>
    </format>
    <format dxfId="1350">
      <pivotArea dataOnly="0" labelOnly="1" fieldPosition="0">
        <references count="8">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x v="0"/>
          </reference>
        </references>
      </pivotArea>
    </format>
    <format dxfId="1349">
      <pivotArea dataOnly="0" labelOnly="1" fieldPosition="0">
        <references count="8">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x v="0"/>
          </reference>
        </references>
      </pivotArea>
    </format>
    <format dxfId="1348">
      <pivotArea dataOnly="0" labelOnly="1" fieldPosition="0">
        <references count="8">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x v="0"/>
          </reference>
        </references>
      </pivotArea>
    </format>
    <format dxfId="1347">
      <pivotArea dataOnly="0" labelOnly="1" fieldPosition="0">
        <references count="8">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346">
      <pivotArea dataOnly="0" labelOnly="1" fieldPosition="0">
        <references count="8">
          <reference field="0" count="1" selected="0">
            <x v="97"/>
          </reference>
          <reference field="1" count="1" selected="0">
            <x v="84"/>
          </reference>
          <reference field="2" count="1" selected="0">
            <x v="6"/>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345">
      <pivotArea dataOnly="0" labelOnly="1" fieldPosition="0">
        <references count="8">
          <reference field="0" count="1" selected="0">
            <x v="98"/>
          </reference>
          <reference field="1" count="1" selected="0">
            <x v="85"/>
          </reference>
          <reference field="2" count="1" selected="0">
            <x v="214"/>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344">
      <pivotArea dataOnly="0" labelOnly="1" fieldPosition="0">
        <references count="8">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x v="28"/>
          </reference>
        </references>
      </pivotArea>
    </format>
    <format dxfId="1343">
      <pivotArea dataOnly="0" labelOnly="1" fieldPosition="0">
        <references count="8">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selected="0">
            <x v="16"/>
          </reference>
          <reference field="15" count="1">
            <x v="26"/>
          </reference>
        </references>
      </pivotArea>
    </format>
    <format dxfId="1342">
      <pivotArea dataOnly="0" labelOnly="1" fieldPosition="0">
        <references count="8">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x v="0"/>
          </reference>
        </references>
      </pivotArea>
    </format>
    <format dxfId="1341">
      <pivotArea dataOnly="0" labelOnly="1" fieldPosition="0">
        <references count="8">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340">
      <pivotArea dataOnly="0" labelOnly="1" fieldPosition="0">
        <references count="8">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339">
      <pivotArea dataOnly="0" labelOnly="1" fieldPosition="0">
        <references count="8">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x v="0"/>
          </reference>
        </references>
      </pivotArea>
    </format>
    <format dxfId="1338">
      <pivotArea dataOnly="0" labelOnly="1" fieldPosition="0">
        <references count="8">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x v="30"/>
          </reference>
        </references>
      </pivotArea>
    </format>
    <format dxfId="1337">
      <pivotArea dataOnly="0" labelOnly="1" fieldPosition="0">
        <references count="8">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x v="30"/>
          </reference>
        </references>
      </pivotArea>
    </format>
    <format dxfId="1336">
      <pivotArea dataOnly="0" labelOnly="1" fieldPosition="0">
        <references count="8">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x v="31"/>
          </reference>
        </references>
      </pivotArea>
    </format>
    <format dxfId="1335">
      <pivotArea dataOnly="0" labelOnly="1" fieldPosition="0">
        <references count="8">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x v="26"/>
          </reference>
        </references>
      </pivotArea>
    </format>
    <format dxfId="1334">
      <pivotArea dataOnly="0" labelOnly="1" fieldPosition="0">
        <references count="8">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x v="27"/>
          </reference>
        </references>
      </pivotArea>
    </format>
    <format dxfId="1333">
      <pivotArea dataOnly="0" labelOnly="1" fieldPosition="0">
        <references count="8">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x v="0"/>
          </reference>
        </references>
      </pivotArea>
    </format>
    <format dxfId="1332">
      <pivotArea dataOnly="0" labelOnly="1" fieldPosition="0">
        <references count="8">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selected="0">
            <x v="11"/>
          </reference>
          <reference field="15" count="1">
            <x v="0"/>
          </reference>
        </references>
      </pivotArea>
    </format>
    <format dxfId="1331">
      <pivotArea dataOnly="0" labelOnly="1" fieldPosition="0">
        <references count="8">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selected="0">
            <x v="38"/>
          </reference>
          <reference field="15" count="1">
            <x v="0"/>
          </reference>
        </references>
      </pivotArea>
    </format>
    <format dxfId="1330">
      <pivotArea dataOnly="0" labelOnly="1" fieldPosition="0">
        <references count="8">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selected="0">
            <x v="34"/>
          </reference>
          <reference field="15" count="1">
            <x v="0"/>
          </reference>
        </references>
      </pivotArea>
    </format>
    <format dxfId="1329">
      <pivotArea dataOnly="0" labelOnly="1" fieldPosition="0">
        <references count="8">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x v="32"/>
          </reference>
        </references>
      </pivotArea>
    </format>
    <format dxfId="1328">
      <pivotArea dataOnly="0" labelOnly="1" fieldPosition="0">
        <references count="8">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selected="0">
            <x v="37"/>
          </reference>
          <reference field="15" count="1">
            <x v="32"/>
          </reference>
        </references>
      </pivotArea>
    </format>
    <format dxfId="1327">
      <pivotArea dataOnly="0" labelOnly="1" fieldPosition="0">
        <references count="8">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selected="0">
            <x v="36"/>
          </reference>
          <reference field="15" count="1">
            <x v="32"/>
          </reference>
        </references>
      </pivotArea>
    </format>
    <format dxfId="1326">
      <pivotArea dataOnly="0" labelOnly="1" fieldPosition="0">
        <references count="8">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x v="0"/>
          </reference>
        </references>
      </pivotArea>
    </format>
    <format dxfId="1325">
      <pivotArea dataOnly="0" labelOnly="1" fieldPosition="0">
        <references count="8">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x v="32"/>
          </reference>
        </references>
      </pivotArea>
    </format>
    <format dxfId="1324">
      <pivotArea dataOnly="0" labelOnly="1" fieldPosition="0">
        <references count="8">
          <reference field="0" count="1" selected="0">
            <x v="130"/>
          </reference>
          <reference field="1" count="1" selected="0">
            <x v="117"/>
          </reference>
          <reference field="2" count="1" selected="0">
            <x v="118"/>
          </reference>
          <reference field="3" count="1" selected="0">
            <x v="0"/>
          </reference>
          <reference field="12" count="1" selected="0">
            <x v="7"/>
          </reference>
          <reference field="13" count="1" selected="0">
            <x v="0"/>
          </reference>
          <reference field="14" count="1" selected="0">
            <x v="37"/>
          </reference>
          <reference field="15" count="1">
            <x v="32"/>
          </reference>
        </references>
      </pivotArea>
    </format>
    <format dxfId="1323">
      <pivotArea dataOnly="0" labelOnly="1" fieldPosition="0">
        <references count="8">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x v="43"/>
          </reference>
        </references>
      </pivotArea>
    </format>
    <format dxfId="1322">
      <pivotArea dataOnly="0" labelOnly="1" fieldPosition="0">
        <references count="8">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selected="0">
            <x v="37"/>
          </reference>
          <reference field="15" count="1">
            <x v="43"/>
          </reference>
        </references>
      </pivotArea>
    </format>
    <format dxfId="1321">
      <pivotArea dataOnly="0" labelOnly="1" fieldPosition="0">
        <references count="8">
          <reference field="0" count="1" selected="0">
            <x v="136"/>
          </reference>
          <reference field="1" count="1" selected="0">
            <x v="129"/>
          </reference>
          <reference field="2" count="1" selected="0">
            <x v="219"/>
          </reference>
          <reference field="3" count="1" selected="0">
            <x v="0"/>
          </reference>
          <reference field="12" count="1" selected="0">
            <x v="3"/>
          </reference>
          <reference field="13" count="1" selected="0">
            <x v="0"/>
          </reference>
          <reference field="14" count="1" selected="0">
            <x v="37"/>
          </reference>
          <reference field="15" count="1">
            <x v="43"/>
          </reference>
        </references>
      </pivotArea>
    </format>
    <format dxfId="1320">
      <pivotArea dataOnly="0" labelOnly="1" fieldPosition="0">
        <references count="8">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x v="0"/>
          </reference>
        </references>
      </pivotArea>
    </format>
    <format dxfId="1319">
      <pivotArea dataOnly="0" labelOnly="1" fieldPosition="0">
        <references count="8">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x v="33"/>
          </reference>
        </references>
      </pivotArea>
    </format>
    <format dxfId="1318">
      <pivotArea dataOnly="0" labelOnly="1" fieldPosition="0">
        <references count="8">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x v="24"/>
          </reference>
        </references>
      </pivotArea>
    </format>
    <format dxfId="1317">
      <pivotArea dataOnly="0" labelOnly="1" fieldPosition="0">
        <references count="8">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selected="0">
            <x v="14"/>
          </reference>
          <reference field="15" count="1">
            <x v="24"/>
          </reference>
        </references>
      </pivotArea>
    </format>
    <format dxfId="1316">
      <pivotArea dataOnly="0" labelOnly="1" fieldPosition="0">
        <references count="8">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315">
      <pivotArea dataOnly="0" labelOnly="1" fieldPosition="0">
        <references count="8">
          <reference field="0" count="1" selected="0">
            <x v="150"/>
          </reference>
          <reference field="1" count="1" selected="0">
            <x v="143"/>
          </reference>
          <reference field="2" count="1" selected="0">
            <x v="166"/>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314">
      <pivotArea dataOnly="0" labelOnly="1" fieldPosition="0">
        <references count="8">
          <reference field="0" count="1" selected="0">
            <x v="151"/>
          </reference>
          <reference field="1" count="1" selected="0">
            <x v="144"/>
          </reference>
          <reference field="2" count="1" selected="0">
            <x v="8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313">
      <pivotArea dataOnly="0" labelOnly="1" fieldPosition="0">
        <references count="8">
          <reference field="0" count="1" selected="0">
            <x v="152"/>
          </reference>
          <reference field="1" count="1" selected="0">
            <x v="145"/>
          </reference>
          <reference field="2" count="1" selected="0">
            <x v="86"/>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312">
      <pivotArea dataOnly="0" labelOnly="1" fieldPosition="0">
        <references count="8">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x v="0"/>
          </reference>
        </references>
      </pivotArea>
    </format>
    <format dxfId="1311">
      <pivotArea dataOnly="0" labelOnly="1" fieldPosition="0">
        <references count="8">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x v="3"/>
          </reference>
        </references>
      </pivotArea>
    </format>
    <format dxfId="1310">
      <pivotArea dataOnly="0" labelOnly="1" fieldPosition="0">
        <references count="8">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x v="1"/>
          </reference>
        </references>
      </pivotArea>
    </format>
    <format dxfId="1309">
      <pivotArea dataOnly="0" labelOnly="1" fieldPosition="0">
        <references count="8">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x v="8"/>
          </reference>
        </references>
      </pivotArea>
    </format>
    <format dxfId="1308">
      <pivotArea dataOnly="0" labelOnly="1" fieldPosition="0">
        <references count="8">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x v="8"/>
          </reference>
        </references>
      </pivotArea>
    </format>
    <format dxfId="1307">
      <pivotArea dataOnly="0" labelOnly="1" fieldPosition="0">
        <references count="8">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x v="7"/>
          </reference>
        </references>
      </pivotArea>
    </format>
    <format dxfId="1306">
      <pivotArea dataOnly="0" labelOnly="1" fieldPosition="0">
        <references count="8">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x v="0"/>
          </reference>
        </references>
      </pivotArea>
    </format>
    <format dxfId="1305">
      <pivotArea dataOnly="0" labelOnly="1" fieldPosition="0">
        <references count="8">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x v="5"/>
          </reference>
        </references>
      </pivotArea>
    </format>
    <format dxfId="1304">
      <pivotArea dataOnly="0" labelOnly="1" fieldPosition="0">
        <references count="8">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1303">
      <pivotArea dataOnly="0" labelOnly="1" fieldPosition="0">
        <references count="8">
          <reference field="0" count="1" selected="0">
            <x v="166"/>
          </reference>
          <reference field="1" count="1" selected="0">
            <x v="190"/>
          </reference>
          <reference field="2" count="1" selected="0">
            <x v="213"/>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1302">
      <pivotArea dataOnly="0" labelOnly="1" fieldPosition="0">
        <references count="8">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x v="19"/>
          </reference>
        </references>
      </pivotArea>
    </format>
    <format dxfId="1301">
      <pivotArea dataOnly="0" labelOnly="1" fieldPosition="0">
        <references count="8">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x v="18"/>
          </reference>
        </references>
      </pivotArea>
    </format>
    <format dxfId="1300">
      <pivotArea dataOnly="0" labelOnly="1" fieldPosition="0">
        <references count="8">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x v="30"/>
          </reference>
        </references>
      </pivotArea>
    </format>
    <format dxfId="1299">
      <pivotArea dataOnly="0" labelOnly="1" fieldPosition="0">
        <references count="8">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x v="38"/>
          </reference>
        </references>
      </pivotArea>
    </format>
    <format dxfId="1298">
      <pivotArea dataOnly="0" labelOnly="1" fieldPosition="0">
        <references count="8">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x v="0"/>
          </reference>
        </references>
      </pivotArea>
    </format>
    <format dxfId="1297">
      <pivotArea dataOnly="0" labelOnly="1" fieldPosition="0">
        <references count="8">
          <reference field="0" count="1" selected="0">
            <x v="176"/>
          </reference>
          <reference field="1" count="1" selected="0">
            <x v="208"/>
          </reference>
          <reference field="2" count="1" selected="0">
            <x v="215"/>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1296">
      <pivotArea dataOnly="0" labelOnly="1" fieldPosition="0">
        <references count="8">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x v="10"/>
          </reference>
        </references>
      </pivotArea>
    </format>
    <format dxfId="1295">
      <pivotArea dataOnly="0" labelOnly="1" fieldPosition="0">
        <references count="8">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1294">
      <pivotArea dataOnly="0" labelOnly="1" fieldPosition="0">
        <references count="8">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x v="39"/>
          </reference>
        </references>
      </pivotArea>
    </format>
    <format dxfId="1293">
      <pivotArea dataOnly="0" labelOnly="1" fieldPosition="0">
        <references count="8">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x v="43"/>
          </reference>
        </references>
      </pivotArea>
    </format>
    <format dxfId="1292">
      <pivotArea dataOnly="0" labelOnly="1" fieldPosition="0">
        <references count="8">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1291">
      <pivotArea dataOnly="0" labelOnly="1" fieldPosition="0">
        <references count="8">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1290">
      <pivotArea dataOnly="0" labelOnly="1" fieldPosition="0">
        <references count="8">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1289">
      <pivotArea dataOnly="0" labelOnly="1" fieldPosition="0">
        <references count="8">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x v="37"/>
          </reference>
        </references>
      </pivotArea>
    </format>
    <format dxfId="1288">
      <pivotArea dataOnly="0" labelOnly="1" fieldPosition="0">
        <references count="8">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x v="37"/>
          </reference>
        </references>
      </pivotArea>
    </format>
    <format dxfId="1287">
      <pivotArea dataOnly="0" labelOnly="1" fieldPosition="0">
        <references count="8">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x v="15"/>
          </reference>
        </references>
      </pivotArea>
    </format>
    <format dxfId="1286">
      <pivotArea dataOnly="0" labelOnly="1" fieldPosition="0">
        <references count="8">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1285">
      <pivotArea dataOnly="0" labelOnly="1" fieldPosition="0">
        <references count="8">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1284">
      <pivotArea dataOnly="0" labelOnly="1" fieldPosition="0">
        <references count="8">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x v="23"/>
          </reference>
        </references>
      </pivotArea>
    </format>
    <format dxfId="1283">
      <pivotArea dataOnly="0" labelOnly="1" fieldPosition="0">
        <references count="8">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1282">
      <pivotArea dataOnly="0" labelOnly="1" fieldPosition="0">
        <references count="8">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selected="0">
            <x v="0"/>
          </reference>
          <reference field="15" count="1">
            <x v="0"/>
          </reference>
        </references>
      </pivotArea>
    </format>
    <format dxfId="1281">
      <pivotArea dataOnly="0" labelOnly="1" fieldPosition="0">
        <references count="8">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x v="36"/>
          </reference>
        </references>
      </pivotArea>
    </format>
    <format dxfId="1280">
      <pivotArea dataOnly="0" labelOnly="1" fieldPosition="0">
        <references count="8">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x v="9"/>
          </reference>
        </references>
      </pivotArea>
    </format>
    <format dxfId="1279">
      <pivotArea dataOnly="0" labelOnly="1" fieldPosition="0">
        <references count="8">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selected="0">
            <x v="0"/>
          </reference>
          <reference field="15" count="1">
            <x v="9"/>
          </reference>
        </references>
      </pivotArea>
    </format>
    <format dxfId="1278">
      <pivotArea dataOnly="0" labelOnly="1" fieldPosition="0">
        <references count="8">
          <reference field="0" count="1" selected="0">
            <x v="201"/>
          </reference>
          <reference field="1" count="1" selected="0">
            <x v="240"/>
          </reference>
          <reference field="2" count="1" selected="0">
            <x v="37"/>
          </reference>
          <reference field="3" count="1" selected="0">
            <x v="0"/>
          </reference>
          <reference field="12" count="1" selected="0">
            <x v="20"/>
          </reference>
          <reference field="13" count="1" selected="0">
            <x v="0"/>
          </reference>
          <reference field="14" count="1" selected="0">
            <x v="0"/>
          </reference>
          <reference field="15" count="1">
            <x v="9"/>
          </reference>
        </references>
      </pivotArea>
    </format>
    <format dxfId="1277">
      <pivotArea dataOnly="0" labelOnly="1" fieldPosition="0">
        <references count="8">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x v="15"/>
          </reference>
        </references>
      </pivotArea>
    </format>
    <format dxfId="1276">
      <pivotArea dataOnly="0" labelOnly="1" fieldPosition="0">
        <references count="8">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x v="15"/>
          </reference>
        </references>
      </pivotArea>
    </format>
    <format dxfId="1275">
      <pivotArea dataOnly="0" labelOnly="1" fieldPosition="0">
        <references count="8">
          <reference field="0" count="1" selected="0">
            <x v="207"/>
          </reference>
          <reference field="1" count="1" selected="0">
            <x v="152"/>
          </reference>
          <reference field="2" count="1" selected="0">
            <x v="81"/>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1274">
      <pivotArea dataOnly="0" labelOnly="1" fieldPosition="0">
        <references count="8">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x v="15"/>
          </reference>
        </references>
      </pivotArea>
    </format>
    <format dxfId="1273">
      <pivotArea dataOnly="0" labelOnly="1" fieldPosition="0">
        <references count="8">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x v="15"/>
          </reference>
        </references>
      </pivotArea>
    </format>
    <format dxfId="1272">
      <pivotArea dataOnly="0" labelOnly="1" fieldPosition="0">
        <references count="8">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x v="15"/>
          </reference>
        </references>
      </pivotArea>
    </format>
    <format dxfId="1271">
      <pivotArea dataOnly="0" labelOnly="1" fieldPosition="0">
        <references count="8">
          <reference field="0" count="1" selected="0">
            <x v="211"/>
          </reference>
          <reference field="1" count="1" selected="0">
            <x v="156"/>
          </reference>
          <reference field="2" count="1" selected="0">
            <x v="164"/>
          </reference>
          <reference field="3" count="1" selected="0">
            <x v="0"/>
          </reference>
          <reference field="12" count="1" selected="0">
            <x v="20"/>
          </reference>
          <reference field="13" count="1" selected="0">
            <x v="3"/>
          </reference>
          <reference field="14" count="1" selected="0">
            <x v="0"/>
          </reference>
          <reference field="15" count="1">
            <x v="15"/>
          </reference>
        </references>
      </pivotArea>
    </format>
    <format dxfId="1270">
      <pivotArea dataOnly="0" labelOnly="1" fieldPosition="0">
        <references count="8">
          <reference field="0" count="1" selected="0">
            <x v="212"/>
          </reference>
          <reference field="1" count="1" selected="0">
            <x v="157"/>
          </reference>
          <reference field="2" count="1" selected="0">
            <x v="170"/>
          </reference>
          <reference field="3" count="1" selected="0">
            <x v="0"/>
          </reference>
          <reference field="12" count="1" selected="0">
            <x v="20"/>
          </reference>
          <reference field="13" count="1" selected="0">
            <x v="4"/>
          </reference>
          <reference field="14" count="1" selected="0">
            <x v="0"/>
          </reference>
          <reference field="15" count="1">
            <x v="15"/>
          </reference>
        </references>
      </pivotArea>
    </format>
    <format dxfId="1269">
      <pivotArea dataOnly="0" labelOnly="1" fieldPosition="0">
        <references count="8">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x v="15"/>
          </reference>
        </references>
      </pivotArea>
    </format>
    <format dxfId="1268">
      <pivotArea dataOnly="0" labelOnly="1" fieldPosition="0">
        <references count="8">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x v="15"/>
          </reference>
        </references>
      </pivotArea>
    </format>
    <format dxfId="1267">
      <pivotArea dataOnly="0" labelOnly="1" fieldPosition="0">
        <references count="8">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x v="15"/>
          </reference>
        </references>
      </pivotArea>
    </format>
    <format dxfId="1266">
      <pivotArea dataOnly="0" labelOnly="1" fieldPosition="0">
        <references count="8">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x v="15"/>
          </reference>
        </references>
      </pivotArea>
    </format>
    <format dxfId="1265">
      <pivotArea dataOnly="0" labelOnly="1" fieldPosition="0">
        <references count="8">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x v="15"/>
          </reference>
        </references>
      </pivotArea>
    </format>
    <format dxfId="1264">
      <pivotArea dataOnly="0" labelOnly="1" fieldPosition="0">
        <references count="8">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x v="15"/>
          </reference>
        </references>
      </pivotArea>
    </format>
    <format dxfId="1263">
      <pivotArea dataOnly="0" labelOnly="1" fieldPosition="0">
        <references count="8">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x v="15"/>
          </reference>
        </references>
      </pivotArea>
    </format>
    <format dxfId="1262">
      <pivotArea dataOnly="0" labelOnly="1" fieldPosition="0">
        <references count="8">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x v="15"/>
          </reference>
        </references>
      </pivotArea>
    </format>
    <format dxfId="1261">
      <pivotArea dataOnly="0" labelOnly="1" fieldPosition="0">
        <references count="8">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x v="15"/>
          </reference>
        </references>
      </pivotArea>
    </format>
    <format dxfId="1260">
      <pivotArea dataOnly="0" labelOnly="1" fieldPosition="0">
        <references count="8">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x v="15"/>
          </reference>
        </references>
      </pivotArea>
    </format>
    <format dxfId="1259">
      <pivotArea dataOnly="0" labelOnly="1" fieldPosition="0">
        <references count="8">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x v="15"/>
          </reference>
        </references>
      </pivotArea>
    </format>
    <format dxfId="1258">
      <pivotArea dataOnly="0" labelOnly="1" fieldPosition="0">
        <references count="8">
          <reference field="0" count="1" selected="0">
            <x v="226"/>
          </reference>
          <reference field="1" count="1" selected="0">
            <x v="171"/>
          </reference>
          <reference field="2" count="1" selected="0">
            <x v="41"/>
          </reference>
          <reference field="3" count="1" selected="0">
            <x v="0"/>
          </reference>
          <reference field="12" count="1" selected="0">
            <x v="23"/>
          </reference>
          <reference field="13" count="1" selected="0">
            <x v="22"/>
          </reference>
          <reference field="14" count="1" selected="0">
            <x v="18"/>
          </reference>
          <reference field="15" count="1">
            <x v="15"/>
          </reference>
        </references>
      </pivotArea>
    </format>
    <format dxfId="1257">
      <pivotArea dataOnly="0" labelOnly="1" fieldPosition="0">
        <references count="8">
          <reference field="0" count="1" selected="0">
            <x v="227"/>
          </reference>
          <reference field="1" count="1" selected="0">
            <x v="172"/>
          </reference>
          <reference field="2" count="1" selected="0">
            <x v="42"/>
          </reference>
          <reference field="3" count="1" selected="0">
            <x v="0"/>
          </reference>
          <reference field="12" count="1" selected="0">
            <x v="23"/>
          </reference>
          <reference field="13" count="1" selected="0">
            <x v="22"/>
          </reference>
          <reference field="14" count="1" selected="0">
            <x v="18"/>
          </reference>
          <reference field="15" count="1">
            <x v="15"/>
          </reference>
        </references>
      </pivotArea>
    </format>
    <format dxfId="1256">
      <pivotArea dataOnly="0" labelOnly="1" fieldPosition="0">
        <references count="8">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selected="0">
            <x v="38"/>
          </reference>
          <reference field="15" count="1">
            <x v="15"/>
          </reference>
        </references>
      </pivotArea>
    </format>
    <format dxfId="1255">
      <pivotArea dataOnly="0" labelOnly="1" fieldPosition="0">
        <references count="8">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x v="15"/>
          </reference>
        </references>
      </pivotArea>
    </format>
    <format dxfId="1254">
      <pivotArea dataOnly="0" labelOnly="1" fieldPosition="0">
        <references count="8">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x v="15"/>
          </reference>
        </references>
      </pivotArea>
    </format>
    <format dxfId="1253">
      <pivotArea dataOnly="0" labelOnly="1" fieldPosition="0">
        <references count="8">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x v="15"/>
          </reference>
        </references>
      </pivotArea>
    </format>
    <format dxfId="1252">
      <pivotArea dataOnly="0" labelOnly="1" fieldPosition="0">
        <references count="8">
          <reference field="0" count="1" selected="0">
            <x v="232"/>
          </reference>
          <reference field="1" count="1" selected="0">
            <x v="177"/>
          </reference>
          <reference field="2" count="1" selected="0">
            <x v="47"/>
          </reference>
          <reference field="3" count="1" selected="0">
            <x v="0"/>
          </reference>
          <reference field="12" count="1" selected="0">
            <x v="3"/>
          </reference>
          <reference field="13" count="1" selected="0">
            <x v="19"/>
          </reference>
          <reference field="14" count="1" selected="0">
            <x v="38"/>
          </reference>
          <reference field="15" count="1">
            <x v="15"/>
          </reference>
        </references>
      </pivotArea>
    </format>
    <format dxfId="1251">
      <pivotArea dataOnly="0" labelOnly="1" fieldPosition="0">
        <references count="8">
          <reference field="0" count="1" selected="0">
            <x v="233"/>
          </reference>
          <reference field="1" count="1" selected="0">
            <x v="178"/>
          </reference>
          <reference field="2" count="1" selected="0">
            <x v="32"/>
          </reference>
          <reference field="3" count="1" selected="0">
            <x v="0"/>
          </reference>
          <reference field="12" count="1" selected="0">
            <x v="3"/>
          </reference>
          <reference field="13" count="1" selected="0">
            <x v="6"/>
          </reference>
          <reference field="14" count="1" selected="0">
            <x v="38"/>
          </reference>
          <reference field="15" count="1">
            <x v="15"/>
          </reference>
        </references>
      </pivotArea>
    </format>
    <format dxfId="1250">
      <pivotArea dataOnly="0" labelOnly="1" fieldPosition="0">
        <references count="8">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x v="47"/>
          </reference>
        </references>
      </pivotArea>
    </format>
    <format dxfId="1249">
      <pivotArea dataOnly="0" labelOnly="1" fieldPosition="0">
        <references count="8">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1248">
      <pivotArea dataOnly="0" labelOnly="1" fieldPosition="0">
        <references count="8">
          <reference field="0" count="1" selected="0">
            <x v="236"/>
          </reference>
          <reference field="1" count="1" selected="0">
            <x v="192"/>
          </reference>
          <reference field="2" count="1" selected="0">
            <x v="27"/>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1247">
      <pivotArea dataOnly="0" labelOnly="1" fieldPosition="0">
        <references count="8">
          <reference field="0" count="1" selected="0">
            <x v="237"/>
          </reference>
          <reference field="1" count="1" selected="0">
            <x v="193"/>
          </reference>
          <reference field="2" count="1" selected="0">
            <x v="89"/>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1246">
      <pivotArea dataOnly="0" labelOnly="1" fieldPosition="0">
        <references count="8">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selected="0">
            <x v="0"/>
          </reference>
          <reference field="15" count="1">
            <x v="15"/>
          </reference>
        </references>
      </pivotArea>
    </format>
    <format dxfId="1245">
      <pivotArea dataOnly="0" labelOnly="1" fieldPosition="0">
        <references count="8">
          <reference field="0" count="1" selected="0">
            <x v="239"/>
          </reference>
          <reference field="1" count="1" selected="0">
            <x v="195"/>
          </reference>
          <reference field="2" count="1" selected="0">
            <x v="28"/>
          </reference>
          <reference field="3" count="1" selected="0">
            <x v="0"/>
          </reference>
          <reference field="12" count="1" selected="0">
            <x v="0"/>
          </reference>
          <reference field="13" count="1" selected="0">
            <x v="0"/>
          </reference>
          <reference field="14" count="1" selected="0">
            <x v="0"/>
          </reference>
          <reference field="15" count="1">
            <x v="15"/>
          </reference>
        </references>
      </pivotArea>
    </format>
    <format dxfId="1244">
      <pivotArea dataOnly="0" labelOnly="1" fieldPosition="0">
        <references count="8">
          <reference field="0" count="1" selected="0">
            <x v="240"/>
          </reference>
          <reference field="1" count="1" selected="0">
            <x v="196"/>
          </reference>
          <reference field="2" count="1" selected="0">
            <x v="40"/>
          </reference>
          <reference field="3" count="1" selected="0">
            <x v="0"/>
          </reference>
          <reference field="12" count="1" selected="0">
            <x v="3"/>
          </reference>
          <reference field="13" count="1" selected="0">
            <x v="0"/>
          </reference>
          <reference field="14" count="1" selected="0">
            <x v="0"/>
          </reference>
          <reference field="15" count="1">
            <x v="15"/>
          </reference>
        </references>
      </pivotArea>
    </format>
    <format dxfId="1243">
      <pivotArea dataOnly="0" labelOnly="1" fieldPosition="0">
        <references count="8">
          <reference field="0" count="1" selected="0">
            <x v="241"/>
          </reference>
          <reference field="1" count="1" selected="0">
            <x v="197"/>
          </reference>
          <reference field="2" count="1" selected="0">
            <x v="195"/>
          </reference>
          <reference field="3" count="1" selected="0">
            <x v="0"/>
          </reference>
          <reference field="12" count="1" selected="0">
            <x v="0"/>
          </reference>
          <reference field="13" count="1" selected="0">
            <x v="0"/>
          </reference>
          <reference field="14" count="1" selected="0">
            <x v="0"/>
          </reference>
          <reference field="15" count="1">
            <x v="15"/>
          </reference>
        </references>
      </pivotArea>
    </format>
    <format dxfId="1242">
      <pivotArea dataOnly="0" labelOnly="1" fieldPosition="0">
        <references count="8">
          <reference field="0" count="1" selected="0">
            <x v="242"/>
          </reference>
          <reference field="1" count="1" selected="0">
            <x v="198"/>
          </reference>
          <reference field="2" count="1" selected="0">
            <x v="132"/>
          </reference>
          <reference field="3" count="1" selected="0">
            <x v="0"/>
          </reference>
          <reference field="12" count="1" selected="0">
            <x v="6"/>
          </reference>
          <reference field="13" count="1" selected="0">
            <x v="0"/>
          </reference>
          <reference field="14" count="1" selected="0">
            <x v="0"/>
          </reference>
          <reference field="15" count="1">
            <x v="15"/>
          </reference>
        </references>
      </pivotArea>
    </format>
    <format dxfId="1241">
      <pivotArea dataOnly="0" labelOnly="1" fieldPosition="0">
        <references count="9">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selected="0">
            <x v="15"/>
          </reference>
          <reference field="16" count="1">
            <x v="63"/>
          </reference>
        </references>
      </pivotArea>
    </format>
    <format dxfId="1240">
      <pivotArea dataOnly="0" labelOnly="1" fieldPosition="0">
        <references count="9">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selected="0">
            <x v="14"/>
          </reference>
          <reference field="16" count="1">
            <x v="62"/>
          </reference>
        </references>
      </pivotArea>
    </format>
    <format dxfId="1239">
      <pivotArea dataOnly="0" labelOnly="1" fieldPosition="0">
        <references count="9">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1238">
      <pivotArea dataOnly="0" labelOnly="1" fieldPosition="0">
        <references count="9">
          <reference field="0" count="1" selected="0">
            <x v="4"/>
          </reference>
          <reference field="1" count="1" selected="0">
            <x v="232"/>
          </reference>
          <reference field="2" count="1" selected="0">
            <x v="90"/>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1237">
      <pivotArea dataOnly="0" labelOnly="1" fieldPosition="0">
        <references count="9">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63"/>
          </reference>
        </references>
      </pivotArea>
    </format>
    <format dxfId="1236">
      <pivotArea dataOnly="0" labelOnly="1" fieldPosition="0">
        <references count="9">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1235">
      <pivotArea dataOnly="0" labelOnly="1" fieldPosition="0">
        <references count="9">
          <reference field="0" count="1" selected="0">
            <x v="9"/>
          </reference>
          <reference field="1" count="1" selected="0">
            <x v="120"/>
          </reference>
          <reference field="2" count="1" selected="0">
            <x v="168"/>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1234">
      <pivotArea dataOnly="0" labelOnly="1" fieldPosition="0">
        <references count="9">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selected="0">
            <x v="38"/>
          </reference>
          <reference field="15" count="1" selected="0">
            <x v="0"/>
          </reference>
          <reference field="16" count="1">
            <x v="0"/>
          </reference>
        </references>
      </pivotArea>
    </format>
    <format dxfId="1233">
      <pivotArea dataOnly="0" labelOnly="1" fieldPosition="0">
        <references count="9">
          <reference field="0" count="1" selected="0">
            <x v="11"/>
          </reference>
          <reference field="1" count="1" selected="0">
            <x v="122"/>
          </reference>
          <reference field="2" count="1" selected="0">
            <x v="26"/>
          </reference>
          <reference field="3" count="1" selected="0">
            <x v="0"/>
          </reference>
          <reference field="12" count="1" selected="0">
            <x v="0"/>
          </reference>
          <reference field="13" count="1" selected="0">
            <x v="0"/>
          </reference>
          <reference field="14" count="1" selected="0">
            <x v="38"/>
          </reference>
          <reference field="15" count="1" selected="0">
            <x v="0"/>
          </reference>
          <reference field="16" count="1">
            <x v="0"/>
          </reference>
        </references>
      </pivotArea>
    </format>
    <format dxfId="1232">
      <pivotArea dataOnly="0" labelOnly="1" fieldPosition="0">
        <references count="9">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selected="0">
            <x v="15"/>
          </reference>
          <reference field="16" count="1">
            <x v="63"/>
          </reference>
        </references>
      </pivotArea>
    </format>
    <format dxfId="1231">
      <pivotArea dataOnly="0" labelOnly="1" fieldPosition="0">
        <references count="9">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selected="0">
            <x v="14"/>
          </reference>
          <reference field="16" count="1">
            <x v="0"/>
          </reference>
        </references>
      </pivotArea>
    </format>
    <format dxfId="1230">
      <pivotArea dataOnly="0" labelOnly="1" fieldPosition="0">
        <references count="9">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selected="0">
            <x v="21"/>
          </reference>
          <reference field="16" count="1">
            <x v="7"/>
          </reference>
        </references>
      </pivotArea>
    </format>
    <format dxfId="1229">
      <pivotArea dataOnly="0" labelOnly="1" fieldPosition="0">
        <references count="9">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selected="0">
            <x v="45"/>
          </reference>
          <reference field="16" count="1">
            <x v="4"/>
          </reference>
        </references>
      </pivotArea>
    </format>
    <format dxfId="1228">
      <pivotArea dataOnly="0" labelOnly="1" fieldPosition="0">
        <references count="9">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selected="0">
            <x v="0"/>
          </reference>
          <reference field="16" count="1">
            <x v="0"/>
          </reference>
        </references>
      </pivotArea>
    </format>
    <format dxfId="1227">
      <pivotArea dataOnly="0" labelOnly="1" fieldPosition="0">
        <references count="9">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selected="0">
            <x v="12"/>
          </reference>
          <reference field="16" count="1">
            <x v="0"/>
          </reference>
        </references>
      </pivotArea>
    </format>
    <format dxfId="1226">
      <pivotArea dataOnly="0" labelOnly="1" fieldPosition="0">
        <references count="9">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selected="0">
            <x v="11"/>
          </reference>
          <reference field="16" count="1">
            <x v="0"/>
          </reference>
        </references>
      </pivotArea>
    </format>
    <format dxfId="1225">
      <pivotArea dataOnly="0" labelOnly="1" fieldPosition="0">
        <references count="9">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selected="0">
            <x v="0"/>
          </reference>
          <reference field="16" count="1">
            <x v="0"/>
          </reference>
        </references>
      </pivotArea>
    </format>
    <format dxfId="1224">
      <pivotArea dataOnly="0" labelOnly="1" fieldPosition="0">
        <references count="9">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selected="0">
            <x v="23"/>
          </reference>
          <reference field="16" count="1">
            <x v="13"/>
          </reference>
        </references>
      </pivotArea>
    </format>
    <format dxfId="1223">
      <pivotArea dataOnly="0" labelOnly="1" fieldPosition="0">
        <references count="9">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selected="0">
            <x v="23"/>
          </reference>
          <reference field="16" count="1">
            <x v="2"/>
          </reference>
        </references>
      </pivotArea>
    </format>
    <format dxfId="1222">
      <pivotArea dataOnly="0" labelOnly="1" fieldPosition="0">
        <references count="9">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39"/>
          </reference>
        </references>
      </pivotArea>
    </format>
    <format dxfId="1221">
      <pivotArea dataOnly="0" labelOnly="1" fieldPosition="0">
        <references count="9">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40"/>
          </reference>
        </references>
      </pivotArea>
    </format>
    <format dxfId="1220">
      <pivotArea dataOnly="0" labelOnly="1" fieldPosition="0">
        <references count="9">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selected="0">
            <x v="16"/>
          </reference>
          <reference field="16" count="1">
            <x v="35"/>
          </reference>
        </references>
      </pivotArea>
    </format>
    <format dxfId="1219">
      <pivotArea dataOnly="0" labelOnly="1" fieldPosition="0">
        <references count="9">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selected="0">
            <x v="0"/>
          </reference>
          <reference field="16" count="1">
            <x v="0"/>
          </reference>
        </references>
      </pivotArea>
    </format>
    <format dxfId="1218">
      <pivotArea dataOnly="0" labelOnly="1" fieldPosition="0">
        <references count="9">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1217">
      <pivotArea dataOnly="0" labelOnly="1" fieldPosition="0">
        <references count="9">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36"/>
          </reference>
        </references>
      </pivotArea>
    </format>
    <format dxfId="1216">
      <pivotArea dataOnly="0" labelOnly="1" fieldPosition="0">
        <references count="9">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1215">
      <pivotArea dataOnly="0" labelOnly="1" fieldPosition="0">
        <references count="9">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selected="0">
            <x v="22"/>
          </reference>
          <reference field="16" count="1">
            <x v="37"/>
          </reference>
        </references>
      </pivotArea>
    </format>
    <format dxfId="1214">
      <pivotArea dataOnly="0" labelOnly="1" fieldPosition="0">
        <references count="9">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selected="0">
            <x v="17"/>
          </reference>
          <reference field="16" count="1">
            <x v="0"/>
          </reference>
        </references>
      </pivotArea>
    </format>
    <format dxfId="1213">
      <pivotArea dataOnly="0" labelOnly="1" fieldPosition="0">
        <references count="9">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1212">
      <pivotArea dataOnly="0" labelOnly="1" fieldPosition="0">
        <references count="9">
          <reference field="0" count="1" selected="0">
            <x v="56"/>
          </reference>
          <reference field="1" count="1" selected="0">
            <x v="36"/>
          </reference>
          <reference field="2" count="1" selected="0">
            <x v="183"/>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1211">
      <pivotArea dataOnly="0" labelOnly="1" fieldPosition="0">
        <references count="9">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selected="0">
            <x v="43"/>
          </reference>
          <reference field="16" count="1">
            <x v="0"/>
          </reference>
        </references>
      </pivotArea>
    </format>
    <format dxfId="1210">
      <pivotArea dataOnly="0" labelOnly="1" fieldPosition="0">
        <references count="9">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selected="0">
            <x v="37"/>
          </reference>
          <reference field="15" count="1" selected="0">
            <x v="43"/>
          </reference>
          <reference field="16" count="1">
            <x v="0"/>
          </reference>
        </references>
      </pivotArea>
    </format>
    <format dxfId="1209">
      <pivotArea dataOnly="0" labelOnly="1" fieldPosition="0">
        <references count="9">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selected="0">
            <x v="36"/>
          </reference>
          <reference field="15" count="1" selected="0">
            <x v="43"/>
          </reference>
          <reference field="16" count="1">
            <x v="0"/>
          </reference>
        </references>
      </pivotArea>
    </format>
    <format dxfId="1208">
      <pivotArea dataOnly="0" labelOnly="1" fieldPosition="0">
        <references count="9">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selected="0">
            <x v="0"/>
          </reference>
          <reference field="15" count="1" selected="0">
            <x v="43"/>
          </reference>
          <reference field="16" count="1">
            <x v="0"/>
          </reference>
        </references>
      </pivotArea>
    </format>
    <format dxfId="1207">
      <pivotArea dataOnly="0" labelOnly="1" fieldPosition="0">
        <references count="9">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selected="0">
            <x v="40"/>
          </reference>
          <reference field="16" count="1">
            <x v="31"/>
          </reference>
        </references>
      </pivotArea>
    </format>
    <format dxfId="1206">
      <pivotArea dataOnly="0" labelOnly="1" fieldPosition="0">
        <references count="9">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selected="0">
            <x v="41"/>
          </reference>
          <reference field="16" count="1">
            <x v="32"/>
          </reference>
        </references>
      </pivotArea>
    </format>
    <format dxfId="1205">
      <pivotArea dataOnly="0" labelOnly="1" fieldPosition="0">
        <references count="9">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selected="0">
            <x v="0"/>
          </reference>
          <reference field="16" count="1">
            <x v="0"/>
          </reference>
        </references>
      </pivotArea>
    </format>
    <format dxfId="1204">
      <pivotArea dataOnly="0" labelOnly="1" fieldPosition="0">
        <references count="9">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selected="0">
            <x v="0"/>
          </reference>
          <reference field="15" count="1" selected="0">
            <x v="0"/>
          </reference>
          <reference field="16" count="1">
            <x v="0"/>
          </reference>
        </references>
      </pivotArea>
    </format>
    <format dxfId="1203">
      <pivotArea dataOnly="0" labelOnly="1" fieldPosition="0">
        <references count="9">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2"/>
          </reference>
        </references>
      </pivotArea>
    </format>
    <format dxfId="1202">
      <pivotArea dataOnly="0" labelOnly="1" fieldPosition="0">
        <references count="9">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0"/>
          </reference>
        </references>
      </pivotArea>
    </format>
    <format dxfId="1201">
      <pivotArea dataOnly="0" labelOnly="1" fieldPosition="0">
        <references count="9">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selected="0">
            <x v="29"/>
          </reference>
          <reference field="16" count="1">
            <x v="0"/>
          </reference>
        </references>
      </pivotArea>
    </format>
    <format dxfId="1200">
      <pivotArea dataOnly="0" labelOnly="1" fieldPosition="0">
        <references count="9">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selected="0">
            <x v="26"/>
          </reference>
          <reference field="16" count="1">
            <x v="6"/>
          </reference>
        </references>
      </pivotArea>
    </format>
    <format dxfId="1199">
      <pivotArea dataOnly="0" labelOnly="1" fieldPosition="0">
        <references count="9">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selected="0">
            <x v="0"/>
          </reference>
          <reference field="16" count="1">
            <x v="59"/>
          </reference>
        </references>
      </pivotArea>
    </format>
    <format dxfId="1198">
      <pivotArea dataOnly="0" labelOnly="1" fieldPosition="0">
        <references count="9">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selected="0">
            <x v="29"/>
          </reference>
          <reference field="16" count="1">
            <x v="0"/>
          </reference>
        </references>
      </pivotArea>
    </format>
    <format dxfId="1197">
      <pivotArea dataOnly="0" labelOnly="1" fieldPosition="0">
        <references count="9">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selected="0">
            <x v="0"/>
          </reference>
          <reference field="16" count="1">
            <x v="52"/>
          </reference>
        </references>
      </pivotArea>
    </format>
    <format dxfId="1196">
      <pivotArea dataOnly="0" labelOnly="1" fieldPosition="0">
        <references count="9">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52"/>
          </reference>
        </references>
      </pivotArea>
    </format>
    <format dxfId="1195">
      <pivotArea dataOnly="0" labelOnly="1" fieldPosition="0">
        <references count="9">
          <reference field="0" count="1" selected="0">
            <x v="90"/>
          </reference>
          <reference field="1" count="1" selected="0">
            <x v="77"/>
          </reference>
          <reference field="2" count="1" selected="0">
            <x v="43"/>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52"/>
          </reference>
        </references>
      </pivotArea>
    </format>
    <format dxfId="1194">
      <pivotArea dataOnly="0" labelOnly="1" fieldPosition="0">
        <references count="9">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0"/>
          </reference>
        </references>
      </pivotArea>
    </format>
    <format dxfId="1193">
      <pivotArea dataOnly="0" labelOnly="1" fieldPosition="0">
        <references count="9">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2"/>
          </reference>
        </references>
      </pivotArea>
    </format>
    <format dxfId="1192">
      <pivotArea dataOnly="0" labelOnly="1" fieldPosition="0">
        <references count="9">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7"/>
          </reference>
        </references>
      </pivotArea>
    </format>
    <format dxfId="1191">
      <pivotArea dataOnly="0" labelOnly="1" fieldPosition="0">
        <references count="9">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selected="0">
            <x v="0"/>
          </reference>
          <reference field="16" count="1">
            <x v="52"/>
          </reference>
        </references>
      </pivotArea>
    </format>
    <format dxfId="1190">
      <pivotArea dataOnly="0" labelOnly="1" fieldPosition="0">
        <references count="9">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1189">
      <pivotArea dataOnly="0" labelOnly="1" fieldPosition="0">
        <references count="9">
          <reference field="0" count="1" selected="0">
            <x v="97"/>
          </reference>
          <reference field="1" count="1" selected="0">
            <x v="84"/>
          </reference>
          <reference field="2" count="1" selected="0">
            <x v="6"/>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1188">
      <pivotArea dataOnly="0" labelOnly="1" fieldPosition="0">
        <references count="9">
          <reference field="0" count="1" selected="0">
            <x v="98"/>
          </reference>
          <reference field="1" count="1" selected="0">
            <x v="85"/>
          </reference>
          <reference field="2" count="1" selected="0">
            <x v="214"/>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1187">
      <pivotArea dataOnly="0" labelOnly="1" fieldPosition="0">
        <references count="9">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selected="0">
            <x v="28"/>
          </reference>
          <reference field="16" count="1">
            <x v="60"/>
          </reference>
        </references>
      </pivotArea>
    </format>
    <format dxfId="1186">
      <pivotArea dataOnly="0" labelOnly="1" fieldPosition="0">
        <references count="9">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selected="0">
            <x v="0"/>
          </reference>
          <reference field="16" count="1">
            <x v="20"/>
          </reference>
        </references>
      </pivotArea>
    </format>
    <format dxfId="1185">
      <pivotArea dataOnly="0" labelOnly="1" fieldPosition="0">
        <references count="9">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6"/>
          </reference>
        </references>
      </pivotArea>
    </format>
    <format dxfId="1184">
      <pivotArea dataOnly="0" labelOnly="1" fieldPosition="0">
        <references count="9">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5"/>
          </reference>
        </references>
      </pivotArea>
    </format>
    <format dxfId="1183">
      <pivotArea dataOnly="0" labelOnly="1" fieldPosition="0">
        <references count="9">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selected="0">
            <x v="0"/>
          </reference>
          <reference field="16" count="1">
            <x v="60"/>
          </reference>
        </references>
      </pivotArea>
    </format>
    <format dxfId="1182">
      <pivotArea dataOnly="0" labelOnly="1" fieldPosition="0">
        <references count="9">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selected="0">
            <x v="30"/>
          </reference>
          <reference field="16" count="1">
            <x v="49"/>
          </reference>
        </references>
      </pivotArea>
    </format>
    <format dxfId="1181">
      <pivotArea dataOnly="0" labelOnly="1" fieldPosition="0">
        <references count="9">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selected="0">
            <x v="30"/>
          </reference>
          <reference field="16" count="1">
            <x v="51"/>
          </reference>
        </references>
      </pivotArea>
    </format>
    <format dxfId="1180">
      <pivotArea dataOnly="0" labelOnly="1" fieldPosition="0">
        <references count="9">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selected="0">
            <x v="31"/>
          </reference>
          <reference field="16" count="1">
            <x v="51"/>
          </reference>
        </references>
      </pivotArea>
    </format>
    <format dxfId="1179">
      <pivotArea dataOnly="0" labelOnly="1" fieldPosition="0">
        <references count="9">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selected="0">
            <x v="26"/>
          </reference>
          <reference field="16" count="1">
            <x v="0"/>
          </reference>
        </references>
      </pivotArea>
    </format>
    <format dxfId="1178">
      <pivotArea dataOnly="0" labelOnly="1" fieldPosition="0">
        <references count="9">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selected="0">
            <x v="27"/>
          </reference>
          <reference field="16" count="1">
            <x v="0"/>
          </reference>
        </references>
      </pivotArea>
    </format>
    <format dxfId="1177">
      <pivotArea dataOnly="0" labelOnly="1" fieldPosition="0">
        <references count="9">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selected="0">
            <x v="0"/>
          </reference>
          <reference field="16" count="1">
            <x v="0"/>
          </reference>
        </references>
      </pivotArea>
    </format>
    <format dxfId="1176">
      <pivotArea dataOnly="0" labelOnly="1" fieldPosition="0">
        <references count="9">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selected="0">
            <x v="11"/>
          </reference>
          <reference field="15" count="1" selected="0">
            <x v="0"/>
          </reference>
          <reference field="16" count="1">
            <x v="0"/>
          </reference>
        </references>
      </pivotArea>
    </format>
    <format dxfId="1175">
      <pivotArea dataOnly="0" labelOnly="1" fieldPosition="0">
        <references count="9">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selected="0">
            <x v="38"/>
          </reference>
          <reference field="15" count="1" selected="0">
            <x v="0"/>
          </reference>
          <reference field="16" count="1">
            <x v="0"/>
          </reference>
        </references>
      </pivotArea>
    </format>
    <format dxfId="1174">
      <pivotArea dataOnly="0" labelOnly="1" fieldPosition="0">
        <references count="9">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selected="0">
            <x v="34"/>
          </reference>
          <reference field="15" count="1" selected="0">
            <x v="0"/>
          </reference>
          <reference field="16" count="1">
            <x v="0"/>
          </reference>
        </references>
      </pivotArea>
    </format>
    <format dxfId="1173">
      <pivotArea dataOnly="0" labelOnly="1" fieldPosition="0">
        <references count="9">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selected="0">
            <x v="32"/>
          </reference>
          <reference field="16" count="1">
            <x v="0"/>
          </reference>
        </references>
      </pivotArea>
    </format>
    <format dxfId="1172">
      <pivotArea dataOnly="0" labelOnly="1" fieldPosition="0">
        <references count="9">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selected="0">
            <x v="37"/>
          </reference>
          <reference field="15" count="1" selected="0">
            <x v="32"/>
          </reference>
          <reference field="16" count="1">
            <x v="0"/>
          </reference>
        </references>
      </pivotArea>
    </format>
    <format dxfId="1171">
      <pivotArea dataOnly="0" labelOnly="1" fieldPosition="0">
        <references count="9">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selected="0">
            <x v="36"/>
          </reference>
          <reference field="15" count="1" selected="0">
            <x v="32"/>
          </reference>
          <reference field="16" count="1">
            <x v="0"/>
          </reference>
        </references>
      </pivotArea>
    </format>
    <format dxfId="1170">
      <pivotArea dataOnly="0" labelOnly="1" fieldPosition="0">
        <references count="9">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selected="0">
            <x v="0"/>
          </reference>
          <reference field="16" count="1">
            <x v="0"/>
          </reference>
        </references>
      </pivotArea>
    </format>
    <format dxfId="1169">
      <pivotArea dataOnly="0" labelOnly="1" fieldPosition="0">
        <references count="9">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selected="0">
            <x v="32"/>
          </reference>
          <reference field="16" count="1">
            <x v="0"/>
          </reference>
        </references>
      </pivotArea>
    </format>
    <format dxfId="1168">
      <pivotArea dataOnly="0" labelOnly="1" fieldPosition="0">
        <references count="9">
          <reference field="0" count="1" selected="0">
            <x v="130"/>
          </reference>
          <reference field="1" count="1" selected="0">
            <x v="117"/>
          </reference>
          <reference field="2" count="1" selected="0">
            <x v="118"/>
          </reference>
          <reference field="3" count="1" selected="0">
            <x v="0"/>
          </reference>
          <reference field="12" count="1" selected="0">
            <x v="7"/>
          </reference>
          <reference field="13" count="1" selected="0">
            <x v="0"/>
          </reference>
          <reference field="14" count="1" selected="0">
            <x v="37"/>
          </reference>
          <reference field="15" count="1" selected="0">
            <x v="32"/>
          </reference>
          <reference field="16" count="1">
            <x v="0"/>
          </reference>
        </references>
      </pivotArea>
    </format>
    <format dxfId="1167">
      <pivotArea dataOnly="0" labelOnly="1" fieldPosition="0">
        <references count="9">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selected="0">
            <x v="43"/>
          </reference>
          <reference field="16" count="1">
            <x v="0"/>
          </reference>
        </references>
      </pivotArea>
    </format>
    <format dxfId="1166">
      <pivotArea dataOnly="0" labelOnly="1" fieldPosition="0">
        <references count="9">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selected="0">
            <x v="37"/>
          </reference>
          <reference field="15" count="1" selected="0">
            <x v="43"/>
          </reference>
          <reference field="16" count="1">
            <x v="0"/>
          </reference>
        </references>
      </pivotArea>
    </format>
    <format dxfId="1165">
      <pivotArea dataOnly="0" labelOnly="1" fieldPosition="0">
        <references count="9">
          <reference field="0" count="1" selected="0">
            <x v="136"/>
          </reference>
          <reference field="1" count="1" selected="0">
            <x v="129"/>
          </reference>
          <reference field="2" count="1" selected="0">
            <x v="219"/>
          </reference>
          <reference field="3" count="1" selected="0">
            <x v="0"/>
          </reference>
          <reference field="12" count="1" selected="0">
            <x v="3"/>
          </reference>
          <reference field="13" count="1" selected="0">
            <x v="0"/>
          </reference>
          <reference field="14" count="1" selected="0">
            <x v="37"/>
          </reference>
          <reference field="15" count="1" selected="0">
            <x v="43"/>
          </reference>
          <reference field="16" count="1">
            <x v="0"/>
          </reference>
        </references>
      </pivotArea>
    </format>
    <format dxfId="1164">
      <pivotArea dataOnly="0" labelOnly="1" fieldPosition="0">
        <references count="9">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selected="0">
            <x v="0"/>
          </reference>
          <reference field="16" count="1">
            <x v="45"/>
          </reference>
        </references>
      </pivotArea>
    </format>
    <format dxfId="1163">
      <pivotArea dataOnly="0" labelOnly="1" fieldPosition="0">
        <references count="9">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selected="0">
            <x v="33"/>
          </reference>
          <reference field="16" count="1">
            <x v="0"/>
          </reference>
        </references>
      </pivotArea>
    </format>
    <format dxfId="1162">
      <pivotArea dataOnly="0" labelOnly="1" fieldPosition="0">
        <references count="9">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selected="0">
            <x v="24"/>
          </reference>
          <reference field="16" count="1">
            <x v="0"/>
          </reference>
        </references>
      </pivotArea>
    </format>
    <format dxfId="1161">
      <pivotArea dataOnly="0" labelOnly="1" fieldPosition="0">
        <references count="9">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selected="0">
            <x v="14"/>
          </reference>
          <reference field="15" count="1" selected="0">
            <x v="24"/>
          </reference>
          <reference field="16" count="1">
            <x v="0"/>
          </reference>
        </references>
      </pivotArea>
    </format>
    <format dxfId="1160">
      <pivotArea dataOnly="0" labelOnly="1" fieldPosition="0">
        <references count="9">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159">
      <pivotArea dataOnly="0" labelOnly="1" fieldPosition="0">
        <references count="9">
          <reference field="0" count="1" selected="0">
            <x v="150"/>
          </reference>
          <reference field="1" count="1" selected="0">
            <x v="143"/>
          </reference>
          <reference field="2" count="1" selected="0">
            <x v="166"/>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158">
      <pivotArea dataOnly="0" labelOnly="1" fieldPosition="0">
        <references count="9">
          <reference field="0" count="1" selected="0">
            <x v="151"/>
          </reference>
          <reference field="1" count="1" selected="0">
            <x v="144"/>
          </reference>
          <reference field="2" count="1" selected="0">
            <x v="8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157">
      <pivotArea dataOnly="0" labelOnly="1" fieldPosition="0">
        <references count="9">
          <reference field="0" count="1" selected="0">
            <x v="152"/>
          </reference>
          <reference field="1" count="1" selected="0">
            <x v="145"/>
          </reference>
          <reference field="2" count="1" selected="0">
            <x v="86"/>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156">
      <pivotArea dataOnly="0" labelOnly="1" fieldPosition="0">
        <references count="9">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selected="0">
            <x v="0"/>
          </reference>
          <reference field="16" count="1">
            <x v="44"/>
          </reference>
        </references>
      </pivotArea>
    </format>
    <format dxfId="1155">
      <pivotArea dataOnly="0" labelOnly="1" fieldPosition="0">
        <references count="9">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selected="0">
            <x v="3"/>
          </reference>
          <reference field="16" count="1">
            <x v="44"/>
          </reference>
        </references>
      </pivotArea>
    </format>
    <format dxfId="1154">
      <pivotArea dataOnly="0" labelOnly="1" fieldPosition="0">
        <references count="9">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selected="0">
            <x v="1"/>
          </reference>
          <reference field="16" count="1">
            <x v="28"/>
          </reference>
        </references>
      </pivotArea>
    </format>
    <format dxfId="1153">
      <pivotArea dataOnly="0" labelOnly="1" fieldPosition="0">
        <references count="9">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selected="0">
            <x v="8"/>
          </reference>
          <reference field="16" count="1">
            <x v="0"/>
          </reference>
        </references>
      </pivotArea>
    </format>
    <format dxfId="1152">
      <pivotArea dataOnly="0" labelOnly="1" fieldPosition="0">
        <references count="9">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selected="0">
            <x v="8"/>
          </reference>
          <reference field="16" count="1">
            <x v="5"/>
          </reference>
        </references>
      </pivotArea>
    </format>
    <format dxfId="1151">
      <pivotArea dataOnly="0" labelOnly="1" fieldPosition="0">
        <references count="9">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selected="0">
            <x v="7"/>
          </reference>
          <reference field="16" count="1">
            <x v="0"/>
          </reference>
        </references>
      </pivotArea>
    </format>
    <format dxfId="1150">
      <pivotArea dataOnly="0" labelOnly="1" fieldPosition="0">
        <references count="9">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selected="0">
            <x v="0"/>
          </reference>
          <reference field="16" count="1">
            <x v="0"/>
          </reference>
        </references>
      </pivotArea>
    </format>
    <format dxfId="1149">
      <pivotArea dataOnly="0" labelOnly="1" fieldPosition="0">
        <references count="9">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selected="0">
            <x v="5"/>
          </reference>
          <reference field="16" count="1">
            <x v="0"/>
          </reference>
        </references>
      </pivotArea>
    </format>
    <format dxfId="1148">
      <pivotArea dataOnly="0" labelOnly="1" fieldPosition="0">
        <references count="9">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selected="0">
            <x v="6"/>
          </reference>
          <reference field="16" count="1">
            <x v="0"/>
          </reference>
        </references>
      </pivotArea>
    </format>
    <format dxfId="1147">
      <pivotArea dataOnly="0" labelOnly="1" fieldPosition="0">
        <references count="9">
          <reference field="0" count="1" selected="0">
            <x v="166"/>
          </reference>
          <reference field="1" count="1" selected="0">
            <x v="190"/>
          </reference>
          <reference field="2" count="1" selected="0">
            <x v="213"/>
          </reference>
          <reference field="3" count="1" selected="0">
            <x v="0"/>
          </reference>
          <reference field="12" count="1" selected="0">
            <x v="13"/>
          </reference>
          <reference field="13" count="1" selected="0">
            <x v="0"/>
          </reference>
          <reference field="14" count="1" selected="0">
            <x v="21"/>
          </reference>
          <reference field="15" count="1" selected="0">
            <x v="6"/>
          </reference>
          <reference field="16" count="1">
            <x v="0"/>
          </reference>
        </references>
      </pivotArea>
    </format>
    <format dxfId="1146">
      <pivotArea dataOnly="0" labelOnly="1" fieldPosition="0">
        <references count="9">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selected="0">
            <x v="19"/>
          </reference>
          <reference field="16" count="1">
            <x v="58"/>
          </reference>
        </references>
      </pivotArea>
    </format>
    <format dxfId="1145">
      <pivotArea dataOnly="0" labelOnly="1" fieldPosition="0">
        <references count="9">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selected="0">
            <x v="18"/>
          </reference>
          <reference field="16" count="1">
            <x v="54"/>
          </reference>
        </references>
      </pivotArea>
    </format>
    <format dxfId="1144">
      <pivotArea dataOnly="0" labelOnly="1" fieldPosition="0">
        <references count="9">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selected="0">
            <x v="30"/>
          </reference>
          <reference field="16" count="1">
            <x v="50"/>
          </reference>
        </references>
      </pivotArea>
    </format>
    <format dxfId="1143">
      <pivotArea dataOnly="0" labelOnly="1" fieldPosition="0">
        <references count="9">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selected="0">
            <x v="38"/>
          </reference>
          <reference field="16" count="1">
            <x v="0"/>
          </reference>
        </references>
      </pivotArea>
    </format>
    <format dxfId="1142">
      <pivotArea dataOnly="0" labelOnly="1" fieldPosition="0">
        <references count="9">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selected="0">
            <x v="0"/>
          </reference>
          <reference field="16" count="1">
            <x v="0"/>
          </reference>
        </references>
      </pivotArea>
    </format>
    <format dxfId="1141">
      <pivotArea dataOnly="0" labelOnly="1" fieldPosition="0">
        <references count="9">
          <reference field="0" count="1" selected="0">
            <x v="176"/>
          </reference>
          <reference field="1" count="1" selected="0">
            <x v="208"/>
          </reference>
          <reference field="2" count="1" selected="0">
            <x v="215"/>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0"/>
          </reference>
        </references>
      </pivotArea>
    </format>
    <format dxfId="1140">
      <pivotArea dataOnly="0" labelOnly="1" fieldPosition="0">
        <references count="9">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selected="0">
            <x v="10"/>
          </reference>
          <reference field="16" count="1">
            <x v="0"/>
          </reference>
        </references>
      </pivotArea>
    </format>
    <format dxfId="1139">
      <pivotArea dataOnly="0" labelOnly="1" fieldPosition="0">
        <references count="9">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22"/>
          </reference>
        </references>
      </pivotArea>
    </format>
    <format dxfId="1138">
      <pivotArea dataOnly="0" labelOnly="1" fieldPosition="0">
        <references count="9">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selected="0">
            <x v="39"/>
          </reference>
          <reference field="16" count="1">
            <x v="0"/>
          </reference>
        </references>
      </pivotArea>
    </format>
    <format dxfId="1137">
      <pivotArea dataOnly="0" labelOnly="1" fieldPosition="0">
        <references count="9">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selected="0">
            <x v="43"/>
          </reference>
          <reference field="16" count="1">
            <x v="42"/>
          </reference>
        </references>
      </pivotArea>
    </format>
    <format dxfId="1136">
      <pivotArea dataOnly="0" labelOnly="1" fieldPosition="0">
        <references count="9">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46"/>
          </reference>
        </references>
      </pivotArea>
    </format>
    <format dxfId="1135">
      <pivotArea dataOnly="0" labelOnly="1" fieldPosition="0">
        <references count="9">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45"/>
          </reference>
        </references>
      </pivotArea>
    </format>
    <format dxfId="1134">
      <pivotArea dataOnly="0" labelOnly="1" fieldPosition="0">
        <references count="9">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0"/>
          </reference>
        </references>
      </pivotArea>
    </format>
    <format dxfId="1133">
      <pivotArea dataOnly="0" labelOnly="1" fieldPosition="0">
        <references count="9">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selected="0">
            <x v="37"/>
          </reference>
          <reference field="16" count="1">
            <x v="61"/>
          </reference>
        </references>
      </pivotArea>
    </format>
    <format dxfId="1132">
      <pivotArea dataOnly="0" labelOnly="1" fieldPosition="0">
        <references count="9">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selected="0">
            <x v="37"/>
          </reference>
          <reference field="16" count="1">
            <x v="0"/>
          </reference>
        </references>
      </pivotArea>
    </format>
    <format dxfId="1131">
      <pivotArea dataOnly="0" labelOnly="1" fieldPosition="0">
        <references count="9">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selected="0">
            <x v="15"/>
          </reference>
          <reference field="16" count="1">
            <x v="0"/>
          </reference>
        </references>
      </pivotArea>
    </format>
    <format dxfId="1130">
      <pivotArea dataOnly="0" labelOnly="1" fieldPosition="0">
        <references count="9">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4"/>
          </reference>
        </references>
      </pivotArea>
    </format>
    <format dxfId="1129">
      <pivotArea dataOnly="0" labelOnly="1" fieldPosition="0">
        <references count="9">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6"/>
          </reference>
        </references>
      </pivotArea>
    </format>
    <format dxfId="1128">
      <pivotArea dataOnly="0" labelOnly="1" fieldPosition="0">
        <references count="9">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selected="0">
            <x v="23"/>
          </reference>
          <reference field="16" count="1">
            <x v="14"/>
          </reference>
        </references>
      </pivotArea>
    </format>
    <format dxfId="1127">
      <pivotArea dataOnly="0" labelOnly="1" fieldPosition="0">
        <references count="9">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0"/>
          </reference>
        </references>
      </pivotArea>
    </format>
    <format dxfId="1126">
      <pivotArea dataOnly="0" labelOnly="1" fieldPosition="0">
        <references count="9">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selected="0">
            <x v="0"/>
          </reference>
          <reference field="15" count="1" selected="0">
            <x v="0"/>
          </reference>
          <reference field="16" count="1">
            <x v="0"/>
          </reference>
        </references>
      </pivotArea>
    </format>
    <format dxfId="1125">
      <pivotArea dataOnly="0" labelOnly="1" fieldPosition="0">
        <references count="9">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selected="0">
            <x v="36"/>
          </reference>
          <reference field="16" count="1">
            <x v="30"/>
          </reference>
        </references>
      </pivotArea>
    </format>
    <format dxfId="1124">
      <pivotArea dataOnly="0" labelOnly="1" fieldPosition="0">
        <references count="9">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selected="0">
            <x v="9"/>
          </reference>
          <reference field="16" count="1">
            <x v="18"/>
          </reference>
        </references>
      </pivotArea>
    </format>
    <format dxfId="1123">
      <pivotArea dataOnly="0" labelOnly="1" fieldPosition="0">
        <references count="9">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selected="0">
            <x v="0"/>
          </reference>
          <reference field="15" count="1" selected="0">
            <x v="9"/>
          </reference>
          <reference field="16" count="1">
            <x v="18"/>
          </reference>
        </references>
      </pivotArea>
    </format>
    <format dxfId="1122">
      <pivotArea dataOnly="0" labelOnly="1" fieldPosition="0">
        <references count="9">
          <reference field="0" count="1" selected="0">
            <x v="201"/>
          </reference>
          <reference field="1" count="1" selected="0">
            <x v="240"/>
          </reference>
          <reference field="2" count="1" selected="0">
            <x v="37"/>
          </reference>
          <reference field="3" count="1" selected="0">
            <x v="0"/>
          </reference>
          <reference field="12" count="1" selected="0">
            <x v="20"/>
          </reference>
          <reference field="13" count="1" selected="0">
            <x v="0"/>
          </reference>
          <reference field="14" count="1" selected="0">
            <x v="0"/>
          </reference>
          <reference field="15" count="1" selected="0">
            <x v="9"/>
          </reference>
          <reference field="16" count="1">
            <x v="18"/>
          </reference>
        </references>
      </pivotArea>
    </format>
    <format dxfId="1121">
      <pivotArea dataOnly="0" labelOnly="1" fieldPosition="0">
        <references count="9">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selected="0">
            <x v="15"/>
          </reference>
          <reference field="16" count="1">
            <x v="27"/>
          </reference>
        </references>
      </pivotArea>
    </format>
    <format dxfId="1120">
      <pivotArea dataOnly="0" labelOnly="1" fieldPosition="0">
        <references count="9">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selected="0">
            <x v="15"/>
          </reference>
          <reference field="16" count="1">
            <x v="0"/>
          </reference>
        </references>
      </pivotArea>
    </format>
    <format dxfId="1119">
      <pivotArea dataOnly="0" labelOnly="1" fieldPosition="0">
        <references count="9">
          <reference field="0" count="1" selected="0">
            <x v="207"/>
          </reference>
          <reference field="1" count="1" selected="0">
            <x v="152"/>
          </reference>
          <reference field="2" count="1" selected="0">
            <x v="81"/>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0"/>
          </reference>
        </references>
      </pivotArea>
    </format>
    <format dxfId="1118">
      <pivotArea dataOnly="0" labelOnly="1" fieldPosition="0">
        <references count="9">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selected="0">
            <x v="15"/>
          </reference>
          <reference field="16" count="1">
            <x v="43"/>
          </reference>
        </references>
      </pivotArea>
    </format>
    <format dxfId="1117">
      <pivotArea dataOnly="0" labelOnly="1" fieldPosition="0">
        <references count="9">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selected="0">
            <x v="15"/>
          </reference>
          <reference field="16" count="1">
            <x v="47"/>
          </reference>
        </references>
      </pivotArea>
    </format>
    <format dxfId="1116">
      <pivotArea dataOnly="0" labelOnly="1" fieldPosition="0">
        <references count="9">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selected="0">
            <x v="15"/>
          </reference>
          <reference field="16" count="1">
            <x v="0"/>
          </reference>
        </references>
      </pivotArea>
    </format>
    <format dxfId="1115">
      <pivotArea dataOnly="0" labelOnly="1" fieldPosition="0">
        <references count="9">
          <reference field="0" count="1" selected="0">
            <x v="211"/>
          </reference>
          <reference field="1" count="1" selected="0">
            <x v="156"/>
          </reference>
          <reference field="2" count="1" selected="0">
            <x v="164"/>
          </reference>
          <reference field="3" count="1" selected="0">
            <x v="0"/>
          </reference>
          <reference field="12" count="1" selected="0">
            <x v="20"/>
          </reference>
          <reference field="13" count="1" selected="0">
            <x v="3"/>
          </reference>
          <reference field="14" count="1" selected="0">
            <x v="0"/>
          </reference>
          <reference field="15" count="1" selected="0">
            <x v="15"/>
          </reference>
          <reference field="16" count="1">
            <x v="0"/>
          </reference>
        </references>
      </pivotArea>
    </format>
    <format dxfId="1114">
      <pivotArea dataOnly="0" labelOnly="1" fieldPosition="0">
        <references count="9">
          <reference field="0" count="1" selected="0">
            <x v="212"/>
          </reference>
          <reference field="1" count="1" selected="0">
            <x v="157"/>
          </reference>
          <reference field="2" count="1" selected="0">
            <x v="170"/>
          </reference>
          <reference field="3" count="1" selected="0">
            <x v="0"/>
          </reference>
          <reference field="12" count="1" selected="0">
            <x v="20"/>
          </reference>
          <reference field="13" count="1" selected="0">
            <x v="4"/>
          </reference>
          <reference field="14" count="1" selected="0">
            <x v="0"/>
          </reference>
          <reference field="15" count="1" selected="0">
            <x v="15"/>
          </reference>
          <reference field="16" count="1">
            <x v="0"/>
          </reference>
        </references>
      </pivotArea>
    </format>
    <format dxfId="1113">
      <pivotArea dataOnly="0" labelOnly="1" fieldPosition="0">
        <references count="9">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selected="0">
            <x v="15"/>
          </reference>
          <reference field="16" count="1">
            <x v="41"/>
          </reference>
        </references>
      </pivotArea>
    </format>
    <format dxfId="1112">
      <pivotArea dataOnly="0" labelOnly="1" fieldPosition="0">
        <references count="9">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selected="0">
            <x v="15"/>
          </reference>
          <reference field="16" count="1">
            <x v="16"/>
          </reference>
        </references>
      </pivotArea>
    </format>
    <format dxfId="1111">
      <pivotArea dataOnly="0" labelOnly="1" fieldPosition="0">
        <references count="9">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selected="0">
            <x v="15"/>
          </reference>
          <reference field="16" count="1">
            <x v="3"/>
          </reference>
        </references>
      </pivotArea>
    </format>
    <format dxfId="1110">
      <pivotArea dataOnly="0" labelOnly="1" fieldPosition="0">
        <references count="9">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selected="0">
            <x v="15"/>
          </reference>
          <reference field="16" count="1">
            <x v="36"/>
          </reference>
        </references>
      </pivotArea>
    </format>
    <format dxfId="1109">
      <pivotArea dataOnly="0" labelOnly="1" fieldPosition="0">
        <references count="9">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selected="0">
            <x v="15"/>
          </reference>
          <reference field="16" count="1">
            <x v="0"/>
          </reference>
        </references>
      </pivotArea>
    </format>
    <format dxfId="1108">
      <pivotArea dataOnly="0" labelOnly="1" fieldPosition="0">
        <references count="9">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selected="0">
            <x v="15"/>
          </reference>
          <reference field="16" count="1">
            <x v="7"/>
          </reference>
        </references>
      </pivotArea>
    </format>
    <format dxfId="1107">
      <pivotArea dataOnly="0" labelOnly="1" fieldPosition="0">
        <references count="9">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selected="0">
            <x v="15"/>
          </reference>
          <reference field="16" count="1">
            <x v="9"/>
          </reference>
        </references>
      </pivotArea>
    </format>
    <format dxfId="1106">
      <pivotArea dataOnly="0" labelOnly="1" fieldPosition="0">
        <references count="9">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selected="0">
            <x v="15"/>
          </reference>
          <reference field="16" count="1">
            <x v="7"/>
          </reference>
        </references>
      </pivotArea>
    </format>
    <format dxfId="1105">
      <pivotArea dataOnly="0" labelOnly="1" fieldPosition="0">
        <references count="9">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selected="0">
            <x v="15"/>
          </reference>
          <reference field="16" count="1">
            <x v="28"/>
          </reference>
        </references>
      </pivotArea>
    </format>
    <format dxfId="1104">
      <pivotArea dataOnly="0" labelOnly="1" fieldPosition="0">
        <references count="9">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selected="0">
            <x v="15"/>
          </reference>
          <reference field="16" count="1">
            <x v="29"/>
          </reference>
        </references>
      </pivotArea>
    </format>
    <format dxfId="1103">
      <pivotArea dataOnly="0" labelOnly="1" fieldPosition="0">
        <references count="9">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1102">
      <pivotArea dataOnly="0" labelOnly="1" fieldPosition="0">
        <references count="9">
          <reference field="0" count="1" selected="0">
            <x v="226"/>
          </reference>
          <reference field="1" count="1" selected="0">
            <x v="171"/>
          </reference>
          <reference field="2" count="1" selected="0">
            <x v="41"/>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1101">
      <pivotArea dataOnly="0" labelOnly="1" fieldPosition="0">
        <references count="9">
          <reference field="0" count="1" selected="0">
            <x v="227"/>
          </reference>
          <reference field="1" count="1" selected="0">
            <x v="172"/>
          </reference>
          <reference field="2" count="1" selected="0">
            <x v="42"/>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1100">
      <pivotArea dataOnly="0" labelOnly="1" fieldPosition="0">
        <references count="9">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selected="0">
            <x v="38"/>
          </reference>
          <reference field="15" count="1" selected="0">
            <x v="15"/>
          </reference>
          <reference field="16" count="1">
            <x v="0"/>
          </reference>
        </references>
      </pivotArea>
    </format>
    <format dxfId="1099">
      <pivotArea dataOnly="0" labelOnly="1" fieldPosition="0">
        <references count="9">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selected="0">
            <x v="15"/>
          </reference>
          <reference field="16" count="1">
            <x v="19"/>
          </reference>
        </references>
      </pivotArea>
    </format>
    <format dxfId="1098">
      <pivotArea dataOnly="0" labelOnly="1" fieldPosition="0">
        <references count="9">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selected="0">
            <x v="15"/>
          </reference>
          <reference field="16" count="1">
            <x v="48"/>
          </reference>
        </references>
      </pivotArea>
    </format>
    <format dxfId="1097">
      <pivotArea dataOnly="0" labelOnly="1" fieldPosition="0">
        <references count="9">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selected="0">
            <x v="15"/>
          </reference>
          <reference field="16" count="1">
            <x v="0"/>
          </reference>
        </references>
      </pivotArea>
    </format>
    <format dxfId="1096">
      <pivotArea dataOnly="0" labelOnly="1" fieldPosition="0">
        <references count="9">
          <reference field="0" count="1" selected="0">
            <x v="232"/>
          </reference>
          <reference field="1" count="1" selected="0">
            <x v="177"/>
          </reference>
          <reference field="2" count="1" selected="0">
            <x v="47"/>
          </reference>
          <reference field="3" count="1" selected="0">
            <x v="0"/>
          </reference>
          <reference field="12" count="1" selected="0">
            <x v="3"/>
          </reference>
          <reference field="13" count="1" selected="0">
            <x v="19"/>
          </reference>
          <reference field="14" count="1" selected="0">
            <x v="38"/>
          </reference>
          <reference field="15" count="1" selected="0">
            <x v="15"/>
          </reference>
          <reference field="16" count="1">
            <x v="0"/>
          </reference>
        </references>
      </pivotArea>
    </format>
    <format dxfId="1095">
      <pivotArea dataOnly="0" labelOnly="1" fieldPosition="0">
        <references count="9">
          <reference field="0" count="1" selected="0">
            <x v="233"/>
          </reference>
          <reference field="1" count="1" selected="0">
            <x v="178"/>
          </reference>
          <reference field="2" count="1" selected="0">
            <x v="32"/>
          </reference>
          <reference field="3" count="1" selected="0">
            <x v="0"/>
          </reference>
          <reference field="12" count="1" selected="0">
            <x v="3"/>
          </reference>
          <reference field="13" count="1" selected="0">
            <x v="6"/>
          </reference>
          <reference field="14" count="1" selected="0">
            <x v="38"/>
          </reference>
          <reference field="15" count="1" selected="0">
            <x v="15"/>
          </reference>
          <reference field="16" count="1">
            <x v="0"/>
          </reference>
        </references>
      </pivotArea>
    </format>
    <format dxfId="1094">
      <pivotArea dataOnly="0" labelOnly="1" fieldPosition="0">
        <references count="9">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selected="0">
            <x v="47"/>
          </reference>
          <reference field="16" count="1">
            <x v="65"/>
          </reference>
        </references>
      </pivotArea>
    </format>
    <format dxfId="1093">
      <pivotArea dataOnly="0" labelOnly="1" fieldPosition="0">
        <references count="9">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1092">
      <pivotArea dataOnly="0" labelOnly="1" fieldPosition="0">
        <references count="9">
          <reference field="0" count="1" selected="0">
            <x v="236"/>
          </reference>
          <reference field="1" count="1" selected="0">
            <x v="192"/>
          </reference>
          <reference field="2" count="1" selected="0">
            <x v="27"/>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1091">
      <pivotArea dataOnly="0" labelOnly="1" fieldPosition="0">
        <references count="9">
          <reference field="0" count="1" selected="0">
            <x v="237"/>
          </reference>
          <reference field="1" count="1" selected="0">
            <x v="193"/>
          </reference>
          <reference field="2" count="1" selected="0">
            <x v="89"/>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1090">
      <pivotArea dataOnly="0" labelOnly="1" fieldPosition="0">
        <references count="9">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selected="0">
            <x v="0"/>
          </reference>
          <reference field="15" count="1" selected="0">
            <x v="15"/>
          </reference>
          <reference field="16" count="1">
            <x v="0"/>
          </reference>
        </references>
      </pivotArea>
    </format>
    <format dxfId="1089">
      <pivotArea dataOnly="0" labelOnly="1" fieldPosition="0">
        <references count="9">
          <reference field="0" count="1" selected="0">
            <x v="239"/>
          </reference>
          <reference field="1" count="1" selected="0">
            <x v="195"/>
          </reference>
          <reference field="2" count="1" selected="0">
            <x v="28"/>
          </reference>
          <reference field="3" count="1" selected="0">
            <x v="0"/>
          </reference>
          <reference field="12" count="1" selected="0">
            <x v="0"/>
          </reference>
          <reference field="13" count="1" selected="0">
            <x v="0"/>
          </reference>
          <reference field="14" count="1" selected="0">
            <x v="0"/>
          </reference>
          <reference field="15" count="1" selected="0">
            <x v="15"/>
          </reference>
          <reference field="16" count="1">
            <x v="0"/>
          </reference>
        </references>
      </pivotArea>
    </format>
    <format dxfId="1088">
      <pivotArea dataOnly="0" labelOnly="1" fieldPosition="0">
        <references count="9">
          <reference field="0" count="1" selected="0">
            <x v="240"/>
          </reference>
          <reference field="1" count="1" selected="0">
            <x v="196"/>
          </reference>
          <reference field="2" count="1" selected="0">
            <x v="40"/>
          </reference>
          <reference field="3" count="1" selected="0">
            <x v="0"/>
          </reference>
          <reference field="12" count="1" selected="0">
            <x v="3"/>
          </reference>
          <reference field="13" count="1" selected="0">
            <x v="0"/>
          </reference>
          <reference field="14" count="1" selected="0">
            <x v="0"/>
          </reference>
          <reference field="15" count="1" selected="0">
            <x v="15"/>
          </reference>
          <reference field="16" count="1">
            <x v="0"/>
          </reference>
        </references>
      </pivotArea>
    </format>
    <format dxfId="1087">
      <pivotArea dataOnly="0" labelOnly="1" fieldPosition="0">
        <references count="9">
          <reference field="0" count="1" selected="0">
            <x v="241"/>
          </reference>
          <reference field="1" count="1" selected="0">
            <x v="197"/>
          </reference>
          <reference field="2" count="1" selected="0">
            <x v="195"/>
          </reference>
          <reference field="3" count="1" selected="0">
            <x v="0"/>
          </reference>
          <reference field="12" count="1" selected="0">
            <x v="0"/>
          </reference>
          <reference field="13" count="1" selected="0">
            <x v="0"/>
          </reference>
          <reference field="14" count="1" selected="0">
            <x v="0"/>
          </reference>
          <reference field="15" count="1" selected="0">
            <x v="15"/>
          </reference>
          <reference field="16" count="1">
            <x v="0"/>
          </reference>
        </references>
      </pivotArea>
    </format>
    <format dxfId="1086">
      <pivotArea dataOnly="0" labelOnly="1" fieldPosition="0">
        <references count="9">
          <reference field="0" count="1" selected="0">
            <x v="242"/>
          </reference>
          <reference field="1" count="1" selected="0">
            <x v="198"/>
          </reference>
          <reference field="2" count="1" selected="0">
            <x v="132"/>
          </reference>
          <reference field="3" count="1" selected="0">
            <x v="0"/>
          </reference>
          <reference field="12" count="1" selected="0">
            <x v="6"/>
          </reference>
          <reference field="13" count="1" selected="0">
            <x v="0"/>
          </reference>
          <reference field="14" count="1" selected="0">
            <x v="0"/>
          </reference>
          <reference field="15" count="1" selected="0">
            <x v="15"/>
          </reference>
          <reference field="16" count="1">
            <x v="0"/>
          </reference>
        </references>
      </pivotArea>
    </format>
    <format dxfId="1085">
      <pivotArea type="all" dataOnly="0" outline="0" fieldPosition="0"/>
    </format>
    <format dxfId="1084">
      <pivotArea field="0" type="button" dataOnly="0" labelOnly="1" outline="0" axis="axisRow" fieldPosition="0"/>
    </format>
    <format dxfId="1083">
      <pivotArea field="1" type="button" dataOnly="0" labelOnly="1" outline="0" axis="axisRow" fieldPosition="1"/>
    </format>
    <format dxfId="1082">
      <pivotArea field="2" type="button" dataOnly="0" labelOnly="1" outline="0" axis="axisRow" fieldPosition="2"/>
    </format>
    <format dxfId="1081">
      <pivotArea field="3" type="button" dataOnly="0" labelOnly="1" outline="0" axis="axisRow" fieldPosition="3"/>
    </format>
    <format dxfId="1080">
      <pivotArea field="12" type="button" dataOnly="0" labelOnly="1" outline="0" axis="axisRow" fieldPosition="4"/>
    </format>
    <format dxfId="1079">
      <pivotArea field="13" type="button" dataOnly="0" labelOnly="1" outline="0" axis="axisRow" fieldPosition="5"/>
    </format>
    <format dxfId="1078">
      <pivotArea field="14" type="button" dataOnly="0" labelOnly="1" outline="0" axis="axisRow" fieldPosition="6"/>
    </format>
    <format dxfId="1077">
      <pivotArea field="15" type="button" dataOnly="0" labelOnly="1" outline="0" axis="axisRow" fieldPosition="7"/>
    </format>
    <format dxfId="1076">
      <pivotArea field="16" type="button" dataOnly="0" labelOnly="1" outline="0" axis="axisRow" fieldPosition="8"/>
    </format>
    <format dxfId="1075">
      <pivotArea field="17" type="button" dataOnly="0" labelOnly="1" outline="0" axis="axisRow" fieldPosition="9"/>
    </format>
    <format dxfId="1074">
      <pivotArea dataOnly="0" labelOnly="1" fieldPosition="0">
        <references count="1">
          <reference field="0" count="50">
            <x v="0"/>
            <x v="2"/>
            <x v="3"/>
            <x v="4"/>
            <x v="5"/>
            <x v="7"/>
            <x v="9"/>
            <x v="10"/>
            <x v="11"/>
            <x v="12"/>
            <x v="16"/>
            <x v="18"/>
            <x v="22"/>
            <x v="25"/>
            <x v="26"/>
            <x v="28"/>
            <x v="29"/>
            <x v="30"/>
            <x v="31"/>
            <x v="35"/>
            <x v="36"/>
            <x v="37"/>
            <x v="38"/>
            <x v="39"/>
            <x v="40"/>
            <x v="41"/>
            <x v="42"/>
            <x v="43"/>
            <x v="44"/>
            <x v="45"/>
            <x v="46"/>
            <x v="47"/>
            <x v="49"/>
            <x v="55"/>
            <x v="56"/>
            <x v="62"/>
            <x v="63"/>
            <x v="64"/>
            <x v="65"/>
            <x v="66"/>
            <x v="67"/>
            <x v="68"/>
            <x v="79"/>
            <x v="81"/>
            <x v="82"/>
            <x v="83"/>
            <x v="84"/>
            <x v="85"/>
            <x v="86"/>
            <x v="87"/>
          </reference>
        </references>
      </pivotArea>
    </format>
    <format dxfId="1073">
      <pivotArea dataOnly="0" labelOnly="1" fieldPosition="0">
        <references count="1">
          <reference field="0" count="50">
            <x v="88"/>
            <x v="89"/>
            <x v="90"/>
            <x v="91"/>
            <x v="93"/>
            <x v="94"/>
            <x v="95"/>
            <x v="96"/>
            <x v="97"/>
            <x v="98"/>
            <x v="99"/>
            <x v="100"/>
            <x v="101"/>
            <x v="102"/>
            <x v="103"/>
            <x v="104"/>
            <x v="105"/>
            <x v="106"/>
            <x v="107"/>
            <x v="108"/>
            <x v="110"/>
            <x v="111"/>
            <x v="113"/>
            <x v="119"/>
            <x v="120"/>
            <x v="121"/>
            <x v="122"/>
            <x v="123"/>
            <x v="124"/>
            <x v="125"/>
            <x v="126"/>
            <x v="127"/>
            <x v="128"/>
            <x v="129"/>
            <x v="130"/>
            <x v="134"/>
            <x v="135"/>
            <x v="136"/>
            <x v="144"/>
            <x v="146"/>
            <x v="147"/>
            <x v="148"/>
            <x v="149"/>
            <x v="150"/>
            <x v="151"/>
            <x v="152"/>
            <x v="153"/>
            <x v="154"/>
            <x v="155"/>
            <x v="159"/>
          </reference>
        </references>
      </pivotArea>
    </format>
    <format dxfId="1072">
      <pivotArea dataOnly="0" labelOnly="1" fieldPosition="0">
        <references count="1">
          <reference field="0" count="50">
            <x v="160"/>
            <x v="161"/>
            <x v="162"/>
            <x v="164"/>
            <x v="165"/>
            <x v="166"/>
            <x v="167"/>
            <x v="168"/>
            <x v="171"/>
            <x v="172"/>
            <x v="173"/>
            <x v="175"/>
            <x v="176"/>
            <x v="177"/>
            <x v="178"/>
            <x v="179"/>
            <x v="180"/>
            <x v="181"/>
            <x v="182"/>
            <x v="183"/>
            <x v="184"/>
            <x v="185"/>
            <x v="186"/>
            <x v="187"/>
            <x v="188"/>
            <x v="189"/>
            <x v="192"/>
            <x v="193"/>
            <x v="197"/>
            <x v="199"/>
            <x v="200"/>
            <x v="201"/>
            <x v="204"/>
            <x v="206"/>
            <x v="207"/>
            <x v="208"/>
            <x v="209"/>
            <x v="210"/>
            <x v="211"/>
            <x v="212"/>
            <x v="214"/>
            <x v="215"/>
            <x v="216"/>
            <x v="217"/>
            <x v="218"/>
            <x v="219"/>
            <x v="220"/>
            <x v="221"/>
            <x v="223"/>
            <x v="224"/>
          </reference>
        </references>
      </pivotArea>
    </format>
    <format dxfId="1071">
      <pivotArea dataOnly="0" labelOnly="1" fieldPosition="0">
        <references count="1">
          <reference field="0" count="18">
            <x v="225"/>
            <x v="226"/>
            <x v="227"/>
            <x v="228"/>
            <x v="229"/>
            <x v="230"/>
            <x v="231"/>
            <x v="232"/>
            <x v="233"/>
            <x v="234"/>
            <x v="235"/>
            <x v="236"/>
            <x v="237"/>
            <x v="238"/>
            <x v="239"/>
            <x v="240"/>
            <x v="241"/>
            <x v="242"/>
          </reference>
        </references>
      </pivotArea>
    </format>
    <format dxfId="1070">
      <pivotArea dataOnly="0" labelOnly="1" fieldPosition="0">
        <references count="2">
          <reference field="0" count="1" selected="0">
            <x v="0"/>
          </reference>
          <reference field="1" count="1">
            <x v="228"/>
          </reference>
        </references>
      </pivotArea>
    </format>
    <format dxfId="1069">
      <pivotArea dataOnly="0" labelOnly="1" fieldPosition="0">
        <references count="2">
          <reference field="0" count="1" selected="0">
            <x v="2"/>
          </reference>
          <reference field="1" count="1">
            <x v="230"/>
          </reference>
        </references>
      </pivotArea>
    </format>
    <format dxfId="1068">
      <pivotArea dataOnly="0" labelOnly="1" fieldPosition="0">
        <references count="2">
          <reference field="0" count="1" selected="0">
            <x v="3"/>
          </reference>
          <reference field="1" count="1">
            <x v="231"/>
          </reference>
        </references>
      </pivotArea>
    </format>
    <format dxfId="1067">
      <pivotArea dataOnly="0" labelOnly="1" fieldPosition="0">
        <references count="2">
          <reference field="0" count="1" selected="0">
            <x v="4"/>
          </reference>
          <reference field="1" count="1">
            <x v="232"/>
          </reference>
        </references>
      </pivotArea>
    </format>
    <format dxfId="1066">
      <pivotArea dataOnly="0" labelOnly="1" fieldPosition="0">
        <references count="2">
          <reference field="0" count="1" selected="0">
            <x v="5"/>
          </reference>
          <reference field="1" count="1">
            <x v="233"/>
          </reference>
        </references>
      </pivotArea>
    </format>
    <format dxfId="1065">
      <pivotArea dataOnly="0" labelOnly="1" fieldPosition="0">
        <references count="2">
          <reference field="0" count="1" selected="0">
            <x v="7"/>
          </reference>
          <reference field="1" count="1">
            <x v="118"/>
          </reference>
        </references>
      </pivotArea>
    </format>
    <format dxfId="1064">
      <pivotArea dataOnly="0" labelOnly="1" fieldPosition="0">
        <references count="2">
          <reference field="0" count="1" selected="0">
            <x v="9"/>
          </reference>
          <reference field="1" count="1">
            <x v="120"/>
          </reference>
        </references>
      </pivotArea>
    </format>
    <format dxfId="1063">
      <pivotArea dataOnly="0" labelOnly="1" fieldPosition="0">
        <references count="2">
          <reference field="0" count="1" selected="0">
            <x v="10"/>
          </reference>
          <reference field="1" count="1">
            <x v="121"/>
          </reference>
        </references>
      </pivotArea>
    </format>
    <format dxfId="1062">
      <pivotArea dataOnly="0" labelOnly="1" fieldPosition="0">
        <references count="2">
          <reference field="0" count="1" selected="0">
            <x v="11"/>
          </reference>
          <reference field="1" count="1">
            <x v="122"/>
          </reference>
        </references>
      </pivotArea>
    </format>
    <format dxfId="1061">
      <pivotArea dataOnly="0" labelOnly="1" fieldPosition="0">
        <references count="2">
          <reference field="0" count="1" selected="0">
            <x v="12"/>
          </reference>
          <reference field="1" count="1">
            <x v="123"/>
          </reference>
        </references>
      </pivotArea>
    </format>
    <format dxfId="1060">
      <pivotArea dataOnly="0" labelOnly="1" fieldPosition="0">
        <references count="2">
          <reference field="0" count="1" selected="0">
            <x v="16"/>
          </reference>
          <reference field="1" count="1">
            <x v="64"/>
          </reference>
        </references>
      </pivotArea>
    </format>
    <format dxfId="1059">
      <pivotArea dataOnly="0" labelOnly="1" fieldPosition="0">
        <references count="2">
          <reference field="0" count="1" selected="0">
            <x v="18"/>
          </reference>
          <reference field="1" count="1">
            <x v="66"/>
          </reference>
        </references>
      </pivotArea>
    </format>
    <format dxfId="1058">
      <pivotArea dataOnly="0" labelOnly="1" fieldPosition="0">
        <references count="2">
          <reference field="0" count="1" selected="0">
            <x v="22"/>
          </reference>
          <reference field="1" count="1">
            <x v="19"/>
          </reference>
        </references>
      </pivotArea>
    </format>
    <format dxfId="1057">
      <pivotArea dataOnly="0" labelOnly="1" fieldPosition="0">
        <references count="2">
          <reference field="0" count="1" selected="0">
            <x v="25"/>
          </reference>
          <reference field="1" count="1">
            <x v="22"/>
          </reference>
        </references>
      </pivotArea>
    </format>
    <format dxfId="1056">
      <pivotArea dataOnly="0" labelOnly="1" fieldPosition="0">
        <references count="2">
          <reference field="0" count="1" selected="0">
            <x v="26"/>
          </reference>
          <reference field="1" count="1">
            <x v="23"/>
          </reference>
        </references>
      </pivotArea>
    </format>
    <format dxfId="1055">
      <pivotArea dataOnly="0" labelOnly="1" fieldPosition="0">
        <references count="2">
          <reference field="0" count="1" selected="0">
            <x v="28"/>
          </reference>
          <reference field="1" count="1">
            <x v="25"/>
          </reference>
        </references>
      </pivotArea>
    </format>
    <format dxfId="1054">
      <pivotArea dataOnly="0" labelOnly="1" fieldPosition="0">
        <references count="2">
          <reference field="0" count="1" selected="0">
            <x v="29"/>
          </reference>
          <reference field="1" count="1">
            <x v="26"/>
          </reference>
        </references>
      </pivotArea>
    </format>
    <format dxfId="1053">
      <pivotArea dataOnly="0" labelOnly="1" fieldPosition="0">
        <references count="2">
          <reference field="0" count="1" selected="0">
            <x v="30"/>
          </reference>
          <reference field="1" count="1">
            <x v="27"/>
          </reference>
        </references>
      </pivotArea>
    </format>
    <format dxfId="1052">
      <pivotArea dataOnly="0" labelOnly="1" fieldPosition="0">
        <references count="2">
          <reference field="0" count="1" selected="0">
            <x v="31"/>
          </reference>
          <reference field="1" count="1">
            <x v="28"/>
          </reference>
        </references>
      </pivotArea>
    </format>
    <format dxfId="1051">
      <pivotArea dataOnly="0" labelOnly="1" fieldPosition="0">
        <references count="2">
          <reference field="0" count="1" selected="0">
            <x v="35"/>
          </reference>
          <reference field="1" count="1">
            <x v="32"/>
          </reference>
        </references>
      </pivotArea>
    </format>
    <format dxfId="1050">
      <pivotArea dataOnly="0" labelOnly="1" fieldPosition="0">
        <references count="2">
          <reference field="0" count="1" selected="0">
            <x v="36"/>
          </reference>
          <reference field="1" count="1">
            <x v="33"/>
          </reference>
        </references>
      </pivotArea>
    </format>
    <format dxfId="1049">
      <pivotArea dataOnly="0" labelOnly="1" fieldPosition="0">
        <references count="2">
          <reference field="0" count="1" selected="0">
            <x v="37"/>
          </reference>
          <reference field="1" count="1">
            <x v="34"/>
          </reference>
        </references>
      </pivotArea>
    </format>
    <format dxfId="1048">
      <pivotArea dataOnly="0" labelOnly="1" fieldPosition="0">
        <references count="2">
          <reference field="0" count="1" selected="0">
            <x v="38"/>
          </reference>
          <reference field="1" count="1">
            <x v="0"/>
          </reference>
        </references>
      </pivotArea>
    </format>
    <format dxfId="1047">
      <pivotArea dataOnly="0" labelOnly="1" fieldPosition="0">
        <references count="2">
          <reference field="0" count="1" selected="0">
            <x v="39"/>
          </reference>
          <reference field="1" count="1">
            <x v="1"/>
          </reference>
        </references>
      </pivotArea>
    </format>
    <format dxfId="1046">
      <pivotArea dataOnly="0" labelOnly="1" fieldPosition="0">
        <references count="2">
          <reference field="0" count="1" selected="0">
            <x v="40"/>
          </reference>
          <reference field="1" count="1">
            <x v="2"/>
          </reference>
        </references>
      </pivotArea>
    </format>
    <format dxfId="1045">
      <pivotArea dataOnly="0" labelOnly="1" fieldPosition="0">
        <references count="2">
          <reference field="0" count="1" selected="0">
            <x v="41"/>
          </reference>
          <reference field="1" count="1">
            <x v="3"/>
          </reference>
        </references>
      </pivotArea>
    </format>
    <format dxfId="1044">
      <pivotArea dataOnly="0" labelOnly="1" fieldPosition="0">
        <references count="2">
          <reference field="0" count="1" selected="0">
            <x v="42"/>
          </reference>
          <reference field="1" count="1">
            <x v="4"/>
          </reference>
        </references>
      </pivotArea>
    </format>
    <format dxfId="1043">
      <pivotArea dataOnly="0" labelOnly="1" fieldPosition="0">
        <references count="2">
          <reference field="0" count="1" selected="0">
            <x v="43"/>
          </reference>
          <reference field="1" count="1">
            <x v="5"/>
          </reference>
        </references>
      </pivotArea>
    </format>
    <format dxfId="1042">
      <pivotArea dataOnly="0" labelOnly="1" fieldPosition="0">
        <references count="2">
          <reference field="0" count="1" selected="0">
            <x v="44"/>
          </reference>
          <reference field="1" count="1">
            <x v="6"/>
          </reference>
        </references>
      </pivotArea>
    </format>
    <format dxfId="1041">
      <pivotArea dataOnly="0" labelOnly="1" fieldPosition="0">
        <references count="2">
          <reference field="0" count="1" selected="0">
            <x v="45"/>
          </reference>
          <reference field="1" count="1">
            <x v="7"/>
          </reference>
        </references>
      </pivotArea>
    </format>
    <format dxfId="1040">
      <pivotArea dataOnly="0" labelOnly="1" fieldPosition="0">
        <references count="2">
          <reference field="0" count="1" selected="0">
            <x v="46"/>
          </reference>
          <reference field="1" count="1">
            <x v="8"/>
          </reference>
        </references>
      </pivotArea>
    </format>
    <format dxfId="1039">
      <pivotArea dataOnly="0" labelOnly="1" fieldPosition="0">
        <references count="2">
          <reference field="0" count="1" selected="0">
            <x v="47"/>
          </reference>
          <reference field="1" count="1">
            <x v="9"/>
          </reference>
        </references>
      </pivotArea>
    </format>
    <format dxfId="1038">
      <pivotArea dataOnly="0" labelOnly="1" fieldPosition="0">
        <references count="2">
          <reference field="0" count="1" selected="0">
            <x v="49"/>
          </reference>
          <reference field="1" count="1">
            <x v="11"/>
          </reference>
        </references>
      </pivotArea>
    </format>
    <format dxfId="1037">
      <pivotArea dataOnly="0" labelOnly="1" fieldPosition="0">
        <references count="2">
          <reference field="0" count="1" selected="0">
            <x v="55"/>
          </reference>
          <reference field="1" count="1">
            <x v="35"/>
          </reference>
        </references>
      </pivotArea>
    </format>
    <format dxfId="1036">
      <pivotArea dataOnly="0" labelOnly="1" fieldPosition="0">
        <references count="2">
          <reference field="0" count="1" selected="0">
            <x v="56"/>
          </reference>
          <reference field="1" count="1">
            <x v="36"/>
          </reference>
        </references>
      </pivotArea>
    </format>
    <format dxfId="1035">
      <pivotArea dataOnly="0" labelOnly="1" fieldPosition="0">
        <references count="2">
          <reference field="0" count="1" selected="0">
            <x v="62"/>
          </reference>
          <reference field="1" count="1">
            <x v="42"/>
          </reference>
        </references>
      </pivotArea>
    </format>
    <format dxfId="1034">
      <pivotArea dataOnly="0" labelOnly="1" fieldPosition="0">
        <references count="2">
          <reference field="0" count="1" selected="0">
            <x v="63"/>
          </reference>
          <reference field="1" count="1">
            <x v="43"/>
          </reference>
        </references>
      </pivotArea>
    </format>
    <format dxfId="1033">
      <pivotArea dataOnly="0" labelOnly="1" fieldPosition="0">
        <references count="2">
          <reference field="0" count="1" selected="0">
            <x v="64"/>
          </reference>
          <reference field="1" count="1">
            <x v="44"/>
          </reference>
        </references>
      </pivotArea>
    </format>
    <format dxfId="1032">
      <pivotArea dataOnly="0" labelOnly="1" fieldPosition="0">
        <references count="2">
          <reference field="0" count="1" selected="0">
            <x v="65"/>
          </reference>
          <reference field="1" count="1">
            <x v="45"/>
          </reference>
        </references>
      </pivotArea>
    </format>
    <format dxfId="1031">
      <pivotArea dataOnly="0" labelOnly="1" fieldPosition="0">
        <references count="2">
          <reference field="0" count="1" selected="0">
            <x v="66"/>
          </reference>
          <reference field="1" count="1">
            <x v="46"/>
          </reference>
        </references>
      </pivotArea>
    </format>
    <format dxfId="1030">
      <pivotArea dataOnly="0" labelOnly="1" fieldPosition="0">
        <references count="2">
          <reference field="0" count="1" selected="0">
            <x v="67"/>
          </reference>
          <reference field="1" count="1">
            <x v="47"/>
          </reference>
        </references>
      </pivotArea>
    </format>
    <format dxfId="1029">
      <pivotArea dataOnly="0" labelOnly="1" fieldPosition="0">
        <references count="2">
          <reference field="0" count="1" selected="0">
            <x v="68"/>
          </reference>
          <reference field="1" count="1">
            <x v="48"/>
          </reference>
        </references>
      </pivotArea>
    </format>
    <format dxfId="1028">
      <pivotArea dataOnly="0" labelOnly="1" fieldPosition="0">
        <references count="2">
          <reference field="0" count="1" selected="0">
            <x v="79"/>
          </reference>
          <reference field="1" count="1">
            <x v="59"/>
          </reference>
        </references>
      </pivotArea>
    </format>
    <format dxfId="1027">
      <pivotArea dataOnly="0" labelOnly="1" fieldPosition="0">
        <references count="2">
          <reference field="0" count="1" selected="0">
            <x v="81"/>
          </reference>
          <reference field="1" count="1">
            <x v="68"/>
          </reference>
        </references>
      </pivotArea>
    </format>
    <format dxfId="1026">
      <pivotArea dataOnly="0" labelOnly="1" fieldPosition="0">
        <references count="2">
          <reference field="0" count="1" selected="0">
            <x v="82"/>
          </reference>
          <reference field="1" count="1">
            <x v="69"/>
          </reference>
        </references>
      </pivotArea>
    </format>
    <format dxfId="1025">
      <pivotArea dataOnly="0" labelOnly="1" fieldPosition="0">
        <references count="2">
          <reference field="0" count="1" selected="0">
            <x v="83"/>
          </reference>
          <reference field="1" count="1">
            <x v="70"/>
          </reference>
        </references>
      </pivotArea>
    </format>
    <format dxfId="1024">
      <pivotArea dataOnly="0" labelOnly="1" fieldPosition="0">
        <references count="2">
          <reference field="0" count="1" selected="0">
            <x v="84"/>
          </reference>
          <reference field="1" count="1">
            <x v="71"/>
          </reference>
        </references>
      </pivotArea>
    </format>
    <format dxfId="1023">
      <pivotArea dataOnly="0" labelOnly="1" fieldPosition="0">
        <references count="2">
          <reference field="0" count="1" selected="0">
            <x v="85"/>
          </reference>
          <reference field="1" count="1">
            <x v="72"/>
          </reference>
        </references>
      </pivotArea>
    </format>
    <format dxfId="1022">
      <pivotArea dataOnly="0" labelOnly="1" fieldPosition="0">
        <references count="2">
          <reference field="0" count="1" selected="0">
            <x v="86"/>
          </reference>
          <reference field="1" count="1">
            <x v="73"/>
          </reference>
        </references>
      </pivotArea>
    </format>
    <format dxfId="1021">
      <pivotArea dataOnly="0" labelOnly="1" fieldPosition="0">
        <references count="2">
          <reference field="0" count="1" selected="0">
            <x v="87"/>
          </reference>
          <reference field="1" count="1">
            <x v="74"/>
          </reference>
        </references>
      </pivotArea>
    </format>
    <format dxfId="1020">
      <pivotArea dataOnly="0" labelOnly="1" fieldPosition="0">
        <references count="2">
          <reference field="0" count="1" selected="0">
            <x v="88"/>
          </reference>
          <reference field="1" count="1">
            <x v="75"/>
          </reference>
        </references>
      </pivotArea>
    </format>
    <format dxfId="1019">
      <pivotArea dataOnly="0" labelOnly="1" fieldPosition="0">
        <references count="2">
          <reference field="0" count="1" selected="0">
            <x v="89"/>
          </reference>
          <reference field="1" count="1">
            <x v="76"/>
          </reference>
        </references>
      </pivotArea>
    </format>
    <format dxfId="1018">
      <pivotArea dataOnly="0" labelOnly="1" fieldPosition="0">
        <references count="2">
          <reference field="0" count="1" selected="0">
            <x v="90"/>
          </reference>
          <reference field="1" count="1">
            <x v="77"/>
          </reference>
        </references>
      </pivotArea>
    </format>
    <format dxfId="1017">
      <pivotArea dataOnly="0" labelOnly="1" fieldPosition="0">
        <references count="2">
          <reference field="0" count="1" selected="0">
            <x v="91"/>
          </reference>
          <reference field="1" count="1">
            <x v="78"/>
          </reference>
        </references>
      </pivotArea>
    </format>
    <format dxfId="1016">
      <pivotArea dataOnly="0" labelOnly="1" fieldPosition="0">
        <references count="2">
          <reference field="0" count="1" selected="0">
            <x v="93"/>
          </reference>
          <reference field="1" count="1">
            <x v="80"/>
          </reference>
        </references>
      </pivotArea>
    </format>
    <format dxfId="1015">
      <pivotArea dataOnly="0" labelOnly="1" fieldPosition="0">
        <references count="2">
          <reference field="0" count="1" selected="0">
            <x v="94"/>
          </reference>
          <reference field="1" count="1">
            <x v="81"/>
          </reference>
        </references>
      </pivotArea>
    </format>
    <format dxfId="1014">
      <pivotArea dataOnly="0" labelOnly="1" fieldPosition="0">
        <references count="2">
          <reference field="0" count="1" selected="0">
            <x v="95"/>
          </reference>
          <reference field="1" count="1">
            <x v="82"/>
          </reference>
        </references>
      </pivotArea>
    </format>
    <format dxfId="1013">
      <pivotArea dataOnly="0" labelOnly="1" fieldPosition="0">
        <references count="2">
          <reference field="0" count="1" selected="0">
            <x v="96"/>
          </reference>
          <reference field="1" count="1">
            <x v="83"/>
          </reference>
        </references>
      </pivotArea>
    </format>
    <format dxfId="1012">
      <pivotArea dataOnly="0" labelOnly="1" fieldPosition="0">
        <references count="2">
          <reference field="0" count="1" selected="0">
            <x v="97"/>
          </reference>
          <reference field="1" count="1">
            <x v="84"/>
          </reference>
        </references>
      </pivotArea>
    </format>
    <format dxfId="1011">
      <pivotArea dataOnly="0" labelOnly="1" fieldPosition="0">
        <references count="2">
          <reference field="0" count="1" selected="0">
            <x v="98"/>
          </reference>
          <reference field="1" count="1">
            <x v="85"/>
          </reference>
        </references>
      </pivotArea>
    </format>
    <format dxfId="1010">
      <pivotArea dataOnly="0" labelOnly="1" fieldPosition="0">
        <references count="2">
          <reference field="0" count="1" selected="0">
            <x v="99"/>
          </reference>
          <reference field="1" count="1">
            <x v="86"/>
          </reference>
        </references>
      </pivotArea>
    </format>
    <format dxfId="1009">
      <pivotArea dataOnly="0" labelOnly="1" fieldPosition="0">
        <references count="2">
          <reference field="0" count="1" selected="0">
            <x v="100"/>
          </reference>
          <reference field="1" count="1">
            <x v="87"/>
          </reference>
        </references>
      </pivotArea>
    </format>
    <format dxfId="1008">
      <pivotArea dataOnly="0" labelOnly="1" fieldPosition="0">
        <references count="2">
          <reference field="0" count="1" selected="0">
            <x v="101"/>
          </reference>
          <reference field="1" count="1">
            <x v="88"/>
          </reference>
        </references>
      </pivotArea>
    </format>
    <format dxfId="1007">
      <pivotArea dataOnly="0" labelOnly="1" fieldPosition="0">
        <references count="2">
          <reference field="0" count="1" selected="0">
            <x v="102"/>
          </reference>
          <reference field="1" count="1">
            <x v="89"/>
          </reference>
        </references>
      </pivotArea>
    </format>
    <format dxfId="1006">
      <pivotArea dataOnly="0" labelOnly="1" fieldPosition="0">
        <references count="2">
          <reference field="0" count="1" selected="0">
            <x v="103"/>
          </reference>
          <reference field="1" count="1">
            <x v="90"/>
          </reference>
        </references>
      </pivotArea>
    </format>
    <format dxfId="1005">
      <pivotArea dataOnly="0" labelOnly="1" fieldPosition="0">
        <references count="2">
          <reference field="0" count="1" selected="0">
            <x v="104"/>
          </reference>
          <reference field="1" count="1">
            <x v="91"/>
          </reference>
        </references>
      </pivotArea>
    </format>
    <format dxfId="1004">
      <pivotArea dataOnly="0" labelOnly="1" fieldPosition="0">
        <references count="2">
          <reference field="0" count="1" selected="0">
            <x v="105"/>
          </reference>
          <reference field="1" count="1">
            <x v="92"/>
          </reference>
        </references>
      </pivotArea>
    </format>
    <format dxfId="1003">
      <pivotArea dataOnly="0" labelOnly="1" fieldPosition="0">
        <references count="2">
          <reference field="0" count="1" selected="0">
            <x v="106"/>
          </reference>
          <reference field="1" count="1">
            <x v="93"/>
          </reference>
        </references>
      </pivotArea>
    </format>
    <format dxfId="1002">
      <pivotArea dataOnly="0" labelOnly="1" fieldPosition="0">
        <references count="2">
          <reference field="0" count="1" selected="0">
            <x v="107"/>
          </reference>
          <reference field="1" count="1">
            <x v="94"/>
          </reference>
        </references>
      </pivotArea>
    </format>
    <format dxfId="1001">
      <pivotArea dataOnly="0" labelOnly="1" fieldPosition="0">
        <references count="2">
          <reference field="0" count="1" selected="0">
            <x v="108"/>
          </reference>
          <reference field="1" count="1">
            <x v="95"/>
          </reference>
        </references>
      </pivotArea>
    </format>
    <format dxfId="1000">
      <pivotArea dataOnly="0" labelOnly="1" fieldPosition="0">
        <references count="2">
          <reference field="0" count="1" selected="0">
            <x v="110"/>
          </reference>
          <reference field="1" count="1">
            <x v="97"/>
          </reference>
        </references>
      </pivotArea>
    </format>
    <format dxfId="999">
      <pivotArea dataOnly="0" labelOnly="1" fieldPosition="0">
        <references count="2">
          <reference field="0" count="1" selected="0">
            <x v="111"/>
          </reference>
          <reference field="1" count="1">
            <x v="98"/>
          </reference>
        </references>
      </pivotArea>
    </format>
    <format dxfId="998">
      <pivotArea dataOnly="0" labelOnly="1" fieldPosition="0">
        <references count="2">
          <reference field="0" count="1" selected="0">
            <x v="113"/>
          </reference>
          <reference field="1" count="1">
            <x v="100"/>
          </reference>
        </references>
      </pivotArea>
    </format>
    <format dxfId="997">
      <pivotArea dataOnly="0" labelOnly="1" fieldPosition="0">
        <references count="2">
          <reference field="0" count="1" selected="0">
            <x v="119"/>
          </reference>
          <reference field="1" count="1">
            <x v="106"/>
          </reference>
        </references>
      </pivotArea>
    </format>
    <format dxfId="996">
      <pivotArea dataOnly="0" labelOnly="1" fieldPosition="0">
        <references count="2">
          <reference field="0" count="1" selected="0">
            <x v="120"/>
          </reference>
          <reference field="1" count="1">
            <x v="107"/>
          </reference>
        </references>
      </pivotArea>
    </format>
    <format dxfId="995">
      <pivotArea dataOnly="0" labelOnly="1" fieldPosition="0">
        <references count="2">
          <reference field="0" count="1" selected="0">
            <x v="121"/>
          </reference>
          <reference field="1" count="1">
            <x v="108"/>
          </reference>
        </references>
      </pivotArea>
    </format>
    <format dxfId="994">
      <pivotArea dataOnly="0" labelOnly="1" fieldPosition="0">
        <references count="2">
          <reference field="0" count="1" selected="0">
            <x v="122"/>
          </reference>
          <reference field="1" count="1">
            <x v="109"/>
          </reference>
        </references>
      </pivotArea>
    </format>
    <format dxfId="993">
      <pivotArea dataOnly="0" labelOnly="1" fieldPosition="0">
        <references count="2">
          <reference field="0" count="1" selected="0">
            <x v="123"/>
          </reference>
          <reference field="1" count="1">
            <x v="110"/>
          </reference>
        </references>
      </pivotArea>
    </format>
    <format dxfId="992">
      <pivotArea dataOnly="0" labelOnly="1" fieldPosition="0">
        <references count="2">
          <reference field="0" count="1" selected="0">
            <x v="124"/>
          </reference>
          <reference field="1" count="1">
            <x v="111"/>
          </reference>
        </references>
      </pivotArea>
    </format>
    <format dxfId="991">
      <pivotArea dataOnly="0" labelOnly="1" fieldPosition="0">
        <references count="2">
          <reference field="0" count="1" selected="0">
            <x v="125"/>
          </reference>
          <reference field="1" count="1">
            <x v="112"/>
          </reference>
        </references>
      </pivotArea>
    </format>
    <format dxfId="990">
      <pivotArea dataOnly="0" labelOnly="1" fieldPosition="0">
        <references count="2">
          <reference field="0" count="1" selected="0">
            <x v="126"/>
          </reference>
          <reference field="1" count="1">
            <x v="113"/>
          </reference>
        </references>
      </pivotArea>
    </format>
    <format dxfId="989">
      <pivotArea dataOnly="0" labelOnly="1" fieldPosition="0">
        <references count="2">
          <reference field="0" count="1" selected="0">
            <x v="127"/>
          </reference>
          <reference field="1" count="1">
            <x v="114"/>
          </reference>
        </references>
      </pivotArea>
    </format>
    <format dxfId="988">
      <pivotArea dataOnly="0" labelOnly="1" fieldPosition="0">
        <references count="2">
          <reference field="0" count="1" selected="0">
            <x v="128"/>
          </reference>
          <reference field="1" count="1">
            <x v="115"/>
          </reference>
        </references>
      </pivotArea>
    </format>
    <format dxfId="987">
      <pivotArea dataOnly="0" labelOnly="1" fieldPosition="0">
        <references count="2">
          <reference field="0" count="1" selected="0">
            <x v="129"/>
          </reference>
          <reference field="1" count="1">
            <x v="116"/>
          </reference>
        </references>
      </pivotArea>
    </format>
    <format dxfId="986">
      <pivotArea dataOnly="0" labelOnly="1" fieldPosition="0">
        <references count="2">
          <reference field="0" count="1" selected="0">
            <x v="130"/>
          </reference>
          <reference field="1" count="1">
            <x v="117"/>
          </reference>
        </references>
      </pivotArea>
    </format>
    <format dxfId="985">
      <pivotArea dataOnly="0" labelOnly="1" fieldPosition="0">
        <references count="2">
          <reference field="0" count="1" selected="0">
            <x v="134"/>
          </reference>
          <reference field="1" count="1">
            <x v="127"/>
          </reference>
        </references>
      </pivotArea>
    </format>
    <format dxfId="984">
      <pivotArea dataOnly="0" labelOnly="1" fieldPosition="0">
        <references count="2">
          <reference field="0" count="1" selected="0">
            <x v="135"/>
          </reference>
          <reference field="1" count="1">
            <x v="128"/>
          </reference>
        </references>
      </pivotArea>
    </format>
    <format dxfId="983">
      <pivotArea dataOnly="0" labelOnly="1" fieldPosition="0">
        <references count="2">
          <reference field="0" count="1" selected="0">
            <x v="136"/>
          </reference>
          <reference field="1" count="1">
            <x v="129"/>
          </reference>
        </references>
      </pivotArea>
    </format>
    <format dxfId="982">
      <pivotArea dataOnly="0" labelOnly="1" fieldPosition="0">
        <references count="2">
          <reference field="0" count="1" selected="0">
            <x v="144"/>
          </reference>
          <reference field="1" count="1">
            <x v="137"/>
          </reference>
        </references>
      </pivotArea>
    </format>
    <format dxfId="981">
      <pivotArea dataOnly="0" labelOnly="1" fieldPosition="0">
        <references count="2">
          <reference field="0" count="1" selected="0">
            <x v="146"/>
          </reference>
          <reference field="1" count="1">
            <x v="139"/>
          </reference>
        </references>
      </pivotArea>
    </format>
    <format dxfId="980">
      <pivotArea dataOnly="0" labelOnly="1" fieldPosition="0">
        <references count="2">
          <reference field="0" count="1" selected="0">
            <x v="147"/>
          </reference>
          <reference field="1" count="1">
            <x v="140"/>
          </reference>
        </references>
      </pivotArea>
    </format>
    <format dxfId="979">
      <pivotArea dataOnly="0" labelOnly="1" fieldPosition="0">
        <references count="2">
          <reference field="0" count="1" selected="0">
            <x v="148"/>
          </reference>
          <reference field="1" count="1">
            <x v="141"/>
          </reference>
        </references>
      </pivotArea>
    </format>
    <format dxfId="978">
      <pivotArea dataOnly="0" labelOnly="1" fieldPosition="0">
        <references count="2">
          <reference field="0" count="1" selected="0">
            <x v="149"/>
          </reference>
          <reference field="1" count="1">
            <x v="142"/>
          </reference>
        </references>
      </pivotArea>
    </format>
    <format dxfId="977">
      <pivotArea dataOnly="0" labelOnly="1" fieldPosition="0">
        <references count="2">
          <reference field="0" count="1" selected="0">
            <x v="150"/>
          </reference>
          <reference field="1" count="1">
            <x v="143"/>
          </reference>
        </references>
      </pivotArea>
    </format>
    <format dxfId="976">
      <pivotArea dataOnly="0" labelOnly="1" fieldPosition="0">
        <references count="2">
          <reference field="0" count="1" selected="0">
            <x v="151"/>
          </reference>
          <reference field="1" count="1">
            <x v="144"/>
          </reference>
        </references>
      </pivotArea>
    </format>
    <format dxfId="975">
      <pivotArea dataOnly="0" labelOnly="1" fieldPosition="0">
        <references count="2">
          <reference field="0" count="1" selected="0">
            <x v="152"/>
          </reference>
          <reference field="1" count="1">
            <x v="145"/>
          </reference>
        </references>
      </pivotArea>
    </format>
    <format dxfId="974">
      <pivotArea dataOnly="0" labelOnly="1" fieldPosition="0">
        <references count="2">
          <reference field="0" count="1" selected="0">
            <x v="153"/>
          </reference>
          <reference field="1" count="1">
            <x v="146"/>
          </reference>
        </references>
      </pivotArea>
    </format>
    <format dxfId="973">
      <pivotArea dataOnly="0" labelOnly="1" fieldPosition="0">
        <references count="2">
          <reference field="0" count="1" selected="0">
            <x v="154"/>
          </reference>
          <reference field="1" count="1">
            <x v="147"/>
          </reference>
        </references>
      </pivotArea>
    </format>
    <format dxfId="972">
      <pivotArea dataOnly="0" labelOnly="1" fieldPosition="0">
        <references count="2">
          <reference field="0" count="1" selected="0">
            <x v="155"/>
          </reference>
          <reference field="1" count="1">
            <x v="148"/>
          </reference>
        </references>
      </pivotArea>
    </format>
    <format dxfId="971">
      <pivotArea dataOnly="0" labelOnly="1" fieldPosition="0">
        <references count="2">
          <reference field="0" count="1" selected="0">
            <x v="159"/>
          </reference>
          <reference field="1" count="1">
            <x v="183"/>
          </reference>
        </references>
      </pivotArea>
    </format>
    <format dxfId="970">
      <pivotArea dataOnly="0" labelOnly="1" fieldPosition="0">
        <references count="2">
          <reference field="0" count="1" selected="0">
            <x v="160"/>
          </reference>
          <reference field="1" count="1">
            <x v="184"/>
          </reference>
        </references>
      </pivotArea>
    </format>
    <format dxfId="969">
      <pivotArea dataOnly="0" labelOnly="1" fieldPosition="0">
        <references count="2">
          <reference field="0" count="1" selected="0">
            <x v="161"/>
          </reference>
          <reference field="1" count="1">
            <x v="185"/>
          </reference>
        </references>
      </pivotArea>
    </format>
    <format dxfId="968">
      <pivotArea dataOnly="0" labelOnly="1" fieldPosition="0">
        <references count="2">
          <reference field="0" count="1" selected="0">
            <x v="162"/>
          </reference>
          <reference field="1" count="1">
            <x v="186"/>
          </reference>
        </references>
      </pivotArea>
    </format>
    <format dxfId="967">
      <pivotArea dataOnly="0" labelOnly="1" fieldPosition="0">
        <references count="2">
          <reference field="0" count="1" selected="0">
            <x v="164"/>
          </reference>
          <reference field="1" count="1">
            <x v="188"/>
          </reference>
        </references>
      </pivotArea>
    </format>
    <format dxfId="966">
      <pivotArea dataOnly="0" labelOnly="1" fieldPosition="0">
        <references count="2">
          <reference field="0" count="1" selected="0">
            <x v="165"/>
          </reference>
          <reference field="1" count="1">
            <x v="189"/>
          </reference>
        </references>
      </pivotArea>
    </format>
    <format dxfId="965">
      <pivotArea dataOnly="0" labelOnly="1" fieldPosition="0">
        <references count="2">
          <reference field="0" count="1" selected="0">
            <x v="166"/>
          </reference>
          <reference field="1" count="1">
            <x v="190"/>
          </reference>
        </references>
      </pivotArea>
    </format>
    <format dxfId="964">
      <pivotArea dataOnly="0" labelOnly="1" fieldPosition="0">
        <references count="2">
          <reference field="0" count="1" selected="0">
            <x v="167"/>
          </reference>
          <reference field="1" count="1">
            <x v="199"/>
          </reference>
        </references>
      </pivotArea>
    </format>
    <format dxfId="963">
      <pivotArea dataOnly="0" labelOnly="1" fieldPosition="0">
        <references count="2">
          <reference field="0" count="1" selected="0">
            <x v="168"/>
          </reference>
          <reference field="1" count="1">
            <x v="200"/>
          </reference>
        </references>
      </pivotArea>
    </format>
    <format dxfId="962">
      <pivotArea dataOnly="0" labelOnly="1" fieldPosition="0">
        <references count="2">
          <reference field="0" count="1" selected="0">
            <x v="171"/>
          </reference>
          <reference field="1" count="1">
            <x v="203"/>
          </reference>
        </references>
      </pivotArea>
    </format>
    <format dxfId="961">
      <pivotArea dataOnly="0" labelOnly="1" fieldPosition="0">
        <references count="2">
          <reference field="0" count="1" selected="0">
            <x v="172"/>
          </reference>
          <reference field="1" count="1">
            <x v="204"/>
          </reference>
        </references>
      </pivotArea>
    </format>
    <format dxfId="960">
      <pivotArea dataOnly="0" labelOnly="1" fieldPosition="0">
        <references count="2">
          <reference field="0" count="1" selected="0">
            <x v="173"/>
          </reference>
          <reference field="1" count="1">
            <x v="205"/>
          </reference>
        </references>
      </pivotArea>
    </format>
    <format dxfId="959">
      <pivotArea dataOnly="0" labelOnly="1" fieldPosition="0">
        <references count="2">
          <reference field="0" count="1" selected="0">
            <x v="175"/>
          </reference>
          <reference field="1" count="1">
            <x v="207"/>
          </reference>
        </references>
      </pivotArea>
    </format>
    <format dxfId="958">
      <pivotArea dataOnly="0" labelOnly="1" fieldPosition="0">
        <references count="2">
          <reference field="0" count="1" selected="0">
            <x v="176"/>
          </reference>
          <reference field="1" count="1">
            <x v="208"/>
          </reference>
        </references>
      </pivotArea>
    </format>
    <format dxfId="957">
      <pivotArea dataOnly="0" labelOnly="1" fieldPosition="0">
        <references count="2">
          <reference field="0" count="1" selected="0">
            <x v="177"/>
          </reference>
          <reference field="1" count="1">
            <x v="209"/>
          </reference>
        </references>
      </pivotArea>
    </format>
    <format dxfId="956">
      <pivotArea dataOnly="0" labelOnly="1" fieldPosition="0">
        <references count="2">
          <reference field="0" count="1" selected="0">
            <x v="178"/>
          </reference>
          <reference field="1" count="1">
            <x v="210"/>
          </reference>
        </references>
      </pivotArea>
    </format>
    <format dxfId="955">
      <pivotArea dataOnly="0" labelOnly="1" fieldPosition="0">
        <references count="2">
          <reference field="0" count="1" selected="0">
            <x v="179"/>
          </reference>
          <reference field="1" count="1">
            <x v="211"/>
          </reference>
        </references>
      </pivotArea>
    </format>
    <format dxfId="954">
      <pivotArea dataOnly="0" labelOnly="1" fieldPosition="0">
        <references count="2">
          <reference field="0" count="1" selected="0">
            <x v="180"/>
          </reference>
          <reference field="1" count="1">
            <x v="212"/>
          </reference>
        </references>
      </pivotArea>
    </format>
    <format dxfId="953">
      <pivotArea dataOnly="0" labelOnly="1" fieldPosition="0">
        <references count="2">
          <reference field="0" count="1" selected="0">
            <x v="181"/>
          </reference>
          <reference field="1" count="1">
            <x v="213"/>
          </reference>
        </references>
      </pivotArea>
    </format>
    <format dxfId="952">
      <pivotArea dataOnly="0" labelOnly="1" fieldPosition="0">
        <references count="2">
          <reference field="0" count="1" selected="0">
            <x v="182"/>
          </reference>
          <reference field="1" count="1">
            <x v="214"/>
          </reference>
        </references>
      </pivotArea>
    </format>
    <format dxfId="951">
      <pivotArea dataOnly="0" labelOnly="1" fieldPosition="0">
        <references count="2">
          <reference field="0" count="1" selected="0">
            <x v="183"/>
          </reference>
          <reference field="1" count="1">
            <x v="215"/>
          </reference>
        </references>
      </pivotArea>
    </format>
    <format dxfId="950">
      <pivotArea dataOnly="0" labelOnly="1" fieldPosition="0">
        <references count="2">
          <reference field="0" count="1" selected="0">
            <x v="184"/>
          </reference>
          <reference field="1" count="1">
            <x v="216"/>
          </reference>
        </references>
      </pivotArea>
    </format>
    <format dxfId="949">
      <pivotArea dataOnly="0" labelOnly="1" fieldPosition="0">
        <references count="2">
          <reference field="0" count="1" selected="0">
            <x v="185"/>
          </reference>
          <reference field="1" count="1">
            <x v="217"/>
          </reference>
        </references>
      </pivotArea>
    </format>
    <format dxfId="948">
      <pivotArea dataOnly="0" labelOnly="1" fieldPosition="0">
        <references count="2">
          <reference field="0" count="1" selected="0">
            <x v="186"/>
          </reference>
          <reference field="1" count="1">
            <x v="218"/>
          </reference>
        </references>
      </pivotArea>
    </format>
    <format dxfId="947">
      <pivotArea dataOnly="0" labelOnly="1" fieldPosition="0">
        <references count="2">
          <reference field="0" count="1" selected="0">
            <x v="187"/>
          </reference>
          <reference field="1" count="1">
            <x v="219"/>
          </reference>
        </references>
      </pivotArea>
    </format>
    <format dxfId="946">
      <pivotArea dataOnly="0" labelOnly="1" fieldPosition="0">
        <references count="2">
          <reference field="0" count="1" selected="0">
            <x v="188"/>
          </reference>
          <reference field="1" count="1">
            <x v="220"/>
          </reference>
        </references>
      </pivotArea>
    </format>
    <format dxfId="945">
      <pivotArea dataOnly="0" labelOnly="1" fieldPosition="0">
        <references count="2">
          <reference field="0" count="1" selected="0">
            <x v="189"/>
          </reference>
          <reference field="1" count="1">
            <x v="221"/>
          </reference>
        </references>
      </pivotArea>
    </format>
    <format dxfId="944">
      <pivotArea dataOnly="0" labelOnly="1" fieldPosition="0">
        <references count="2">
          <reference field="0" count="1" selected="0">
            <x v="192"/>
          </reference>
          <reference field="1" count="1">
            <x v="224"/>
          </reference>
        </references>
      </pivotArea>
    </format>
    <format dxfId="943">
      <pivotArea dataOnly="0" labelOnly="1" fieldPosition="0">
        <references count="2">
          <reference field="0" count="1" selected="0">
            <x v="193"/>
          </reference>
          <reference field="1" count="1">
            <x v="225"/>
          </reference>
        </references>
      </pivotArea>
    </format>
    <format dxfId="942">
      <pivotArea dataOnly="0" labelOnly="1" fieldPosition="0">
        <references count="2">
          <reference field="0" count="1" selected="0">
            <x v="197"/>
          </reference>
          <reference field="1" count="1">
            <x v="236"/>
          </reference>
        </references>
      </pivotArea>
    </format>
    <format dxfId="941">
      <pivotArea dataOnly="0" labelOnly="1" fieldPosition="0">
        <references count="2">
          <reference field="0" count="1" selected="0">
            <x v="199"/>
          </reference>
          <reference field="1" count="1">
            <x v="238"/>
          </reference>
        </references>
      </pivotArea>
    </format>
    <format dxfId="940">
      <pivotArea dataOnly="0" labelOnly="1" fieldPosition="0">
        <references count="2">
          <reference field="0" count="1" selected="0">
            <x v="200"/>
          </reference>
          <reference field="1" count="1">
            <x v="239"/>
          </reference>
        </references>
      </pivotArea>
    </format>
    <format dxfId="939">
      <pivotArea dataOnly="0" labelOnly="1" fieldPosition="0">
        <references count="2">
          <reference field="0" count="1" selected="0">
            <x v="201"/>
          </reference>
          <reference field="1" count="1">
            <x v="240"/>
          </reference>
        </references>
      </pivotArea>
    </format>
    <format dxfId="938">
      <pivotArea dataOnly="0" labelOnly="1" fieldPosition="0">
        <references count="2">
          <reference field="0" count="1" selected="0">
            <x v="204"/>
          </reference>
          <reference field="1" count="1">
            <x v="149"/>
          </reference>
        </references>
      </pivotArea>
    </format>
    <format dxfId="937">
      <pivotArea dataOnly="0" labelOnly="1" fieldPosition="0">
        <references count="2">
          <reference field="0" count="1" selected="0">
            <x v="206"/>
          </reference>
          <reference field="1" count="1">
            <x v="151"/>
          </reference>
        </references>
      </pivotArea>
    </format>
    <format dxfId="936">
      <pivotArea dataOnly="0" labelOnly="1" fieldPosition="0">
        <references count="2">
          <reference field="0" count="1" selected="0">
            <x v="207"/>
          </reference>
          <reference field="1" count="1">
            <x v="152"/>
          </reference>
        </references>
      </pivotArea>
    </format>
    <format dxfId="935">
      <pivotArea dataOnly="0" labelOnly="1" fieldPosition="0">
        <references count="2">
          <reference field="0" count="1" selected="0">
            <x v="208"/>
          </reference>
          <reference field="1" count="1">
            <x v="153"/>
          </reference>
        </references>
      </pivotArea>
    </format>
    <format dxfId="934">
      <pivotArea dataOnly="0" labelOnly="1" fieldPosition="0">
        <references count="2">
          <reference field="0" count="1" selected="0">
            <x v="209"/>
          </reference>
          <reference field="1" count="1">
            <x v="154"/>
          </reference>
        </references>
      </pivotArea>
    </format>
    <format dxfId="933">
      <pivotArea dataOnly="0" labelOnly="1" fieldPosition="0">
        <references count="2">
          <reference field="0" count="1" selected="0">
            <x v="210"/>
          </reference>
          <reference field="1" count="1">
            <x v="155"/>
          </reference>
        </references>
      </pivotArea>
    </format>
    <format dxfId="932">
      <pivotArea dataOnly="0" labelOnly="1" fieldPosition="0">
        <references count="2">
          <reference field="0" count="1" selected="0">
            <x v="211"/>
          </reference>
          <reference field="1" count="1">
            <x v="156"/>
          </reference>
        </references>
      </pivotArea>
    </format>
    <format dxfId="931">
      <pivotArea dataOnly="0" labelOnly="1" fieldPosition="0">
        <references count="2">
          <reference field="0" count="1" selected="0">
            <x v="212"/>
          </reference>
          <reference field="1" count="1">
            <x v="157"/>
          </reference>
        </references>
      </pivotArea>
    </format>
    <format dxfId="930">
      <pivotArea dataOnly="0" labelOnly="1" fieldPosition="0">
        <references count="2">
          <reference field="0" count="1" selected="0">
            <x v="214"/>
          </reference>
          <reference field="1" count="1">
            <x v="159"/>
          </reference>
        </references>
      </pivotArea>
    </format>
    <format dxfId="929">
      <pivotArea dataOnly="0" labelOnly="1" fieldPosition="0">
        <references count="2">
          <reference field="0" count="1" selected="0">
            <x v="215"/>
          </reference>
          <reference field="1" count="1">
            <x v="160"/>
          </reference>
        </references>
      </pivotArea>
    </format>
    <format dxfId="928">
      <pivotArea dataOnly="0" labelOnly="1" fieldPosition="0">
        <references count="2">
          <reference field="0" count="1" selected="0">
            <x v="216"/>
          </reference>
          <reference field="1" count="1">
            <x v="161"/>
          </reference>
        </references>
      </pivotArea>
    </format>
    <format dxfId="927">
      <pivotArea dataOnly="0" labelOnly="1" fieldPosition="0">
        <references count="2">
          <reference field="0" count="1" selected="0">
            <x v="217"/>
          </reference>
          <reference field="1" count="1">
            <x v="162"/>
          </reference>
        </references>
      </pivotArea>
    </format>
    <format dxfId="926">
      <pivotArea dataOnly="0" labelOnly="1" fieldPosition="0">
        <references count="2">
          <reference field="0" count="1" selected="0">
            <x v="218"/>
          </reference>
          <reference field="1" count="1">
            <x v="163"/>
          </reference>
        </references>
      </pivotArea>
    </format>
    <format dxfId="925">
      <pivotArea dataOnly="0" labelOnly="1" fieldPosition="0">
        <references count="2">
          <reference field="0" count="1" selected="0">
            <x v="219"/>
          </reference>
          <reference field="1" count="1">
            <x v="164"/>
          </reference>
        </references>
      </pivotArea>
    </format>
    <format dxfId="924">
      <pivotArea dataOnly="0" labelOnly="1" fieldPosition="0">
        <references count="2">
          <reference field="0" count="1" selected="0">
            <x v="220"/>
          </reference>
          <reference field="1" count="1">
            <x v="165"/>
          </reference>
        </references>
      </pivotArea>
    </format>
    <format dxfId="923">
      <pivotArea dataOnly="0" labelOnly="1" fieldPosition="0">
        <references count="2">
          <reference field="0" count="1" selected="0">
            <x v="221"/>
          </reference>
          <reference field="1" count="1">
            <x v="166"/>
          </reference>
        </references>
      </pivotArea>
    </format>
    <format dxfId="922">
      <pivotArea dataOnly="0" labelOnly="1" fieldPosition="0">
        <references count="2">
          <reference field="0" count="1" selected="0">
            <x v="223"/>
          </reference>
          <reference field="1" count="1">
            <x v="168"/>
          </reference>
        </references>
      </pivotArea>
    </format>
    <format dxfId="921">
      <pivotArea dataOnly="0" labelOnly="1" fieldPosition="0">
        <references count="2">
          <reference field="0" count="1" selected="0">
            <x v="224"/>
          </reference>
          <reference field="1" count="1">
            <x v="169"/>
          </reference>
        </references>
      </pivotArea>
    </format>
    <format dxfId="920">
      <pivotArea dataOnly="0" labelOnly="1" fieldPosition="0">
        <references count="2">
          <reference field="0" count="1" selected="0">
            <x v="225"/>
          </reference>
          <reference field="1" count="1">
            <x v="170"/>
          </reference>
        </references>
      </pivotArea>
    </format>
    <format dxfId="919">
      <pivotArea dataOnly="0" labelOnly="1" fieldPosition="0">
        <references count="2">
          <reference field="0" count="1" selected="0">
            <x v="226"/>
          </reference>
          <reference field="1" count="1">
            <x v="171"/>
          </reference>
        </references>
      </pivotArea>
    </format>
    <format dxfId="918">
      <pivotArea dataOnly="0" labelOnly="1" fieldPosition="0">
        <references count="2">
          <reference field="0" count="1" selected="0">
            <x v="227"/>
          </reference>
          <reference field="1" count="1">
            <x v="172"/>
          </reference>
        </references>
      </pivotArea>
    </format>
    <format dxfId="917">
      <pivotArea dataOnly="0" labelOnly="1" fieldPosition="0">
        <references count="2">
          <reference field="0" count="1" selected="0">
            <x v="228"/>
          </reference>
          <reference field="1" count="1">
            <x v="173"/>
          </reference>
        </references>
      </pivotArea>
    </format>
    <format dxfId="916">
      <pivotArea dataOnly="0" labelOnly="1" fieldPosition="0">
        <references count="2">
          <reference field="0" count="1" selected="0">
            <x v="229"/>
          </reference>
          <reference field="1" count="1">
            <x v="174"/>
          </reference>
        </references>
      </pivotArea>
    </format>
    <format dxfId="915">
      <pivotArea dataOnly="0" labelOnly="1" fieldPosition="0">
        <references count="2">
          <reference field="0" count="1" selected="0">
            <x v="230"/>
          </reference>
          <reference field="1" count="1">
            <x v="175"/>
          </reference>
        </references>
      </pivotArea>
    </format>
    <format dxfId="914">
      <pivotArea dataOnly="0" labelOnly="1" fieldPosition="0">
        <references count="2">
          <reference field="0" count="1" selected="0">
            <x v="231"/>
          </reference>
          <reference field="1" count="1">
            <x v="176"/>
          </reference>
        </references>
      </pivotArea>
    </format>
    <format dxfId="913">
      <pivotArea dataOnly="0" labelOnly="1" fieldPosition="0">
        <references count="2">
          <reference field="0" count="1" selected="0">
            <x v="232"/>
          </reference>
          <reference field="1" count="1">
            <x v="177"/>
          </reference>
        </references>
      </pivotArea>
    </format>
    <format dxfId="912">
      <pivotArea dataOnly="0" labelOnly="1" fieldPosition="0">
        <references count="2">
          <reference field="0" count="1" selected="0">
            <x v="233"/>
          </reference>
          <reference field="1" count="1">
            <x v="178"/>
          </reference>
        </references>
      </pivotArea>
    </format>
    <format dxfId="911">
      <pivotArea dataOnly="0" labelOnly="1" fieldPosition="0">
        <references count="2">
          <reference field="0" count="1" selected="0">
            <x v="234"/>
          </reference>
          <reference field="1" count="1">
            <x v="179"/>
          </reference>
        </references>
      </pivotArea>
    </format>
    <format dxfId="910">
      <pivotArea dataOnly="0" labelOnly="1" fieldPosition="0">
        <references count="2">
          <reference field="0" count="1" selected="0">
            <x v="235"/>
          </reference>
          <reference field="1" count="1">
            <x v="191"/>
          </reference>
        </references>
      </pivotArea>
    </format>
    <format dxfId="909">
      <pivotArea dataOnly="0" labelOnly="1" fieldPosition="0">
        <references count="2">
          <reference field="0" count="1" selected="0">
            <x v="236"/>
          </reference>
          <reference field="1" count="1">
            <x v="192"/>
          </reference>
        </references>
      </pivotArea>
    </format>
    <format dxfId="908">
      <pivotArea dataOnly="0" labelOnly="1" fieldPosition="0">
        <references count="2">
          <reference field="0" count="1" selected="0">
            <x v="237"/>
          </reference>
          <reference field="1" count="1">
            <x v="193"/>
          </reference>
        </references>
      </pivotArea>
    </format>
    <format dxfId="907">
      <pivotArea dataOnly="0" labelOnly="1" fieldPosition="0">
        <references count="2">
          <reference field="0" count="1" selected="0">
            <x v="238"/>
          </reference>
          <reference field="1" count="1">
            <x v="194"/>
          </reference>
        </references>
      </pivotArea>
    </format>
    <format dxfId="906">
      <pivotArea dataOnly="0" labelOnly="1" fieldPosition="0">
        <references count="2">
          <reference field="0" count="1" selected="0">
            <x v="239"/>
          </reference>
          <reference field="1" count="1">
            <x v="195"/>
          </reference>
        </references>
      </pivotArea>
    </format>
    <format dxfId="905">
      <pivotArea dataOnly="0" labelOnly="1" fieldPosition="0">
        <references count="2">
          <reference field="0" count="1" selected="0">
            <x v="240"/>
          </reference>
          <reference field="1" count="1">
            <x v="196"/>
          </reference>
        </references>
      </pivotArea>
    </format>
    <format dxfId="904">
      <pivotArea dataOnly="0" labelOnly="1" fieldPosition="0">
        <references count="2">
          <reference field="0" count="1" selected="0">
            <x v="241"/>
          </reference>
          <reference field="1" count="1">
            <x v="197"/>
          </reference>
        </references>
      </pivotArea>
    </format>
    <format dxfId="903">
      <pivotArea dataOnly="0" labelOnly="1" fieldPosition="0">
        <references count="2">
          <reference field="0" count="1" selected="0">
            <x v="242"/>
          </reference>
          <reference field="1" count="1">
            <x v="198"/>
          </reference>
        </references>
      </pivotArea>
    </format>
    <format dxfId="902">
      <pivotArea dataOnly="0" labelOnly="1" fieldPosition="0">
        <references count="3">
          <reference field="0" count="1" selected="0">
            <x v="0"/>
          </reference>
          <reference field="1" count="1" selected="0">
            <x v="228"/>
          </reference>
          <reference field="2" count="1">
            <x v="153"/>
          </reference>
        </references>
      </pivotArea>
    </format>
    <format dxfId="901">
      <pivotArea dataOnly="0" labelOnly="1" fieldPosition="0">
        <references count="3">
          <reference field="0" count="1" selected="0">
            <x v="2"/>
          </reference>
          <reference field="1" count="1" selected="0">
            <x v="230"/>
          </reference>
          <reference field="2" count="1">
            <x v="225"/>
          </reference>
        </references>
      </pivotArea>
    </format>
    <format dxfId="900">
      <pivotArea dataOnly="0" labelOnly="1" fieldPosition="0">
        <references count="3">
          <reference field="0" count="1" selected="0">
            <x v="3"/>
          </reference>
          <reference field="1" count="1" selected="0">
            <x v="231"/>
          </reference>
          <reference field="2" count="1">
            <x v="88"/>
          </reference>
        </references>
      </pivotArea>
    </format>
    <format dxfId="899">
      <pivotArea dataOnly="0" labelOnly="1" fieldPosition="0">
        <references count="3">
          <reference field="0" count="1" selected="0">
            <x v="4"/>
          </reference>
          <reference field="1" count="1" selected="0">
            <x v="232"/>
          </reference>
          <reference field="2" count="1">
            <x v="90"/>
          </reference>
        </references>
      </pivotArea>
    </format>
    <format dxfId="898">
      <pivotArea dataOnly="0" labelOnly="1" fieldPosition="0">
        <references count="3">
          <reference field="0" count="1" selected="0">
            <x v="5"/>
          </reference>
          <reference field="1" count="1" selected="0">
            <x v="233"/>
          </reference>
          <reference field="2" count="1">
            <x v="224"/>
          </reference>
        </references>
      </pivotArea>
    </format>
    <format dxfId="897">
      <pivotArea dataOnly="0" labelOnly="1" fieldPosition="0">
        <references count="3">
          <reference field="0" count="1" selected="0">
            <x v="7"/>
          </reference>
          <reference field="1" count="1" selected="0">
            <x v="118"/>
          </reference>
          <reference field="2" count="1">
            <x v="171"/>
          </reference>
        </references>
      </pivotArea>
    </format>
    <format dxfId="896">
      <pivotArea dataOnly="0" labelOnly="1" fieldPosition="0">
        <references count="3">
          <reference field="0" count="1" selected="0">
            <x v="9"/>
          </reference>
          <reference field="1" count="1" selected="0">
            <x v="120"/>
          </reference>
          <reference field="2" count="1">
            <x v="168"/>
          </reference>
        </references>
      </pivotArea>
    </format>
    <format dxfId="895">
      <pivotArea dataOnly="0" labelOnly="1" fieldPosition="0">
        <references count="3">
          <reference field="0" count="1" selected="0">
            <x v="10"/>
          </reference>
          <reference field="1" count="1" selected="0">
            <x v="121"/>
          </reference>
          <reference field="2" count="1">
            <x v="82"/>
          </reference>
        </references>
      </pivotArea>
    </format>
    <format dxfId="894">
      <pivotArea dataOnly="0" labelOnly="1" fieldPosition="0">
        <references count="3">
          <reference field="0" count="1" selected="0">
            <x v="11"/>
          </reference>
          <reference field="1" count="1" selected="0">
            <x v="122"/>
          </reference>
          <reference field="2" count="1">
            <x v="26"/>
          </reference>
        </references>
      </pivotArea>
    </format>
    <format dxfId="893">
      <pivotArea dataOnly="0" labelOnly="1" fieldPosition="0">
        <references count="3">
          <reference field="0" count="1" selected="0">
            <x v="12"/>
          </reference>
          <reference field="1" count="1" selected="0">
            <x v="123"/>
          </reference>
          <reference field="2" count="1">
            <x v="150"/>
          </reference>
        </references>
      </pivotArea>
    </format>
    <format dxfId="892">
      <pivotArea dataOnly="0" labelOnly="1" fieldPosition="0">
        <references count="3">
          <reference field="0" count="1" selected="0">
            <x v="16"/>
          </reference>
          <reference field="1" count="1" selected="0">
            <x v="64"/>
          </reference>
          <reference field="2" count="1">
            <x v="157"/>
          </reference>
        </references>
      </pivotArea>
    </format>
    <format dxfId="891">
      <pivotArea dataOnly="0" labelOnly="1" fieldPosition="0">
        <references count="3">
          <reference field="0" count="1" selected="0">
            <x v="18"/>
          </reference>
          <reference field="1" count="1" selected="0">
            <x v="66"/>
          </reference>
          <reference field="2" count="1">
            <x v="189"/>
          </reference>
        </references>
      </pivotArea>
    </format>
    <format dxfId="890">
      <pivotArea dataOnly="0" labelOnly="1" fieldPosition="0">
        <references count="3">
          <reference field="0" count="1" selected="0">
            <x v="22"/>
          </reference>
          <reference field="1" count="1" selected="0">
            <x v="19"/>
          </reference>
          <reference field="2" count="1">
            <x v="39"/>
          </reference>
        </references>
      </pivotArea>
    </format>
    <format dxfId="889">
      <pivotArea dataOnly="0" labelOnly="1" fieldPosition="0">
        <references count="3">
          <reference field="0" count="1" selected="0">
            <x v="25"/>
          </reference>
          <reference field="1" count="1" selected="0">
            <x v="22"/>
          </reference>
          <reference field="2" count="1">
            <x v="84"/>
          </reference>
        </references>
      </pivotArea>
    </format>
    <format dxfId="888">
      <pivotArea dataOnly="0" labelOnly="1" fieldPosition="0">
        <references count="3">
          <reference field="0" count="1" selected="0">
            <x v="26"/>
          </reference>
          <reference field="1" count="1" selected="0">
            <x v="23"/>
          </reference>
          <reference field="2" count="1">
            <x v="217"/>
          </reference>
        </references>
      </pivotArea>
    </format>
    <format dxfId="887">
      <pivotArea dataOnly="0" labelOnly="1" fieldPosition="0">
        <references count="3">
          <reference field="0" count="1" selected="0">
            <x v="28"/>
          </reference>
          <reference field="1" count="1" selected="0">
            <x v="25"/>
          </reference>
          <reference field="2" count="1">
            <x v="52"/>
          </reference>
        </references>
      </pivotArea>
    </format>
    <format dxfId="886">
      <pivotArea dataOnly="0" labelOnly="1" fieldPosition="0">
        <references count="3">
          <reference field="0" count="1" selected="0">
            <x v="29"/>
          </reference>
          <reference field="1" count="1" selected="0">
            <x v="26"/>
          </reference>
          <reference field="2" count="1">
            <x v="62"/>
          </reference>
        </references>
      </pivotArea>
    </format>
    <format dxfId="885">
      <pivotArea dataOnly="0" labelOnly="1" fieldPosition="0">
        <references count="3">
          <reference field="0" count="1" selected="0">
            <x v="30"/>
          </reference>
          <reference field="1" count="1" selected="0">
            <x v="27"/>
          </reference>
          <reference field="2" count="1">
            <x v="7"/>
          </reference>
        </references>
      </pivotArea>
    </format>
    <format dxfId="884">
      <pivotArea dataOnly="0" labelOnly="1" fieldPosition="0">
        <references count="3">
          <reference field="0" count="1" selected="0">
            <x v="31"/>
          </reference>
          <reference field="1" count="1" selected="0">
            <x v="28"/>
          </reference>
          <reference field="2" count="1">
            <x v="53"/>
          </reference>
        </references>
      </pivotArea>
    </format>
    <format dxfId="883">
      <pivotArea dataOnly="0" labelOnly="1" fieldPosition="0">
        <references count="3">
          <reference field="0" count="1" selected="0">
            <x v="35"/>
          </reference>
          <reference field="1" count="1" selected="0">
            <x v="32"/>
          </reference>
          <reference field="2" count="1">
            <x v="51"/>
          </reference>
        </references>
      </pivotArea>
    </format>
    <format dxfId="882">
      <pivotArea dataOnly="0" labelOnly="1" fieldPosition="0">
        <references count="3">
          <reference field="0" count="1" selected="0">
            <x v="36"/>
          </reference>
          <reference field="1" count="1" selected="0">
            <x v="33"/>
          </reference>
          <reference field="2" count="1">
            <x v="130"/>
          </reference>
        </references>
      </pivotArea>
    </format>
    <format dxfId="881">
      <pivotArea dataOnly="0" labelOnly="1" fieldPosition="0">
        <references count="3">
          <reference field="0" count="1" selected="0">
            <x v="37"/>
          </reference>
          <reference field="1" count="1" selected="0">
            <x v="34"/>
          </reference>
          <reference field="2" count="1">
            <x v="70"/>
          </reference>
        </references>
      </pivotArea>
    </format>
    <format dxfId="880">
      <pivotArea dataOnly="0" labelOnly="1" fieldPosition="0">
        <references count="3">
          <reference field="0" count="1" selected="0">
            <x v="38"/>
          </reference>
          <reference field="1" count="1" selected="0">
            <x v="0"/>
          </reference>
          <reference field="2" count="1">
            <x v="45"/>
          </reference>
        </references>
      </pivotArea>
    </format>
    <format dxfId="879">
      <pivotArea dataOnly="0" labelOnly="1" fieldPosition="0">
        <references count="3">
          <reference field="0" count="1" selected="0">
            <x v="39"/>
          </reference>
          <reference field="1" count="1" selected="0">
            <x v="1"/>
          </reference>
          <reference field="2" count="1">
            <x v="46"/>
          </reference>
        </references>
      </pivotArea>
    </format>
    <format dxfId="878">
      <pivotArea dataOnly="0" labelOnly="1" fieldPosition="0">
        <references count="3">
          <reference field="0" count="1" selected="0">
            <x v="40"/>
          </reference>
          <reference field="1" count="1" selected="0">
            <x v="2"/>
          </reference>
          <reference field="2" count="1">
            <x v="128"/>
          </reference>
        </references>
      </pivotArea>
    </format>
    <format dxfId="877">
      <pivotArea dataOnly="0" labelOnly="1" fieldPosition="0">
        <references count="3">
          <reference field="0" count="1" selected="0">
            <x v="41"/>
          </reference>
          <reference field="1" count="1" selected="0">
            <x v="3"/>
          </reference>
          <reference field="2" count="1">
            <x v="105"/>
          </reference>
        </references>
      </pivotArea>
    </format>
    <format dxfId="876">
      <pivotArea dataOnly="0" labelOnly="1" fieldPosition="0">
        <references count="3">
          <reference field="0" count="1" selected="0">
            <x v="42"/>
          </reference>
          <reference field="1" count="1" selected="0">
            <x v="4"/>
          </reference>
          <reference field="2" count="1">
            <x v="64"/>
          </reference>
        </references>
      </pivotArea>
    </format>
    <format dxfId="875">
      <pivotArea dataOnly="0" labelOnly="1" fieldPosition="0">
        <references count="3">
          <reference field="0" count="1" selected="0">
            <x v="43"/>
          </reference>
          <reference field="1" count="1" selected="0">
            <x v="5"/>
          </reference>
          <reference field="2" count="1">
            <x v="19"/>
          </reference>
        </references>
      </pivotArea>
    </format>
    <format dxfId="874">
      <pivotArea dataOnly="0" labelOnly="1" fieldPosition="0">
        <references count="3">
          <reference field="0" count="1" selected="0">
            <x v="44"/>
          </reference>
          <reference field="1" count="1" selected="0">
            <x v="6"/>
          </reference>
          <reference field="2" count="1">
            <x v="23"/>
          </reference>
        </references>
      </pivotArea>
    </format>
    <format dxfId="873">
      <pivotArea dataOnly="0" labelOnly="1" fieldPosition="0">
        <references count="3">
          <reference field="0" count="1" selected="0">
            <x v="45"/>
          </reference>
          <reference field="1" count="1" selected="0">
            <x v="7"/>
          </reference>
          <reference field="2" count="1">
            <x v="22"/>
          </reference>
        </references>
      </pivotArea>
    </format>
    <format dxfId="872">
      <pivotArea dataOnly="0" labelOnly="1" fieldPosition="0">
        <references count="3">
          <reference field="0" count="1" selected="0">
            <x v="46"/>
          </reference>
          <reference field="1" count="1" selected="0">
            <x v="8"/>
          </reference>
          <reference field="2" count="1">
            <x v="135"/>
          </reference>
        </references>
      </pivotArea>
    </format>
    <format dxfId="871">
      <pivotArea dataOnly="0" labelOnly="1" fieldPosition="0">
        <references count="3">
          <reference field="0" count="1" selected="0">
            <x v="47"/>
          </reference>
          <reference field="1" count="1" selected="0">
            <x v="9"/>
          </reference>
          <reference field="2" count="1">
            <x v="141"/>
          </reference>
        </references>
      </pivotArea>
    </format>
    <format dxfId="870">
      <pivotArea dataOnly="0" labelOnly="1" fieldPosition="0">
        <references count="3">
          <reference field="0" count="1" selected="0">
            <x v="49"/>
          </reference>
          <reference field="1" count="1" selected="0">
            <x v="11"/>
          </reference>
          <reference field="2" count="1">
            <x v="127"/>
          </reference>
        </references>
      </pivotArea>
    </format>
    <format dxfId="869">
      <pivotArea dataOnly="0" labelOnly="1" fieldPosition="0">
        <references count="3">
          <reference field="0" count="1" selected="0">
            <x v="55"/>
          </reference>
          <reference field="1" count="1" selected="0">
            <x v="35"/>
          </reference>
          <reference field="2" count="1">
            <x v="65"/>
          </reference>
        </references>
      </pivotArea>
    </format>
    <format dxfId="868">
      <pivotArea dataOnly="0" labelOnly="1" fieldPosition="0">
        <references count="3">
          <reference field="0" count="1" selected="0">
            <x v="56"/>
          </reference>
          <reference field="1" count="1" selected="0">
            <x v="36"/>
          </reference>
          <reference field="2" count="1">
            <x v="183"/>
          </reference>
        </references>
      </pivotArea>
    </format>
    <format dxfId="867">
      <pivotArea dataOnly="0" labelOnly="1" fieldPosition="0">
        <references count="3">
          <reference field="0" count="1" selected="0">
            <x v="62"/>
          </reference>
          <reference field="1" count="1" selected="0">
            <x v="42"/>
          </reference>
          <reference field="2" count="1">
            <x v="15"/>
          </reference>
        </references>
      </pivotArea>
    </format>
    <format dxfId="866">
      <pivotArea dataOnly="0" labelOnly="1" fieldPosition="0">
        <references count="3">
          <reference field="0" count="1" selected="0">
            <x v="63"/>
          </reference>
          <reference field="1" count="1" selected="0">
            <x v="43"/>
          </reference>
          <reference field="2" count="1">
            <x v="152"/>
          </reference>
        </references>
      </pivotArea>
    </format>
    <format dxfId="865">
      <pivotArea dataOnly="0" labelOnly="1" fieldPosition="0">
        <references count="3">
          <reference field="0" count="1" selected="0">
            <x v="64"/>
          </reference>
          <reference field="1" count="1" selected="0">
            <x v="44"/>
          </reference>
          <reference field="2" count="1">
            <x v="146"/>
          </reference>
        </references>
      </pivotArea>
    </format>
    <format dxfId="864">
      <pivotArea dataOnly="0" labelOnly="1" fieldPosition="0">
        <references count="3">
          <reference field="0" count="1" selected="0">
            <x v="65"/>
          </reference>
          <reference field="1" count="1" selected="0">
            <x v="45"/>
          </reference>
          <reference field="2" count="1">
            <x v="204"/>
          </reference>
        </references>
      </pivotArea>
    </format>
    <format dxfId="863">
      <pivotArea dataOnly="0" labelOnly="1" fieldPosition="0">
        <references count="3">
          <reference field="0" count="1" selected="0">
            <x v="66"/>
          </reference>
          <reference field="1" count="1" selected="0">
            <x v="46"/>
          </reference>
          <reference field="2" count="1">
            <x v="92"/>
          </reference>
        </references>
      </pivotArea>
    </format>
    <format dxfId="862">
      <pivotArea dataOnly="0" labelOnly="1" fieldPosition="0">
        <references count="3">
          <reference field="0" count="1" selected="0">
            <x v="67"/>
          </reference>
          <reference field="1" count="1" selected="0">
            <x v="47"/>
          </reference>
          <reference field="2" count="1">
            <x v="181"/>
          </reference>
        </references>
      </pivotArea>
    </format>
    <format dxfId="861">
      <pivotArea dataOnly="0" labelOnly="1" fieldPosition="0">
        <references count="3">
          <reference field="0" count="1" selected="0">
            <x v="68"/>
          </reference>
          <reference field="1" count="1" selected="0">
            <x v="48"/>
          </reference>
          <reference field="2" count="1">
            <x v="231"/>
          </reference>
        </references>
      </pivotArea>
    </format>
    <format dxfId="860">
      <pivotArea dataOnly="0" labelOnly="1" fieldPosition="0">
        <references count="3">
          <reference field="0" count="1" selected="0">
            <x v="79"/>
          </reference>
          <reference field="1" count="1" selected="0">
            <x v="59"/>
          </reference>
          <reference field="2" count="1">
            <x v="21"/>
          </reference>
        </references>
      </pivotArea>
    </format>
    <format dxfId="859">
      <pivotArea dataOnly="0" labelOnly="1" fieldPosition="0">
        <references count="3">
          <reference field="0" count="1" selected="0">
            <x v="81"/>
          </reference>
          <reference field="1" count="1" selected="0">
            <x v="68"/>
          </reference>
          <reference field="2" count="1">
            <x v="112"/>
          </reference>
        </references>
      </pivotArea>
    </format>
    <format dxfId="858">
      <pivotArea dataOnly="0" labelOnly="1" fieldPosition="0">
        <references count="3">
          <reference field="0" count="1" selected="0">
            <x v="82"/>
          </reference>
          <reference field="1" count="1" selected="0">
            <x v="69"/>
          </reference>
          <reference field="2" count="1">
            <x v="226"/>
          </reference>
        </references>
      </pivotArea>
    </format>
    <format dxfId="857">
      <pivotArea dataOnly="0" labelOnly="1" fieldPosition="0">
        <references count="3">
          <reference field="0" count="1" selected="0">
            <x v="83"/>
          </reference>
          <reference field="1" count="1" selected="0">
            <x v="70"/>
          </reference>
          <reference field="2" count="1">
            <x v="193"/>
          </reference>
        </references>
      </pivotArea>
    </format>
    <format dxfId="856">
      <pivotArea dataOnly="0" labelOnly="1" fieldPosition="0">
        <references count="3">
          <reference field="0" count="1" selected="0">
            <x v="84"/>
          </reference>
          <reference field="1" count="1" selected="0">
            <x v="71"/>
          </reference>
          <reference field="2" count="1">
            <x v="192"/>
          </reference>
        </references>
      </pivotArea>
    </format>
    <format dxfId="855">
      <pivotArea dataOnly="0" labelOnly="1" fieldPosition="0">
        <references count="3">
          <reference field="0" count="1" selected="0">
            <x v="85"/>
          </reference>
          <reference field="1" count="1" selected="0">
            <x v="72"/>
          </reference>
          <reference field="2" count="1">
            <x v="87"/>
          </reference>
        </references>
      </pivotArea>
    </format>
    <format dxfId="854">
      <pivotArea dataOnly="0" labelOnly="1" fieldPosition="0">
        <references count="3">
          <reference field="0" count="1" selected="0">
            <x v="86"/>
          </reference>
          <reference field="1" count="1" selected="0">
            <x v="73"/>
          </reference>
          <reference field="2" count="1">
            <x v="154"/>
          </reference>
        </references>
      </pivotArea>
    </format>
    <format dxfId="853">
      <pivotArea dataOnly="0" labelOnly="1" fieldPosition="0">
        <references count="3">
          <reference field="0" count="1" selected="0">
            <x v="87"/>
          </reference>
          <reference field="1" count="1" selected="0">
            <x v="74"/>
          </reference>
          <reference field="2" count="1">
            <x v="208"/>
          </reference>
        </references>
      </pivotArea>
    </format>
    <format dxfId="852">
      <pivotArea dataOnly="0" labelOnly="1" fieldPosition="0">
        <references count="3">
          <reference field="0" count="1" selected="0">
            <x v="88"/>
          </reference>
          <reference field="1" count="1" selected="0">
            <x v="75"/>
          </reference>
          <reference field="2" count="1">
            <x v="38"/>
          </reference>
        </references>
      </pivotArea>
    </format>
    <format dxfId="851">
      <pivotArea dataOnly="0" labelOnly="1" fieldPosition="0">
        <references count="3">
          <reference field="0" count="1" selected="0">
            <x v="89"/>
          </reference>
          <reference field="1" count="1" selected="0">
            <x v="76"/>
          </reference>
          <reference field="2" count="1">
            <x v="232"/>
          </reference>
        </references>
      </pivotArea>
    </format>
    <format dxfId="850">
      <pivotArea dataOnly="0" labelOnly="1" fieldPosition="0">
        <references count="3">
          <reference field="0" count="1" selected="0">
            <x v="90"/>
          </reference>
          <reference field="1" count="1" selected="0">
            <x v="77"/>
          </reference>
          <reference field="2" count="1">
            <x v="43"/>
          </reference>
        </references>
      </pivotArea>
    </format>
    <format dxfId="849">
      <pivotArea dataOnly="0" labelOnly="1" fieldPosition="0">
        <references count="3">
          <reference field="0" count="1" selected="0">
            <x v="91"/>
          </reference>
          <reference field="1" count="1" selected="0">
            <x v="78"/>
          </reference>
          <reference field="2" count="1">
            <x v="12"/>
          </reference>
        </references>
      </pivotArea>
    </format>
    <format dxfId="848">
      <pivotArea dataOnly="0" labelOnly="1" fieldPosition="0">
        <references count="3">
          <reference field="0" count="1" selected="0">
            <x v="93"/>
          </reference>
          <reference field="1" count="1" selected="0">
            <x v="80"/>
          </reference>
          <reference field="2" count="1">
            <x v="180"/>
          </reference>
        </references>
      </pivotArea>
    </format>
    <format dxfId="847">
      <pivotArea dataOnly="0" labelOnly="1" fieldPosition="0">
        <references count="3">
          <reference field="0" count="1" selected="0">
            <x v="94"/>
          </reference>
          <reference field="1" count="1" selected="0">
            <x v="81"/>
          </reference>
          <reference field="2" count="1">
            <x v="60"/>
          </reference>
        </references>
      </pivotArea>
    </format>
    <format dxfId="846">
      <pivotArea dataOnly="0" labelOnly="1" fieldPosition="0">
        <references count="3">
          <reference field="0" count="1" selected="0">
            <x v="95"/>
          </reference>
          <reference field="1" count="1" selected="0">
            <x v="82"/>
          </reference>
          <reference field="2" count="1">
            <x v="5"/>
          </reference>
        </references>
      </pivotArea>
    </format>
    <format dxfId="845">
      <pivotArea dataOnly="0" labelOnly="1" fieldPosition="0">
        <references count="3">
          <reference field="0" count="1" selected="0">
            <x v="96"/>
          </reference>
          <reference field="1" count="1" selected="0">
            <x v="83"/>
          </reference>
          <reference field="2" count="1">
            <x v="173"/>
          </reference>
        </references>
      </pivotArea>
    </format>
    <format dxfId="844">
      <pivotArea dataOnly="0" labelOnly="1" fieldPosition="0">
        <references count="3">
          <reference field="0" count="1" selected="0">
            <x v="97"/>
          </reference>
          <reference field="1" count="1" selected="0">
            <x v="84"/>
          </reference>
          <reference field="2" count="1">
            <x v="6"/>
          </reference>
        </references>
      </pivotArea>
    </format>
    <format dxfId="843">
      <pivotArea dataOnly="0" labelOnly="1" fieldPosition="0">
        <references count="3">
          <reference field="0" count="1" selected="0">
            <x v="98"/>
          </reference>
          <reference field="1" count="1" selected="0">
            <x v="85"/>
          </reference>
          <reference field="2" count="1">
            <x v="214"/>
          </reference>
        </references>
      </pivotArea>
    </format>
    <format dxfId="842">
      <pivotArea dataOnly="0" labelOnly="1" fieldPosition="0">
        <references count="3">
          <reference field="0" count="1" selected="0">
            <x v="99"/>
          </reference>
          <reference field="1" count="1" selected="0">
            <x v="86"/>
          </reference>
          <reference field="2" count="1">
            <x v="66"/>
          </reference>
        </references>
      </pivotArea>
    </format>
    <format dxfId="841">
      <pivotArea dataOnly="0" labelOnly="1" fieldPosition="0">
        <references count="3">
          <reference field="0" count="1" selected="0">
            <x v="100"/>
          </reference>
          <reference field="1" count="1" selected="0">
            <x v="87"/>
          </reference>
          <reference field="2" count="1">
            <x v="75"/>
          </reference>
        </references>
      </pivotArea>
    </format>
    <format dxfId="840">
      <pivotArea dataOnly="0" labelOnly="1" fieldPosition="0">
        <references count="3">
          <reference field="0" count="1" selected="0">
            <x v="101"/>
          </reference>
          <reference field="1" count="1" selected="0">
            <x v="88"/>
          </reference>
          <reference field="2" count="1">
            <x v="29"/>
          </reference>
        </references>
      </pivotArea>
    </format>
    <format dxfId="839">
      <pivotArea dataOnly="0" labelOnly="1" fieldPosition="0">
        <references count="3">
          <reference field="0" count="1" selected="0">
            <x v="102"/>
          </reference>
          <reference field="1" count="1" selected="0">
            <x v="89"/>
          </reference>
          <reference field="2" count="1">
            <x v="14"/>
          </reference>
        </references>
      </pivotArea>
    </format>
    <format dxfId="838">
      <pivotArea dataOnly="0" labelOnly="1" fieldPosition="0">
        <references count="3">
          <reference field="0" count="1" selected="0">
            <x v="103"/>
          </reference>
          <reference field="1" count="1" selected="0">
            <x v="90"/>
          </reference>
          <reference field="2" count="1">
            <x v="73"/>
          </reference>
        </references>
      </pivotArea>
    </format>
    <format dxfId="837">
      <pivotArea dataOnly="0" labelOnly="1" fieldPosition="0">
        <references count="3">
          <reference field="0" count="1" selected="0">
            <x v="104"/>
          </reference>
          <reference field="1" count="1" selected="0">
            <x v="91"/>
          </reference>
          <reference field="2" count="1">
            <x v="68"/>
          </reference>
        </references>
      </pivotArea>
    </format>
    <format dxfId="836">
      <pivotArea dataOnly="0" labelOnly="1" fieldPosition="0">
        <references count="3">
          <reference field="0" count="1" selected="0">
            <x v="105"/>
          </reference>
          <reference field="1" count="1" selected="0">
            <x v="92"/>
          </reference>
          <reference field="2" count="1">
            <x v="134"/>
          </reference>
        </references>
      </pivotArea>
    </format>
    <format dxfId="835">
      <pivotArea dataOnly="0" labelOnly="1" fieldPosition="0">
        <references count="3">
          <reference field="0" count="1" selected="0">
            <x v="106"/>
          </reference>
          <reference field="1" count="1" selected="0">
            <x v="93"/>
          </reference>
          <reference field="2" count="1">
            <x v="76"/>
          </reference>
        </references>
      </pivotArea>
    </format>
    <format dxfId="834">
      <pivotArea dataOnly="0" labelOnly="1" fieldPosition="0">
        <references count="3">
          <reference field="0" count="1" selected="0">
            <x v="107"/>
          </reference>
          <reference field="1" count="1" selected="0">
            <x v="94"/>
          </reference>
          <reference field="2" count="1">
            <x v="190"/>
          </reference>
        </references>
      </pivotArea>
    </format>
    <format dxfId="833">
      <pivotArea dataOnly="0" labelOnly="1" fieldPosition="0">
        <references count="3">
          <reference field="0" count="1" selected="0">
            <x v="108"/>
          </reference>
          <reference field="1" count="1" selected="0">
            <x v="95"/>
          </reference>
          <reference field="2" count="1">
            <x v="236"/>
          </reference>
        </references>
      </pivotArea>
    </format>
    <format dxfId="832">
      <pivotArea dataOnly="0" labelOnly="1" fieldPosition="0">
        <references count="3">
          <reference field="0" count="1" selected="0">
            <x v="110"/>
          </reference>
          <reference field="1" count="1" selected="0">
            <x v="97"/>
          </reference>
          <reference field="2" count="1">
            <x v="123"/>
          </reference>
        </references>
      </pivotArea>
    </format>
    <format dxfId="831">
      <pivotArea dataOnly="0" labelOnly="1" fieldPosition="0">
        <references count="3">
          <reference field="0" count="1" selected="0">
            <x v="111"/>
          </reference>
          <reference field="1" count="1" selected="0">
            <x v="98"/>
          </reference>
          <reference field="2" count="1">
            <x v="83"/>
          </reference>
        </references>
      </pivotArea>
    </format>
    <format dxfId="830">
      <pivotArea dataOnly="0" labelOnly="1" fieldPosition="0">
        <references count="3">
          <reference field="0" count="1" selected="0">
            <x v="113"/>
          </reference>
          <reference field="1" count="1" selected="0">
            <x v="100"/>
          </reference>
          <reference field="2" count="1">
            <x v="124"/>
          </reference>
        </references>
      </pivotArea>
    </format>
    <format dxfId="829">
      <pivotArea dataOnly="0" labelOnly="1" fieldPosition="0">
        <references count="3">
          <reference field="0" count="1" selected="0">
            <x v="121"/>
          </reference>
          <reference field="1" count="1" selected="0">
            <x v="108"/>
          </reference>
          <reference field="2" count="1">
            <x v="207"/>
          </reference>
        </references>
      </pivotArea>
    </format>
    <format dxfId="828">
      <pivotArea dataOnly="0" labelOnly="1" fieldPosition="0">
        <references count="3">
          <reference field="0" count="1" selected="0">
            <x v="122"/>
          </reference>
          <reference field="1" count="1" selected="0">
            <x v="109"/>
          </reference>
          <reference field="2" count="1">
            <x v="35"/>
          </reference>
        </references>
      </pivotArea>
    </format>
    <format dxfId="827">
      <pivotArea dataOnly="0" labelOnly="1" fieldPosition="0">
        <references count="3">
          <reference field="0" count="1" selected="0">
            <x v="123"/>
          </reference>
          <reference field="1" count="1" selected="0">
            <x v="110"/>
          </reference>
          <reference field="2" count="1">
            <x v="176"/>
          </reference>
        </references>
      </pivotArea>
    </format>
    <format dxfId="826">
      <pivotArea dataOnly="0" labelOnly="1" fieldPosition="0">
        <references count="3">
          <reference field="0" count="1" selected="0">
            <x v="124"/>
          </reference>
          <reference field="1" count="1" selected="0">
            <x v="111"/>
          </reference>
          <reference field="2" count="1">
            <x v="218"/>
          </reference>
        </references>
      </pivotArea>
    </format>
    <format dxfId="825">
      <pivotArea dataOnly="0" labelOnly="1" fieldPosition="0">
        <references count="3">
          <reference field="0" count="1" selected="0">
            <x v="125"/>
          </reference>
          <reference field="1" count="1" selected="0">
            <x v="112"/>
          </reference>
          <reference field="2" count="1">
            <x v="197"/>
          </reference>
        </references>
      </pivotArea>
    </format>
    <format dxfId="824">
      <pivotArea dataOnly="0" labelOnly="1" fieldPosition="0">
        <references count="3">
          <reference field="0" count="1" selected="0">
            <x v="126"/>
          </reference>
          <reference field="1" count="1" selected="0">
            <x v="113"/>
          </reference>
          <reference field="2" count="1">
            <x v="191"/>
          </reference>
        </references>
      </pivotArea>
    </format>
    <format dxfId="823">
      <pivotArea dataOnly="0" labelOnly="1" fieldPosition="0">
        <references count="3">
          <reference field="0" count="1" selected="0">
            <x v="127"/>
          </reference>
          <reference field="1" count="1" selected="0">
            <x v="114"/>
          </reference>
          <reference field="2" count="1">
            <x v="174"/>
          </reference>
        </references>
      </pivotArea>
    </format>
    <format dxfId="822">
      <pivotArea dataOnly="0" labelOnly="1" fieldPosition="0">
        <references count="3">
          <reference field="0" count="1" selected="0">
            <x v="128"/>
          </reference>
          <reference field="1" count="1" selected="0">
            <x v="115"/>
          </reference>
          <reference field="2" count="1">
            <x v="59"/>
          </reference>
        </references>
      </pivotArea>
    </format>
    <format dxfId="821">
      <pivotArea dataOnly="0" labelOnly="1" fieldPosition="0">
        <references count="3">
          <reference field="0" count="1" selected="0">
            <x v="129"/>
          </reference>
          <reference field="1" count="1" selected="0">
            <x v="116"/>
          </reference>
          <reference field="2" count="1">
            <x v="212"/>
          </reference>
        </references>
      </pivotArea>
    </format>
    <format dxfId="820">
      <pivotArea dataOnly="0" labelOnly="1" fieldPosition="0">
        <references count="3">
          <reference field="0" count="1" selected="0">
            <x v="130"/>
          </reference>
          <reference field="1" count="1" selected="0">
            <x v="117"/>
          </reference>
          <reference field="2" count="1">
            <x v="118"/>
          </reference>
        </references>
      </pivotArea>
    </format>
    <format dxfId="819">
      <pivotArea dataOnly="0" labelOnly="1" fieldPosition="0">
        <references count="3">
          <reference field="0" count="1" selected="0">
            <x v="134"/>
          </reference>
          <reference field="1" count="1" selected="0">
            <x v="127"/>
          </reference>
          <reference field="2" count="1">
            <x v="2"/>
          </reference>
        </references>
      </pivotArea>
    </format>
    <format dxfId="818">
      <pivotArea dataOnly="0" labelOnly="1" fieldPosition="0">
        <references count="3">
          <reference field="0" count="1" selected="0">
            <x v="135"/>
          </reference>
          <reference field="1" count="1" selected="0">
            <x v="128"/>
          </reference>
          <reference field="2" count="1">
            <x v="151"/>
          </reference>
        </references>
      </pivotArea>
    </format>
    <format dxfId="817">
      <pivotArea dataOnly="0" labelOnly="1" fieldPosition="0">
        <references count="3">
          <reference field="0" count="1" selected="0">
            <x v="136"/>
          </reference>
          <reference field="1" count="1" selected="0">
            <x v="129"/>
          </reference>
          <reference field="2" count="1">
            <x v="219"/>
          </reference>
        </references>
      </pivotArea>
    </format>
    <format dxfId="816">
      <pivotArea dataOnly="0" labelOnly="1" fieldPosition="0">
        <references count="3">
          <reference field="0" count="1" selected="0">
            <x v="144"/>
          </reference>
          <reference field="1" count="1" selected="0">
            <x v="137"/>
          </reference>
          <reference field="2" count="1">
            <x v="79"/>
          </reference>
        </references>
      </pivotArea>
    </format>
    <format dxfId="815">
      <pivotArea dataOnly="0" labelOnly="1" fieldPosition="0">
        <references count="3">
          <reference field="0" count="1" selected="0">
            <x v="146"/>
          </reference>
          <reference field="1" count="1" selected="0">
            <x v="139"/>
          </reference>
          <reference field="2" count="1">
            <x v="30"/>
          </reference>
        </references>
      </pivotArea>
    </format>
    <format dxfId="814">
      <pivotArea dataOnly="0" labelOnly="1" fieldPosition="0">
        <references count="3">
          <reference field="0" count="1" selected="0">
            <x v="147"/>
          </reference>
          <reference field="1" count="1" selected="0">
            <x v="140"/>
          </reference>
          <reference field="2" count="1">
            <x v="211"/>
          </reference>
        </references>
      </pivotArea>
    </format>
    <format dxfId="813">
      <pivotArea dataOnly="0" labelOnly="1" fieldPosition="0">
        <references count="3">
          <reference field="0" count="1" selected="0">
            <x v="148"/>
          </reference>
          <reference field="1" count="1" selected="0">
            <x v="141"/>
          </reference>
          <reference field="2" count="1">
            <x v="95"/>
          </reference>
        </references>
      </pivotArea>
    </format>
    <format dxfId="812">
      <pivotArea dataOnly="0" labelOnly="1" fieldPosition="0">
        <references count="3">
          <reference field="0" count="1" selected="0">
            <x v="149"/>
          </reference>
          <reference field="1" count="1" selected="0">
            <x v="142"/>
          </reference>
          <reference field="2" count="1">
            <x v="165"/>
          </reference>
        </references>
      </pivotArea>
    </format>
    <format dxfId="811">
      <pivotArea dataOnly="0" labelOnly="1" fieldPosition="0">
        <references count="3">
          <reference field="0" count="1" selected="0">
            <x v="150"/>
          </reference>
          <reference field="1" count="1" selected="0">
            <x v="143"/>
          </reference>
          <reference field="2" count="1">
            <x v="166"/>
          </reference>
        </references>
      </pivotArea>
    </format>
    <format dxfId="810">
      <pivotArea dataOnly="0" labelOnly="1" fieldPosition="0">
        <references count="3">
          <reference field="0" count="1" selected="0">
            <x v="151"/>
          </reference>
          <reference field="1" count="1" selected="0">
            <x v="144"/>
          </reference>
          <reference field="2" count="1">
            <x v="85"/>
          </reference>
        </references>
      </pivotArea>
    </format>
    <format dxfId="809">
      <pivotArea dataOnly="0" labelOnly="1" fieldPosition="0">
        <references count="3">
          <reference field="0" count="1" selected="0">
            <x v="152"/>
          </reference>
          <reference field="1" count="1" selected="0">
            <x v="145"/>
          </reference>
          <reference field="2" count="1">
            <x v="86"/>
          </reference>
        </references>
      </pivotArea>
    </format>
    <format dxfId="808">
      <pivotArea dataOnly="0" labelOnly="1" fieldPosition="0">
        <references count="3">
          <reference field="0" count="1" selected="0">
            <x v="153"/>
          </reference>
          <reference field="1" count="1" selected="0">
            <x v="146"/>
          </reference>
          <reference field="2" count="1">
            <x v="54"/>
          </reference>
        </references>
      </pivotArea>
    </format>
    <format dxfId="807">
      <pivotArea dataOnly="0" labelOnly="1" fieldPosition="0">
        <references count="3">
          <reference field="0" count="1" selected="0">
            <x v="154"/>
          </reference>
          <reference field="1" count="1" selected="0">
            <x v="147"/>
          </reference>
          <reference field="2" count="1">
            <x v="109"/>
          </reference>
        </references>
      </pivotArea>
    </format>
    <format dxfId="806">
      <pivotArea dataOnly="0" labelOnly="1" fieldPosition="0">
        <references count="3">
          <reference field="0" count="1" selected="0">
            <x v="155"/>
          </reference>
          <reference field="1" count="1" selected="0">
            <x v="148"/>
          </reference>
          <reference field="2" count="1">
            <x v="3"/>
          </reference>
        </references>
      </pivotArea>
    </format>
    <format dxfId="805">
      <pivotArea dataOnly="0" labelOnly="1" fieldPosition="0">
        <references count="3">
          <reference field="0" count="1" selected="0">
            <x v="159"/>
          </reference>
          <reference field="1" count="1" selected="0">
            <x v="183"/>
          </reference>
          <reference field="2" count="1">
            <x v="122"/>
          </reference>
        </references>
      </pivotArea>
    </format>
    <format dxfId="804">
      <pivotArea dataOnly="0" labelOnly="1" fieldPosition="0">
        <references count="3">
          <reference field="0" count="1" selected="0">
            <x v="160"/>
          </reference>
          <reference field="1" count="1" selected="0">
            <x v="184"/>
          </reference>
          <reference field="2" count="1">
            <x v="187"/>
          </reference>
        </references>
      </pivotArea>
    </format>
    <format dxfId="803">
      <pivotArea dataOnly="0" labelOnly="1" fieldPosition="0">
        <references count="3">
          <reference field="0" count="1" selected="0">
            <x v="161"/>
          </reference>
          <reference field="1" count="1" selected="0">
            <x v="185"/>
          </reference>
          <reference field="2" count="1">
            <x v="186"/>
          </reference>
        </references>
      </pivotArea>
    </format>
    <format dxfId="802">
      <pivotArea dataOnly="0" labelOnly="1" fieldPosition="0">
        <references count="3">
          <reference field="0" count="1" selected="0">
            <x v="162"/>
          </reference>
          <reference field="1" count="1" selected="0">
            <x v="186"/>
          </reference>
          <reference field="2" count="1">
            <x v="125"/>
          </reference>
        </references>
      </pivotArea>
    </format>
    <format dxfId="801">
      <pivotArea dataOnly="0" labelOnly="1" fieldPosition="0">
        <references count="3">
          <reference field="0" count="1" selected="0">
            <x v="164"/>
          </reference>
          <reference field="1" count="1" selected="0">
            <x v="188"/>
          </reference>
          <reference field="2" count="1">
            <x v="119"/>
          </reference>
        </references>
      </pivotArea>
    </format>
    <format dxfId="800">
      <pivotArea dataOnly="0" labelOnly="1" fieldPosition="0">
        <references count="3">
          <reference field="0" count="1" selected="0">
            <x v="165"/>
          </reference>
          <reference field="1" count="1" selected="0">
            <x v="189"/>
          </reference>
          <reference field="2" count="1">
            <x v="156"/>
          </reference>
        </references>
      </pivotArea>
    </format>
    <format dxfId="799">
      <pivotArea dataOnly="0" labelOnly="1" fieldPosition="0">
        <references count="3">
          <reference field="0" count="1" selected="0">
            <x v="166"/>
          </reference>
          <reference field="1" count="1" selected="0">
            <x v="190"/>
          </reference>
          <reference field="2" count="1">
            <x v="213"/>
          </reference>
        </references>
      </pivotArea>
    </format>
    <format dxfId="798">
      <pivotArea dataOnly="0" labelOnly="1" fieldPosition="0">
        <references count="3">
          <reference field="0" count="1" selected="0">
            <x v="167"/>
          </reference>
          <reference field="1" count="1" selected="0">
            <x v="199"/>
          </reference>
          <reference field="2" count="1">
            <x v="56"/>
          </reference>
        </references>
      </pivotArea>
    </format>
    <format dxfId="797">
      <pivotArea dataOnly="0" labelOnly="1" fieldPosition="0">
        <references count="3">
          <reference field="0" count="1" selected="0">
            <x v="168"/>
          </reference>
          <reference field="1" count="1" selected="0">
            <x v="200"/>
          </reference>
          <reference field="2" count="1">
            <x v="9"/>
          </reference>
        </references>
      </pivotArea>
    </format>
    <format dxfId="796">
      <pivotArea dataOnly="0" labelOnly="1" fieldPosition="0">
        <references count="3">
          <reference field="0" count="1" selected="0">
            <x v="171"/>
          </reference>
          <reference field="1" count="1" selected="0">
            <x v="203"/>
          </reference>
          <reference field="2" count="1">
            <x v="10"/>
          </reference>
        </references>
      </pivotArea>
    </format>
    <format dxfId="795">
      <pivotArea dataOnly="0" labelOnly="1" fieldPosition="0">
        <references count="3">
          <reference field="0" count="1" selected="0">
            <x v="172"/>
          </reference>
          <reference field="1" count="1" selected="0">
            <x v="204"/>
          </reference>
          <reference field="2" count="1">
            <x v="216"/>
          </reference>
        </references>
      </pivotArea>
    </format>
    <format dxfId="794">
      <pivotArea dataOnly="0" labelOnly="1" fieldPosition="0">
        <references count="3">
          <reference field="0" count="1" selected="0">
            <x v="173"/>
          </reference>
          <reference field="1" count="1" selected="0">
            <x v="205"/>
          </reference>
          <reference field="2" count="1">
            <x v="94"/>
          </reference>
        </references>
      </pivotArea>
    </format>
    <format dxfId="793">
      <pivotArea dataOnly="0" labelOnly="1" fieldPosition="0">
        <references count="3">
          <reference field="0" count="1" selected="0">
            <x v="175"/>
          </reference>
          <reference field="1" count="1" selected="0">
            <x v="207"/>
          </reference>
          <reference field="2" count="1">
            <x v="172"/>
          </reference>
        </references>
      </pivotArea>
    </format>
    <format dxfId="792">
      <pivotArea dataOnly="0" labelOnly="1" fieldPosition="0">
        <references count="3">
          <reference field="0" count="1" selected="0">
            <x v="176"/>
          </reference>
          <reference field="1" count="1" selected="0">
            <x v="208"/>
          </reference>
          <reference field="2" count="1">
            <x v="215"/>
          </reference>
        </references>
      </pivotArea>
    </format>
    <format dxfId="791">
      <pivotArea dataOnly="0" labelOnly="1" fieldPosition="0">
        <references count="3">
          <reference field="0" count="1" selected="0">
            <x v="177"/>
          </reference>
          <reference field="1" count="1" selected="0">
            <x v="209"/>
          </reference>
          <reference field="2" count="1">
            <x v="114"/>
          </reference>
        </references>
      </pivotArea>
    </format>
    <format dxfId="790">
      <pivotArea dataOnly="0" labelOnly="1" fieldPosition="0">
        <references count="3">
          <reference field="0" count="1" selected="0">
            <x v="178"/>
          </reference>
          <reference field="1" count="1" selected="0">
            <x v="210"/>
          </reference>
          <reference field="2" count="1">
            <x v="11"/>
          </reference>
        </references>
      </pivotArea>
    </format>
    <format dxfId="789">
      <pivotArea dataOnly="0" labelOnly="1" fieldPosition="0">
        <references count="3">
          <reference field="0" count="1" selected="0">
            <x v="179"/>
          </reference>
          <reference field="1" count="1" selected="0">
            <x v="211"/>
          </reference>
          <reference field="2" count="1">
            <x v="96"/>
          </reference>
        </references>
      </pivotArea>
    </format>
    <format dxfId="788">
      <pivotArea dataOnly="0" labelOnly="1" fieldPosition="0">
        <references count="3">
          <reference field="0" count="1" selected="0">
            <x v="180"/>
          </reference>
          <reference field="1" count="1" selected="0">
            <x v="212"/>
          </reference>
          <reference field="2" count="1">
            <x v="97"/>
          </reference>
        </references>
      </pivotArea>
    </format>
    <format dxfId="787">
      <pivotArea dataOnly="0" labelOnly="1" fieldPosition="0">
        <references count="3">
          <reference field="0" count="1" selected="0">
            <x v="181"/>
          </reference>
          <reference field="1" count="1" selected="0">
            <x v="213"/>
          </reference>
          <reference field="2" count="1">
            <x v="234"/>
          </reference>
        </references>
      </pivotArea>
    </format>
    <format dxfId="786">
      <pivotArea dataOnly="0" labelOnly="1" fieldPosition="0">
        <references count="3">
          <reference field="0" count="1" selected="0">
            <x v="182"/>
          </reference>
          <reference field="1" count="1" selected="0">
            <x v="214"/>
          </reference>
          <reference field="2" count="1">
            <x v="235"/>
          </reference>
        </references>
      </pivotArea>
    </format>
    <format dxfId="785">
      <pivotArea dataOnly="0" labelOnly="1" fieldPosition="0">
        <references count="3">
          <reference field="0" count="1" selected="0">
            <x v="183"/>
          </reference>
          <reference field="1" count="1" selected="0">
            <x v="215"/>
          </reference>
          <reference field="2" count="1">
            <x v="206"/>
          </reference>
        </references>
      </pivotArea>
    </format>
    <format dxfId="784">
      <pivotArea dataOnly="0" labelOnly="1" fieldPosition="0">
        <references count="3">
          <reference field="0" count="1" selected="0">
            <x v="184"/>
          </reference>
          <reference field="1" count="1" selected="0">
            <x v="216"/>
          </reference>
          <reference field="2" count="1">
            <x v="111"/>
          </reference>
        </references>
      </pivotArea>
    </format>
    <format dxfId="783">
      <pivotArea dataOnly="0" labelOnly="1" fieldPosition="0">
        <references count="3">
          <reference field="0" count="1" selected="0">
            <x v="185"/>
          </reference>
          <reference field="1" count="1" selected="0">
            <x v="217"/>
          </reference>
          <reference field="2" count="1">
            <x v="113"/>
          </reference>
        </references>
      </pivotArea>
    </format>
    <format dxfId="782">
      <pivotArea dataOnly="0" labelOnly="1" fieldPosition="0">
        <references count="3">
          <reference field="0" count="1" selected="0">
            <x v="186"/>
          </reference>
          <reference field="1" count="1" selected="0">
            <x v="218"/>
          </reference>
          <reference field="2" count="1">
            <x v="93"/>
          </reference>
        </references>
      </pivotArea>
    </format>
    <format dxfId="781">
      <pivotArea dataOnly="0" labelOnly="1" fieldPosition="0">
        <references count="3">
          <reference field="0" count="1" selected="0">
            <x v="187"/>
          </reference>
          <reference field="1" count="1" selected="0">
            <x v="219"/>
          </reference>
          <reference field="2" count="1">
            <x v="104"/>
          </reference>
        </references>
      </pivotArea>
    </format>
    <format dxfId="780">
      <pivotArea dataOnly="0" labelOnly="1" fieldPosition="0">
        <references count="3">
          <reference field="0" count="1" selected="0">
            <x v="188"/>
          </reference>
          <reference field="1" count="1" selected="0">
            <x v="220"/>
          </reference>
          <reference field="2" count="1">
            <x v="196"/>
          </reference>
        </references>
      </pivotArea>
    </format>
    <format dxfId="779">
      <pivotArea dataOnly="0" labelOnly="1" fieldPosition="0">
        <references count="3">
          <reference field="0" count="1" selected="0">
            <x v="189"/>
          </reference>
          <reference field="1" count="1" selected="0">
            <x v="221"/>
          </reference>
          <reference field="2" count="1">
            <x v="182"/>
          </reference>
        </references>
      </pivotArea>
    </format>
    <format dxfId="778">
      <pivotArea dataOnly="0" labelOnly="1" fieldPosition="0">
        <references count="3">
          <reference field="0" count="1" selected="0">
            <x v="192"/>
          </reference>
          <reference field="1" count="1" selected="0">
            <x v="224"/>
          </reference>
          <reference field="2" count="1">
            <x v="80"/>
          </reference>
        </references>
      </pivotArea>
    </format>
    <format dxfId="777">
      <pivotArea dataOnly="0" labelOnly="1" fieldPosition="0">
        <references count="3">
          <reference field="0" count="1" selected="0">
            <x v="193"/>
          </reference>
          <reference field="1" count="1" selected="0">
            <x v="225"/>
          </reference>
          <reference field="2" count="1">
            <x v="238"/>
          </reference>
        </references>
      </pivotArea>
    </format>
    <format dxfId="776">
      <pivotArea dataOnly="0" labelOnly="1" fieldPosition="0">
        <references count="3">
          <reference field="0" count="1" selected="0">
            <x v="197"/>
          </reference>
          <reference field="1" count="1" selected="0">
            <x v="236"/>
          </reference>
          <reference field="2" count="1">
            <x v="102"/>
          </reference>
        </references>
      </pivotArea>
    </format>
    <format dxfId="775">
      <pivotArea dataOnly="0" labelOnly="1" fieldPosition="0">
        <references count="3">
          <reference field="0" count="1" selected="0">
            <x v="199"/>
          </reference>
          <reference field="1" count="1" selected="0">
            <x v="238"/>
          </reference>
          <reference field="2" count="1">
            <x v="33"/>
          </reference>
        </references>
      </pivotArea>
    </format>
    <format dxfId="774">
      <pivotArea dataOnly="0" labelOnly="1" fieldPosition="0">
        <references count="3">
          <reference field="0" count="1" selected="0">
            <x v="200"/>
          </reference>
          <reference field="1" count="1" selected="0">
            <x v="239"/>
          </reference>
          <reference field="2" count="1">
            <x v="34"/>
          </reference>
        </references>
      </pivotArea>
    </format>
    <format dxfId="773">
      <pivotArea dataOnly="0" labelOnly="1" fieldPosition="0">
        <references count="3">
          <reference field="0" count="1" selected="0">
            <x v="201"/>
          </reference>
          <reference field="1" count="1" selected="0">
            <x v="240"/>
          </reference>
          <reference field="2" count="1">
            <x v="37"/>
          </reference>
        </references>
      </pivotArea>
    </format>
    <format dxfId="772">
      <pivotArea dataOnly="0" labelOnly="1" fieldPosition="0">
        <references count="3">
          <reference field="0" count="1" selected="0">
            <x v="204"/>
          </reference>
          <reference field="1" count="1" selected="0">
            <x v="149"/>
          </reference>
          <reference field="2" count="1">
            <x v="117"/>
          </reference>
        </references>
      </pivotArea>
    </format>
    <format dxfId="771">
      <pivotArea dataOnly="0" labelOnly="1" fieldPosition="0">
        <references count="3">
          <reference field="0" count="1" selected="0">
            <x v="206"/>
          </reference>
          <reference field="1" count="1" selected="0">
            <x v="151"/>
          </reference>
          <reference field="2" count="1">
            <x v="159"/>
          </reference>
        </references>
      </pivotArea>
    </format>
    <format dxfId="770">
      <pivotArea dataOnly="0" labelOnly="1" fieldPosition="0">
        <references count="3">
          <reference field="0" count="1" selected="0">
            <x v="207"/>
          </reference>
          <reference field="1" count="1" selected="0">
            <x v="152"/>
          </reference>
          <reference field="2" count="1">
            <x v="81"/>
          </reference>
        </references>
      </pivotArea>
    </format>
    <format dxfId="769">
      <pivotArea dataOnly="0" labelOnly="1" fieldPosition="0">
        <references count="3">
          <reference field="0" count="1" selected="0">
            <x v="208"/>
          </reference>
          <reference field="1" count="1" selected="0">
            <x v="153"/>
          </reference>
          <reference field="2" count="1">
            <x v="103"/>
          </reference>
        </references>
      </pivotArea>
    </format>
    <format dxfId="768">
      <pivotArea dataOnly="0" labelOnly="1" fieldPosition="0">
        <references count="3">
          <reference field="0" count="1" selected="0">
            <x v="209"/>
          </reference>
          <reference field="1" count="1" selected="0">
            <x v="154"/>
          </reference>
          <reference field="2" count="1">
            <x v="98"/>
          </reference>
        </references>
      </pivotArea>
    </format>
    <format dxfId="767">
      <pivotArea dataOnly="0" labelOnly="1" fieldPosition="0">
        <references count="3">
          <reference field="0" count="1" selected="0">
            <x v="210"/>
          </reference>
          <reference field="1" count="1" selected="0">
            <x v="155"/>
          </reference>
          <reference field="2" count="1">
            <x v="162"/>
          </reference>
        </references>
      </pivotArea>
    </format>
    <format dxfId="766">
      <pivotArea dataOnly="0" labelOnly="1" fieldPosition="0">
        <references count="3">
          <reference field="0" count="1" selected="0">
            <x v="211"/>
          </reference>
          <reference field="1" count="1" selected="0">
            <x v="156"/>
          </reference>
          <reference field="2" count="1">
            <x v="164"/>
          </reference>
        </references>
      </pivotArea>
    </format>
    <format dxfId="765">
      <pivotArea dataOnly="0" labelOnly="1" fieldPosition="0">
        <references count="3">
          <reference field="0" count="1" selected="0">
            <x v="212"/>
          </reference>
          <reference field="1" count="1" selected="0">
            <x v="157"/>
          </reference>
          <reference field="2" count="1">
            <x v="170"/>
          </reference>
        </references>
      </pivotArea>
    </format>
    <format dxfId="764">
      <pivotArea dataOnly="0" labelOnly="1" fieldPosition="0">
        <references count="3">
          <reference field="0" count="1" selected="0">
            <x v="214"/>
          </reference>
          <reference field="1" count="1" selected="0">
            <x v="159"/>
          </reference>
          <reference field="2" count="1">
            <x v="139"/>
          </reference>
        </references>
      </pivotArea>
    </format>
    <format dxfId="763">
      <pivotArea dataOnly="0" labelOnly="1" fieldPosition="0">
        <references count="3">
          <reference field="0" count="1" selected="0">
            <x v="215"/>
          </reference>
          <reference field="1" count="1" selected="0">
            <x v="160"/>
          </reference>
          <reference field="2" count="1">
            <x v="137"/>
          </reference>
        </references>
      </pivotArea>
    </format>
    <format dxfId="762">
      <pivotArea dataOnly="0" labelOnly="1" fieldPosition="0">
        <references count="3">
          <reference field="0" count="1" selected="0">
            <x v="216"/>
          </reference>
          <reference field="1" count="1" selected="0">
            <x v="161"/>
          </reference>
          <reference field="2" count="1">
            <x v="136"/>
          </reference>
        </references>
      </pivotArea>
    </format>
    <format dxfId="761">
      <pivotArea dataOnly="0" labelOnly="1" fieldPosition="0">
        <references count="3">
          <reference field="0" count="1" selected="0">
            <x v="217"/>
          </reference>
          <reference field="1" count="1" selected="0">
            <x v="162"/>
          </reference>
          <reference field="2" count="1">
            <x v="13"/>
          </reference>
        </references>
      </pivotArea>
    </format>
    <format dxfId="760">
      <pivotArea dataOnly="0" labelOnly="1" fieldPosition="0">
        <references count="3">
          <reference field="0" count="1" selected="0">
            <x v="218"/>
          </reference>
          <reference field="1" count="1" selected="0">
            <x v="163"/>
          </reference>
          <reference field="2" count="1">
            <x v="179"/>
          </reference>
        </references>
      </pivotArea>
    </format>
    <format dxfId="759">
      <pivotArea dataOnly="0" labelOnly="1" fieldPosition="0">
        <references count="3">
          <reference field="0" count="1" selected="0">
            <x v="219"/>
          </reference>
          <reference field="1" count="1" selected="0">
            <x v="164"/>
          </reference>
          <reference field="2" count="1">
            <x v="138"/>
          </reference>
        </references>
      </pivotArea>
    </format>
    <format dxfId="758">
      <pivotArea dataOnly="0" labelOnly="1" fieldPosition="0">
        <references count="3">
          <reference field="0" count="1" selected="0">
            <x v="220"/>
          </reference>
          <reference field="1" count="1" selected="0">
            <x v="165"/>
          </reference>
          <reference field="2" count="1">
            <x v="142"/>
          </reference>
        </references>
      </pivotArea>
    </format>
    <format dxfId="757">
      <pivotArea dataOnly="0" labelOnly="1" fieldPosition="0">
        <references count="3">
          <reference field="0" count="1" selected="0">
            <x v="221"/>
          </reference>
          <reference field="1" count="1" selected="0">
            <x v="166"/>
          </reference>
          <reference field="2" count="1">
            <x v="143"/>
          </reference>
        </references>
      </pivotArea>
    </format>
    <format dxfId="756">
      <pivotArea dataOnly="0" labelOnly="1" fieldPosition="0">
        <references count="3">
          <reference field="0" count="1" selected="0">
            <x v="223"/>
          </reference>
          <reference field="1" count="1" selected="0">
            <x v="168"/>
          </reference>
          <reference field="2" count="1">
            <x v="71"/>
          </reference>
        </references>
      </pivotArea>
    </format>
    <format dxfId="755">
      <pivotArea dataOnly="0" labelOnly="1" fieldPosition="0">
        <references count="3">
          <reference field="0" count="1" selected="0">
            <x v="224"/>
          </reference>
          <reference field="1" count="1" selected="0">
            <x v="169"/>
          </reference>
          <reference field="2" count="1">
            <x v="121"/>
          </reference>
        </references>
      </pivotArea>
    </format>
    <format dxfId="754">
      <pivotArea dataOnly="0" labelOnly="1" fieldPosition="0">
        <references count="3">
          <reference field="0" count="1" selected="0">
            <x v="225"/>
          </reference>
          <reference field="1" count="1" selected="0">
            <x v="170"/>
          </reference>
          <reference field="2" count="1">
            <x v="120"/>
          </reference>
        </references>
      </pivotArea>
    </format>
    <format dxfId="753">
      <pivotArea dataOnly="0" labelOnly="1" fieldPosition="0">
        <references count="3">
          <reference field="0" count="1" selected="0">
            <x v="226"/>
          </reference>
          <reference field="1" count="1" selected="0">
            <x v="171"/>
          </reference>
          <reference field="2" count="1">
            <x v="41"/>
          </reference>
        </references>
      </pivotArea>
    </format>
    <format dxfId="752">
      <pivotArea dataOnly="0" labelOnly="1" fieldPosition="0">
        <references count="3">
          <reference field="0" count="1" selected="0">
            <x v="227"/>
          </reference>
          <reference field="1" count="1" selected="0">
            <x v="172"/>
          </reference>
          <reference field="2" count="1">
            <x v="42"/>
          </reference>
        </references>
      </pivotArea>
    </format>
    <format dxfId="751">
      <pivotArea dataOnly="0" labelOnly="1" fieldPosition="0">
        <references count="3">
          <reference field="0" count="1" selected="0">
            <x v="228"/>
          </reference>
          <reference field="1" count="1" selected="0">
            <x v="173"/>
          </reference>
          <reference field="2" count="1">
            <x v="145"/>
          </reference>
        </references>
      </pivotArea>
    </format>
    <format dxfId="750">
      <pivotArea dataOnly="0" labelOnly="1" fieldPosition="0">
        <references count="3">
          <reference field="0" count="1" selected="0">
            <x v="229"/>
          </reference>
          <reference field="1" count="1" selected="0">
            <x v="174"/>
          </reference>
          <reference field="2" count="1">
            <x v="91"/>
          </reference>
        </references>
      </pivotArea>
    </format>
    <format dxfId="749">
      <pivotArea dataOnly="0" labelOnly="1" fieldPosition="0">
        <references count="3">
          <reference field="0" count="1" selected="0">
            <x v="230"/>
          </reference>
          <reference field="1" count="1" selected="0">
            <x v="175"/>
          </reference>
          <reference field="2" count="1">
            <x v="160"/>
          </reference>
        </references>
      </pivotArea>
    </format>
    <format dxfId="748">
      <pivotArea dataOnly="0" labelOnly="1" fieldPosition="0">
        <references count="3">
          <reference field="0" count="1" selected="0">
            <x v="231"/>
          </reference>
          <reference field="1" count="1" selected="0">
            <x v="176"/>
          </reference>
          <reference field="2" count="1">
            <x v="42"/>
          </reference>
        </references>
      </pivotArea>
    </format>
    <format dxfId="747">
      <pivotArea dataOnly="0" labelOnly="1" fieldPosition="0">
        <references count="3">
          <reference field="0" count="1" selected="0">
            <x v="232"/>
          </reference>
          <reference field="1" count="1" selected="0">
            <x v="177"/>
          </reference>
          <reference field="2" count="1">
            <x v="47"/>
          </reference>
        </references>
      </pivotArea>
    </format>
    <format dxfId="746">
      <pivotArea dataOnly="0" labelOnly="1" fieldPosition="0">
        <references count="3">
          <reference field="0" count="1" selected="0">
            <x v="233"/>
          </reference>
          <reference field="1" count="1" selected="0">
            <x v="178"/>
          </reference>
          <reference field="2" count="1">
            <x v="32"/>
          </reference>
        </references>
      </pivotArea>
    </format>
    <format dxfId="745">
      <pivotArea dataOnly="0" labelOnly="1" fieldPosition="0">
        <references count="3">
          <reference field="0" count="1" selected="0">
            <x v="234"/>
          </reference>
          <reference field="1" count="1" selected="0">
            <x v="179"/>
          </reference>
          <reference field="2" count="1">
            <x v="163"/>
          </reference>
        </references>
      </pivotArea>
    </format>
    <format dxfId="744">
      <pivotArea dataOnly="0" labelOnly="1" fieldPosition="0">
        <references count="3">
          <reference field="0" count="1" selected="0">
            <x v="235"/>
          </reference>
          <reference field="1" count="1" selected="0">
            <x v="191"/>
          </reference>
          <reference field="2" count="1">
            <x v="155"/>
          </reference>
        </references>
      </pivotArea>
    </format>
    <format dxfId="743">
      <pivotArea dataOnly="0" labelOnly="1" fieldPosition="0">
        <references count="3">
          <reference field="0" count="1" selected="0">
            <x v="236"/>
          </reference>
          <reference field="1" count="1" selected="0">
            <x v="192"/>
          </reference>
          <reference field="2" count="1">
            <x v="27"/>
          </reference>
        </references>
      </pivotArea>
    </format>
    <format dxfId="742">
      <pivotArea dataOnly="0" labelOnly="1" fieldPosition="0">
        <references count="3">
          <reference field="0" count="1" selected="0">
            <x v="237"/>
          </reference>
          <reference field="1" count="1" selected="0">
            <x v="193"/>
          </reference>
          <reference field="2" count="1">
            <x v="89"/>
          </reference>
        </references>
      </pivotArea>
    </format>
    <format dxfId="741">
      <pivotArea dataOnly="0" labelOnly="1" fieldPosition="0">
        <references count="3">
          <reference field="0" count="1" selected="0">
            <x v="238"/>
          </reference>
          <reference field="1" count="1" selected="0">
            <x v="194"/>
          </reference>
          <reference field="2" count="1">
            <x v="25"/>
          </reference>
        </references>
      </pivotArea>
    </format>
    <format dxfId="740">
      <pivotArea dataOnly="0" labelOnly="1" fieldPosition="0">
        <references count="3">
          <reference field="0" count="1" selected="0">
            <x v="239"/>
          </reference>
          <reference field="1" count="1" selected="0">
            <x v="195"/>
          </reference>
          <reference field="2" count="1">
            <x v="28"/>
          </reference>
        </references>
      </pivotArea>
    </format>
    <format dxfId="739">
      <pivotArea dataOnly="0" labelOnly="1" fieldPosition="0">
        <references count="3">
          <reference field="0" count="1" selected="0">
            <x v="240"/>
          </reference>
          <reference field="1" count="1" selected="0">
            <x v="196"/>
          </reference>
          <reference field="2" count="1">
            <x v="40"/>
          </reference>
        </references>
      </pivotArea>
    </format>
    <format dxfId="738">
      <pivotArea dataOnly="0" labelOnly="1" fieldPosition="0">
        <references count="3">
          <reference field="0" count="1" selected="0">
            <x v="241"/>
          </reference>
          <reference field="1" count="1" selected="0">
            <x v="197"/>
          </reference>
          <reference field="2" count="1">
            <x v="195"/>
          </reference>
        </references>
      </pivotArea>
    </format>
    <format dxfId="737">
      <pivotArea dataOnly="0" labelOnly="1" fieldPosition="0">
        <references count="3">
          <reference field="0" count="1" selected="0">
            <x v="242"/>
          </reference>
          <reference field="1" count="1" selected="0">
            <x v="198"/>
          </reference>
          <reference field="2" count="1">
            <x v="132"/>
          </reference>
        </references>
      </pivotArea>
    </format>
    <format dxfId="736">
      <pivotArea dataOnly="0" labelOnly="1" fieldPosition="0">
        <references count="4">
          <reference field="0" count="1" selected="0">
            <x v="0"/>
          </reference>
          <reference field="1" count="1" selected="0">
            <x v="228"/>
          </reference>
          <reference field="2" count="1" selected="0">
            <x v="153"/>
          </reference>
          <reference field="3" count="1">
            <x v="0"/>
          </reference>
        </references>
      </pivotArea>
    </format>
    <format dxfId="735">
      <pivotArea dataOnly="0" labelOnly="1" fieldPosition="0">
        <references count="4">
          <reference field="0" count="1" selected="0">
            <x v="42"/>
          </reference>
          <reference field="1" count="1" selected="0">
            <x v="4"/>
          </reference>
          <reference field="2" count="1" selected="0">
            <x v="64"/>
          </reference>
          <reference field="3" count="1">
            <x v="0"/>
          </reference>
        </references>
      </pivotArea>
    </format>
    <format dxfId="734">
      <pivotArea dataOnly="0" labelOnly="1" fieldPosition="0">
        <references count="5">
          <reference field="0" count="1" selected="0">
            <x v="0"/>
          </reference>
          <reference field="1" count="1" selected="0">
            <x v="228"/>
          </reference>
          <reference field="2" count="1" selected="0">
            <x v="153"/>
          </reference>
          <reference field="3" count="1" selected="0">
            <x v="0"/>
          </reference>
          <reference field="12" count="1">
            <x v="7"/>
          </reference>
        </references>
      </pivotArea>
    </format>
    <format dxfId="733">
      <pivotArea dataOnly="0" labelOnly="1" fieldPosition="0">
        <references count="5">
          <reference field="0" count="1" selected="0">
            <x v="3"/>
          </reference>
          <reference field="1" count="1" selected="0">
            <x v="231"/>
          </reference>
          <reference field="2" count="1" selected="0">
            <x v="88"/>
          </reference>
          <reference field="3" count="1" selected="0">
            <x v="0"/>
          </reference>
          <reference field="12" count="1">
            <x v="3"/>
          </reference>
        </references>
      </pivotArea>
    </format>
    <format dxfId="732">
      <pivotArea dataOnly="0" labelOnly="1" fieldPosition="0">
        <references count="5">
          <reference field="0" count="1" selected="0">
            <x v="5"/>
          </reference>
          <reference field="1" count="1" selected="0">
            <x v="233"/>
          </reference>
          <reference field="2" count="1" selected="0">
            <x v="224"/>
          </reference>
          <reference field="3" count="1" selected="0">
            <x v="0"/>
          </reference>
          <reference field="12" count="1">
            <x v="7"/>
          </reference>
        </references>
      </pivotArea>
    </format>
    <format dxfId="731">
      <pivotArea dataOnly="0" labelOnly="1" fieldPosition="0">
        <references count="5">
          <reference field="0" count="1" selected="0">
            <x v="7"/>
          </reference>
          <reference field="1" count="1" selected="0">
            <x v="118"/>
          </reference>
          <reference field="2" count="1" selected="0">
            <x v="171"/>
          </reference>
          <reference field="3" count="1" selected="0">
            <x v="0"/>
          </reference>
          <reference field="12" count="1">
            <x v="0"/>
          </reference>
        </references>
      </pivotArea>
    </format>
    <format dxfId="730">
      <pivotArea dataOnly="0" labelOnly="1" fieldPosition="0">
        <references count="5">
          <reference field="0" count="1" selected="0">
            <x v="16"/>
          </reference>
          <reference field="1" count="1" selected="0">
            <x v="64"/>
          </reference>
          <reference field="2" count="1" selected="0">
            <x v="157"/>
          </reference>
          <reference field="3" count="1" selected="0">
            <x v="0"/>
          </reference>
          <reference field="12" count="1">
            <x v="7"/>
          </reference>
        </references>
      </pivotArea>
    </format>
    <format dxfId="729">
      <pivotArea dataOnly="0" labelOnly="1" fieldPosition="0">
        <references count="5">
          <reference field="0" count="1" selected="0">
            <x v="22"/>
          </reference>
          <reference field="1" count="1" selected="0">
            <x v="19"/>
          </reference>
          <reference field="2" count="1" selected="0">
            <x v="39"/>
          </reference>
          <reference field="3" count="1" selected="0">
            <x v="0"/>
          </reference>
          <reference field="12" count="1">
            <x v="9"/>
          </reference>
        </references>
      </pivotArea>
    </format>
    <format dxfId="728">
      <pivotArea dataOnly="0" labelOnly="1" fieldPosition="0">
        <references count="5">
          <reference field="0" count="1" selected="0">
            <x v="26"/>
          </reference>
          <reference field="1" count="1" selected="0">
            <x v="23"/>
          </reference>
          <reference field="2" count="1" selected="0">
            <x v="217"/>
          </reference>
          <reference field="3" count="1" selected="0">
            <x v="0"/>
          </reference>
          <reference field="12" count="1">
            <x v="5"/>
          </reference>
        </references>
      </pivotArea>
    </format>
    <format dxfId="727">
      <pivotArea dataOnly="0" labelOnly="1" fieldPosition="0">
        <references count="5">
          <reference field="0" count="1" selected="0">
            <x v="28"/>
          </reference>
          <reference field="1" count="1" selected="0">
            <x v="25"/>
          </reference>
          <reference field="2" count="1" selected="0">
            <x v="52"/>
          </reference>
          <reference field="3" count="1" selected="0">
            <x v="0"/>
          </reference>
          <reference field="12" count="1">
            <x v="0"/>
          </reference>
        </references>
      </pivotArea>
    </format>
    <format dxfId="726">
      <pivotArea dataOnly="0" labelOnly="1" fieldPosition="0">
        <references count="5">
          <reference field="0" count="1" selected="0">
            <x v="29"/>
          </reference>
          <reference field="1" count="1" selected="0">
            <x v="26"/>
          </reference>
          <reference field="2" count="1" selected="0">
            <x v="62"/>
          </reference>
          <reference field="3" count="1" selected="0">
            <x v="0"/>
          </reference>
          <reference field="12" count="1">
            <x v="15"/>
          </reference>
        </references>
      </pivotArea>
    </format>
    <format dxfId="725">
      <pivotArea dataOnly="0" labelOnly="1" fieldPosition="0">
        <references count="5">
          <reference field="0" count="1" selected="0">
            <x v="31"/>
          </reference>
          <reference field="1" count="1" selected="0">
            <x v="28"/>
          </reference>
          <reference field="2" count="1" selected="0">
            <x v="53"/>
          </reference>
          <reference field="3" count="1" selected="0">
            <x v="0"/>
          </reference>
          <reference field="12" count="1">
            <x v="7"/>
          </reference>
        </references>
      </pivotArea>
    </format>
    <format dxfId="724">
      <pivotArea dataOnly="0" labelOnly="1" fieldPosition="0">
        <references count="5">
          <reference field="0" count="1" selected="0">
            <x v="35"/>
          </reference>
          <reference field="1" count="1" selected="0">
            <x v="32"/>
          </reference>
          <reference field="2" count="1" selected="0">
            <x v="51"/>
          </reference>
          <reference field="3" count="1" selected="0">
            <x v="0"/>
          </reference>
          <reference field="12" count="1">
            <x v="9"/>
          </reference>
        </references>
      </pivotArea>
    </format>
    <format dxfId="723">
      <pivotArea dataOnly="0" labelOnly="1" fieldPosition="0">
        <references count="5">
          <reference field="0" count="1" selected="0">
            <x v="36"/>
          </reference>
          <reference field="1" count="1" selected="0">
            <x v="33"/>
          </reference>
          <reference field="2" count="1" selected="0">
            <x v="130"/>
          </reference>
          <reference field="3" count="1" selected="0">
            <x v="0"/>
          </reference>
          <reference field="12" count="1">
            <x v="22"/>
          </reference>
        </references>
      </pivotArea>
    </format>
    <format dxfId="722">
      <pivotArea dataOnly="0" labelOnly="1" fieldPosition="0">
        <references count="5">
          <reference field="0" count="1" selected="0">
            <x v="37"/>
          </reference>
          <reference field="1" count="1" selected="0">
            <x v="34"/>
          </reference>
          <reference field="2" count="1" selected="0">
            <x v="70"/>
          </reference>
          <reference field="3" count="1" selected="0">
            <x v="0"/>
          </reference>
          <reference field="12" count="1">
            <x v="10"/>
          </reference>
        </references>
      </pivotArea>
    </format>
    <format dxfId="721">
      <pivotArea dataOnly="0" labelOnly="1" fieldPosition="0">
        <references count="5">
          <reference field="0" count="1" selected="0">
            <x v="55"/>
          </reference>
          <reference field="1" count="1" selected="0">
            <x v="35"/>
          </reference>
          <reference field="2" count="1" selected="0">
            <x v="65"/>
          </reference>
          <reference field="3" count="1" selected="0">
            <x v="0"/>
          </reference>
          <reference field="12" count="1">
            <x v="3"/>
          </reference>
        </references>
      </pivotArea>
    </format>
    <format dxfId="720">
      <pivotArea dataOnly="0" labelOnly="1" fieldPosition="0">
        <references count="5">
          <reference field="0" count="1" selected="0">
            <x v="81"/>
          </reference>
          <reference field="1" count="1" selected="0">
            <x v="68"/>
          </reference>
          <reference field="2" count="1" selected="0">
            <x v="112"/>
          </reference>
          <reference field="3" count="1" selected="0">
            <x v="0"/>
          </reference>
          <reference field="12" count="1">
            <x v="0"/>
          </reference>
        </references>
      </pivotArea>
    </format>
    <format dxfId="719">
      <pivotArea dataOnly="0" labelOnly="1" fieldPosition="0">
        <references count="5">
          <reference field="0" count="1" selected="0">
            <x v="82"/>
          </reference>
          <reference field="1" count="1" selected="0">
            <x v="69"/>
          </reference>
          <reference field="2" count="1" selected="0">
            <x v="226"/>
          </reference>
          <reference field="3" count="1" selected="0">
            <x v="0"/>
          </reference>
          <reference field="12" count="1">
            <x v="5"/>
          </reference>
        </references>
      </pivotArea>
    </format>
    <format dxfId="718">
      <pivotArea dataOnly="0" labelOnly="1" fieldPosition="0">
        <references count="5">
          <reference field="0" count="1" selected="0">
            <x v="84"/>
          </reference>
          <reference field="1" count="1" selected="0">
            <x v="71"/>
          </reference>
          <reference field="2" count="1" selected="0">
            <x v="192"/>
          </reference>
          <reference field="3" count="1" selected="0">
            <x v="0"/>
          </reference>
          <reference field="12" count="1">
            <x v="7"/>
          </reference>
        </references>
      </pivotArea>
    </format>
    <format dxfId="717">
      <pivotArea dataOnly="0" labelOnly="1" fieldPosition="0">
        <references count="5">
          <reference field="0" count="1" selected="0">
            <x v="88"/>
          </reference>
          <reference field="1" count="1" selected="0">
            <x v="75"/>
          </reference>
          <reference field="2" count="1" selected="0">
            <x v="38"/>
          </reference>
          <reference field="3" count="1" selected="0">
            <x v="0"/>
          </reference>
          <reference field="12" count="1">
            <x v="2"/>
          </reference>
        </references>
      </pivotArea>
    </format>
    <format dxfId="716">
      <pivotArea dataOnly="0" labelOnly="1" fieldPosition="0">
        <references count="5">
          <reference field="0" count="1" selected="0">
            <x v="89"/>
          </reference>
          <reference field="1" count="1" selected="0">
            <x v="76"/>
          </reference>
          <reference field="2" count="1" selected="0">
            <x v="232"/>
          </reference>
          <reference field="3" count="1" selected="0">
            <x v="0"/>
          </reference>
          <reference field="12" count="1">
            <x v="7"/>
          </reference>
        </references>
      </pivotArea>
    </format>
    <format dxfId="715">
      <pivotArea dataOnly="0" labelOnly="1" fieldPosition="0">
        <references count="5">
          <reference field="0" count="1" selected="0">
            <x v="95"/>
          </reference>
          <reference field="1" count="1" selected="0">
            <x v="82"/>
          </reference>
          <reference field="2" count="1" selected="0">
            <x v="5"/>
          </reference>
          <reference field="3" count="1" selected="0">
            <x v="0"/>
          </reference>
          <reference field="12" count="1">
            <x v="1"/>
          </reference>
        </references>
      </pivotArea>
    </format>
    <format dxfId="714">
      <pivotArea dataOnly="0" labelOnly="1" fieldPosition="0">
        <references count="5">
          <reference field="0" count="1" selected="0">
            <x v="96"/>
          </reference>
          <reference field="1" count="1" selected="0">
            <x v="83"/>
          </reference>
          <reference field="2" count="1" selected="0">
            <x v="173"/>
          </reference>
          <reference field="3" count="1" selected="0">
            <x v="0"/>
          </reference>
          <reference field="12" count="1">
            <x v="3"/>
          </reference>
        </references>
      </pivotArea>
    </format>
    <format dxfId="713">
      <pivotArea dataOnly="0" labelOnly="1" fieldPosition="0">
        <references count="5">
          <reference field="0" count="1" selected="0">
            <x v="105"/>
          </reference>
          <reference field="1" count="1" selected="0">
            <x v="92"/>
          </reference>
          <reference field="2" count="1" selected="0">
            <x v="134"/>
          </reference>
          <reference field="3" count="1" selected="0">
            <x v="0"/>
          </reference>
          <reference field="12" count="1">
            <x v="7"/>
          </reference>
        </references>
      </pivotArea>
    </format>
    <format dxfId="712">
      <pivotArea dataOnly="0" labelOnly="1" fieldPosition="0">
        <references count="5">
          <reference field="0" count="1" selected="0">
            <x v="122"/>
          </reference>
          <reference field="1" count="1" selected="0">
            <x v="109"/>
          </reference>
          <reference field="2" count="1" selected="0">
            <x v="35"/>
          </reference>
          <reference field="3" count="1" selected="0">
            <x v="0"/>
          </reference>
          <reference field="12" count="1">
            <x v="3"/>
          </reference>
        </references>
      </pivotArea>
    </format>
    <format dxfId="711">
      <pivotArea dataOnly="0" labelOnly="1" fieldPosition="0">
        <references count="5">
          <reference field="0" count="1" selected="0">
            <x v="123"/>
          </reference>
          <reference field="1" count="1" selected="0">
            <x v="110"/>
          </reference>
          <reference field="2" count="1" selected="0">
            <x v="176"/>
          </reference>
          <reference field="3" count="1" selected="0">
            <x v="0"/>
          </reference>
          <reference field="12" count="1">
            <x v="5"/>
          </reference>
        </references>
      </pivotArea>
    </format>
    <format dxfId="710">
      <pivotArea dataOnly="0" labelOnly="1" fieldPosition="0">
        <references count="5">
          <reference field="0" count="1" selected="0">
            <x v="124"/>
          </reference>
          <reference field="1" count="1" selected="0">
            <x v="111"/>
          </reference>
          <reference field="2" count="1" selected="0">
            <x v="218"/>
          </reference>
          <reference field="3" count="1" selected="0">
            <x v="0"/>
          </reference>
          <reference field="12" count="1">
            <x v="0"/>
          </reference>
        </references>
      </pivotArea>
    </format>
    <format dxfId="709">
      <pivotArea dataOnly="0" labelOnly="1" fieldPosition="0">
        <references count="5">
          <reference field="0" count="1" selected="0">
            <x v="125"/>
          </reference>
          <reference field="1" count="1" selected="0">
            <x v="112"/>
          </reference>
          <reference field="2" count="1" selected="0">
            <x v="197"/>
          </reference>
          <reference field="3" count="1" selected="0">
            <x v="0"/>
          </reference>
          <reference field="12" count="1">
            <x v="3"/>
          </reference>
        </references>
      </pivotArea>
    </format>
    <format dxfId="708">
      <pivotArea dataOnly="0" labelOnly="1" fieldPosition="0">
        <references count="5">
          <reference field="0" count="1" selected="0">
            <x v="126"/>
          </reference>
          <reference field="1" count="1" selected="0">
            <x v="113"/>
          </reference>
          <reference field="2" count="1" selected="0">
            <x v="191"/>
          </reference>
          <reference field="3" count="1" selected="0">
            <x v="0"/>
          </reference>
          <reference field="12" count="1">
            <x v="0"/>
          </reference>
        </references>
      </pivotArea>
    </format>
    <format dxfId="707">
      <pivotArea dataOnly="0" labelOnly="1" fieldPosition="0">
        <references count="5">
          <reference field="0" count="1" selected="0">
            <x v="129"/>
          </reference>
          <reference field="1" count="1" selected="0">
            <x v="116"/>
          </reference>
          <reference field="2" count="1" selected="0">
            <x v="212"/>
          </reference>
          <reference field="3" count="1" selected="0">
            <x v="0"/>
          </reference>
          <reference field="12" count="1">
            <x v="3"/>
          </reference>
        </references>
      </pivotArea>
    </format>
    <format dxfId="706">
      <pivotArea dataOnly="0" labelOnly="1" fieldPosition="0">
        <references count="5">
          <reference field="0" count="1" selected="0">
            <x v="130"/>
          </reference>
          <reference field="1" count="1" selected="0">
            <x v="117"/>
          </reference>
          <reference field="2" count="1" selected="0">
            <x v="118"/>
          </reference>
          <reference field="3" count="1" selected="0">
            <x v="0"/>
          </reference>
          <reference field="12" count="1">
            <x v="7"/>
          </reference>
        </references>
      </pivotArea>
    </format>
    <format dxfId="705">
      <pivotArea dataOnly="0" labelOnly="1" fieldPosition="0">
        <references count="5">
          <reference field="0" count="1" selected="0">
            <x v="134"/>
          </reference>
          <reference field="1" count="1" selected="0">
            <x v="127"/>
          </reference>
          <reference field="2" count="1" selected="0">
            <x v="2"/>
          </reference>
          <reference field="3" count="1" selected="0">
            <x v="0"/>
          </reference>
          <reference field="12" count="1">
            <x v="4"/>
          </reference>
        </references>
      </pivotArea>
    </format>
    <format dxfId="704">
      <pivotArea dataOnly="0" labelOnly="1" fieldPosition="0">
        <references count="5">
          <reference field="0" count="1" selected="0">
            <x v="135"/>
          </reference>
          <reference field="1" count="1" selected="0">
            <x v="128"/>
          </reference>
          <reference field="2" count="1" selected="0">
            <x v="151"/>
          </reference>
          <reference field="3" count="1" selected="0">
            <x v="0"/>
          </reference>
          <reference field="12" count="1">
            <x v="3"/>
          </reference>
        </references>
      </pivotArea>
    </format>
    <format dxfId="703">
      <pivotArea dataOnly="0" labelOnly="1" fieldPosition="0">
        <references count="5">
          <reference field="0" count="1" selected="0">
            <x v="144"/>
          </reference>
          <reference field="1" count="1" selected="0">
            <x v="137"/>
          </reference>
          <reference field="2" count="1" selected="0">
            <x v="79"/>
          </reference>
          <reference field="3" count="1" selected="0">
            <x v="0"/>
          </reference>
          <reference field="12" count="1">
            <x v="0"/>
          </reference>
        </references>
      </pivotArea>
    </format>
    <format dxfId="702">
      <pivotArea dataOnly="0" labelOnly="1" fieldPosition="0">
        <references count="5">
          <reference field="0" count="1" selected="0">
            <x v="146"/>
          </reference>
          <reference field="1" count="1" selected="0">
            <x v="139"/>
          </reference>
          <reference field="2" count="1" selected="0">
            <x v="30"/>
          </reference>
          <reference field="3" count="1" selected="0">
            <x v="0"/>
          </reference>
          <reference field="12" count="1">
            <x v="26"/>
          </reference>
        </references>
      </pivotArea>
    </format>
    <format dxfId="701">
      <pivotArea dataOnly="0" labelOnly="1" fieldPosition="0">
        <references count="5">
          <reference field="0" count="1" selected="0">
            <x v="149"/>
          </reference>
          <reference field="1" count="1" selected="0">
            <x v="142"/>
          </reference>
          <reference field="2" count="1" selected="0">
            <x v="165"/>
          </reference>
          <reference field="3" count="1" selected="0">
            <x v="0"/>
          </reference>
          <reference field="12" count="1">
            <x v="14"/>
          </reference>
        </references>
      </pivotArea>
    </format>
    <format dxfId="700">
      <pivotArea dataOnly="0" labelOnly="1" fieldPosition="0">
        <references count="5">
          <reference field="0" count="1" selected="0">
            <x v="155"/>
          </reference>
          <reference field="1" count="1" selected="0">
            <x v="148"/>
          </reference>
          <reference field="2" count="1" selected="0">
            <x v="3"/>
          </reference>
          <reference field="3" count="1" selected="0">
            <x v="0"/>
          </reference>
          <reference field="12" count="1">
            <x v="23"/>
          </reference>
        </references>
      </pivotArea>
    </format>
    <format dxfId="699">
      <pivotArea dataOnly="0" labelOnly="1" fieldPosition="0">
        <references count="5">
          <reference field="0" count="1" selected="0">
            <x v="159"/>
          </reference>
          <reference field="1" count="1" selected="0">
            <x v="183"/>
          </reference>
          <reference field="2" count="1" selected="0">
            <x v="122"/>
          </reference>
          <reference field="3" count="1" selected="0">
            <x v="0"/>
          </reference>
          <reference field="12" count="1">
            <x v="8"/>
          </reference>
        </references>
      </pivotArea>
    </format>
    <format dxfId="698">
      <pivotArea dataOnly="0" labelOnly="1" fieldPosition="0">
        <references count="5">
          <reference field="0" count="1" selected="0">
            <x v="160"/>
          </reference>
          <reference field="1" count="1" selected="0">
            <x v="184"/>
          </reference>
          <reference field="2" count="1" selected="0">
            <x v="187"/>
          </reference>
          <reference field="3" count="1" selected="0">
            <x v="0"/>
          </reference>
          <reference field="12" count="1">
            <x v="7"/>
          </reference>
        </references>
      </pivotArea>
    </format>
    <format dxfId="697">
      <pivotArea dataOnly="0" labelOnly="1" fieldPosition="0">
        <references count="5">
          <reference field="0" count="1" selected="0">
            <x v="161"/>
          </reference>
          <reference field="1" count="1" selected="0">
            <x v="185"/>
          </reference>
          <reference field="2" count="1" selected="0">
            <x v="186"/>
          </reference>
          <reference field="3" count="1" selected="0">
            <x v="0"/>
          </reference>
          <reference field="12" count="1">
            <x v="9"/>
          </reference>
        </references>
      </pivotArea>
    </format>
    <format dxfId="696">
      <pivotArea dataOnly="0" labelOnly="1" fieldPosition="0">
        <references count="5">
          <reference field="0" count="1" selected="0">
            <x v="162"/>
          </reference>
          <reference field="1" count="1" selected="0">
            <x v="186"/>
          </reference>
          <reference field="2" count="1" selected="0">
            <x v="125"/>
          </reference>
          <reference field="3" count="1" selected="0">
            <x v="0"/>
          </reference>
          <reference field="12" count="1">
            <x v="10"/>
          </reference>
        </references>
      </pivotArea>
    </format>
    <format dxfId="695">
      <pivotArea dataOnly="0" labelOnly="1" fieldPosition="0">
        <references count="5">
          <reference field="0" count="1" selected="0">
            <x v="164"/>
          </reference>
          <reference field="1" count="1" selected="0">
            <x v="188"/>
          </reference>
          <reference field="2" count="1" selected="0">
            <x v="119"/>
          </reference>
          <reference field="3" count="1" selected="0">
            <x v="0"/>
          </reference>
          <reference field="12" count="1">
            <x v="13"/>
          </reference>
        </references>
      </pivotArea>
    </format>
    <format dxfId="694">
      <pivotArea dataOnly="0" labelOnly="1" fieldPosition="0">
        <references count="5">
          <reference field="0" count="1" selected="0">
            <x v="167"/>
          </reference>
          <reference field="1" count="1" selected="0">
            <x v="199"/>
          </reference>
          <reference field="2" count="1" selected="0">
            <x v="56"/>
          </reference>
          <reference field="3" count="1" selected="0">
            <x v="0"/>
          </reference>
          <reference field="12" count="1">
            <x v="18"/>
          </reference>
        </references>
      </pivotArea>
    </format>
    <format dxfId="693">
      <pivotArea dataOnly="0" labelOnly="1" fieldPosition="0">
        <references count="5">
          <reference field="0" count="1" selected="0">
            <x v="168"/>
          </reference>
          <reference field="1" count="1" selected="0">
            <x v="200"/>
          </reference>
          <reference field="2" count="1" selected="0">
            <x v="9"/>
          </reference>
          <reference field="3" count="1" selected="0">
            <x v="0"/>
          </reference>
          <reference field="12" count="1">
            <x v="7"/>
          </reference>
        </references>
      </pivotArea>
    </format>
    <format dxfId="692">
      <pivotArea dataOnly="0" labelOnly="1" fieldPosition="0">
        <references count="5">
          <reference field="0" count="1" selected="0">
            <x v="171"/>
          </reference>
          <reference field="1" count="1" selected="0">
            <x v="203"/>
          </reference>
          <reference field="2" count="1" selected="0">
            <x v="10"/>
          </reference>
          <reference field="3" count="1" selected="0">
            <x v="0"/>
          </reference>
          <reference field="12" count="1">
            <x v="9"/>
          </reference>
        </references>
      </pivotArea>
    </format>
    <format dxfId="691">
      <pivotArea dataOnly="0" labelOnly="1" fieldPosition="0">
        <references count="5">
          <reference field="0" count="1" selected="0">
            <x v="172"/>
          </reference>
          <reference field="1" count="1" selected="0">
            <x v="204"/>
          </reference>
          <reference field="2" count="1" selected="0">
            <x v="216"/>
          </reference>
          <reference field="3" count="1" selected="0">
            <x v="0"/>
          </reference>
          <reference field="12" count="1">
            <x v="2"/>
          </reference>
        </references>
      </pivotArea>
    </format>
    <format dxfId="690">
      <pivotArea dataOnly="0" labelOnly="1" fieldPosition="0">
        <references count="5">
          <reference field="0" count="1" selected="0">
            <x v="173"/>
          </reference>
          <reference field="1" count="1" selected="0">
            <x v="205"/>
          </reference>
          <reference field="2" count="1" selected="0">
            <x v="94"/>
          </reference>
          <reference field="3" count="1" selected="0">
            <x v="0"/>
          </reference>
          <reference field="12" count="1">
            <x v="20"/>
          </reference>
        </references>
      </pivotArea>
    </format>
    <format dxfId="689">
      <pivotArea dataOnly="0" labelOnly="1" fieldPosition="0">
        <references count="5">
          <reference field="0" count="1" selected="0">
            <x v="175"/>
          </reference>
          <reference field="1" count="1" selected="0">
            <x v="207"/>
          </reference>
          <reference field="2" count="1" selected="0">
            <x v="172"/>
          </reference>
          <reference field="3" count="1" selected="0">
            <x v="0"/>
          </reference>
          <reference field="12" count="1">
            <x v="21"/>
          </reference>
        </references>
      </pivotArea>
    </format>
    <format dxfId="688">
      <pivotArea dataOnly="0" labelOnly="1" fieldPosition="0">
        <references count="5">
          <reference field="0" count="1" selected="0">
            <x v="176"/>
          </reference>
          <reference field="1" count="1" selected="0">
            <x v="208"/>
          </reference>
          <reference field="2" count="1" selected="0">
            <x v="215"/>
          </reference>
          <reference field="3" count="1" selected="0">
            <x v="0"/>
          </reference>
          <reference field="12" count="1">
            <x v="20"/>
          </reference>
        </references>
      </pivotArea>
    </format>
    <format dxfId="687">
      <pivotArea dataOnly="0" labelOnly="1" fieldPosition="0">
        <references count="5">
          <reference field="0" count="1" selected="0">
            <x v="180"/>
          </reference>
          <reference field="1" count="1" selected="0">
            <x v="212"/>
          </reference>
          <reference field="2" count="1" selected="0">
            <x v="97"/>
          </reference>
          <reference field="3" count="1" selected="0">
            <x v="0"/>
          </reference>
          <reference field="12" count="1">
            <x v="14"/>
          </reference>
        </references>
      </pivotArea>
    </format>
    <format dxfId="686">
      <pivotArea dataOnly="0" labelOnly="1" fieldPosition="0">
        <references count="5">
          <reference field="0" count="1" selected="0">
            <x v="182"/>
          </reference>
          <reference field="1" count="1" selected="0">
            <x v="214"/>
          </reference>
          <reference field="2" count="1" selected="0">
            <x v="235"/>
          </reference>
          <reference field="3" count="1" selected="0">
            <x v="0"/>
          </reference>
          <reference field="12" count="1">
            <x v="7"/>
          </reference>
        </references>
      </pivotArea>
    </format>
    <format dxfId="685">
      <pivotArea dataOnly="0" labelOnly="1" fieldPosition="0">
        <references count="5">
          <reference field="0" count="1" selected="0">
            <x v="183"/>
          </reference>
          <reference field="1" count="1" selected="0">
            <x v="215"/>
          </reference>
          <reference field="2" count="1" selected="0">
            <x v="206"/>
          </reference>
          <reference field="3" count="1" selected="0">
            <x v="0"/>
          </reference>
          <reference field="12" count="1">
            <x v="14"/>
          </reference>
        </references>
      </pivotArea>
    </format>
    <format dxfId="684">
      <pivotArea dataOnly="0" labelOnly="1" fieldPosition="0">
        <references count="5">
          <reference field="0" count="1" selected="0">
            <x v="184"/>
          </reference>
          <reference field="1" count="1" selected="0">
            <x v="216"/>
          </reference>
          <reference field="2" count="1" selected="0">
            <x v="111"/>
          </reference>
          <reference field="3" count="1" selected="0">
            <x v="0"/>
          </reference>
          <reference field="12" count="1">
            <x v="22"/>
          </reference>
        </references>
      </pivotArea>
    </format>
    <format dxfId="683">
      <pivotArea dataOnly="0" labelOnly="1" fieldPosition="0">
        <references count="5">
          <reference field="0" count="1" selected="0">
            <x v="185"/>
          </reference>
          <reference field="1" count="1" selected="0">
            <x v="217"/>
          </reference>
          <reference field="2" count="1" selected="0">
            <x v="113"/>
          </reference>
          <reference field="3" count="1" selected="0">
            <x v="0"/>
          </reference>
          <reference field="12" count="1">
            <x v="12"/>
          </reference>
        </references>
      </pivotArea>
    </format>
    <format dxfId="682">
      <pivotArea dataOnly="0" labelOnly="1" fieldPosition="0">
        <references count="5">
          <reference field="0" count="1" selected="0">
            <x v="192"/>
          </reference>
          <reference field="1" count="1" selected="0">
            <x v="224"/>
          </reference>
          <reference field="2" count="1" selected="0">
            <x v="80"/>
          </reference>
          <reference field="3" count="1" selected="0">
            <x v="0"/>
          </reference>
          <reference field="12" count="1">
            <x v="7"/>
          </reference>
        </references>
      </pivotArea>
    </format>
    <format dxfId="681">
      <pivotArea dataOnly="0" labelOnly="1" fieldPosition="0">
        <references count="5">
          <reference field="0" count="1" selected="0">
            <x v="197"/>
          </reference>
          <reference field="1" count="1" selected="0">
            <x v="236"/>
          </reference>
          <reference field="2" count="1" selected="0">
            <x v="102"/>
          </reference>
          <reference field="3" count="1" selected="0">
            <x v="0"/>
          </reference>
          <reference field="12" count="1">
            <x v="18"/>
          </reference>
        </references>
      </pivotArea>
    </format>
    <format dxfId="680">
      <pivotArea dataOnly="0" labelOnly="1" fieldPosition="0">
        <references count="5">
          <reference field="0" count="1" selected="0">
            <x v="199"/>
          </reference>
          <reference field="1" count="1" selected="0">
            <x v="238"/>
          </reference>
          <reference field="2" count="1" selected="0">
            <x v="33"/>
          </reference>
          <reference field="3" count="1" selected="0">
            <x v="0"/>
          </reference>
          <reference field="12" count="1">
            <x v="20"/>
          </reference>
        </references>
      </pivotArea>
    </format>
    <format dxfId="679">
      <pivotArea dataOnly="0" labelOnly="1" fieldPosition="0">
        <references count="5">
          <reference field="0" count="1" selected="0">
            <x v="204"/>
          </reference>
          <reference field="1" count="1" selected="0">
            <x v="149"/>
          </reference>
          <reference field="2" count="1" selected="0">
            <x v="117"/>
          </reference>
          <reference field="3" count="1" selected="0">
            <x v="0"/>
          </reference>
          <reference field="12" count="1">
            <x v="12"/>
          </reference>
        </references>
      </pivotArea>
    </format>
    <format dxfId="678">
      <pivotArea dataOnly="0" labelOnly="1" fieldPosition="0">
        <references count="5">
          <reference field="0" count="1" selected="0">
            <x v="207"/>
          </reference>
          <reference field="1" count="1" selected="0">
            <x v="152"/>
          </reference>
          <reference field="2" count="1" selected="0">
            <x v="81"/>
          </reference>
          <reference field="3" count="1" selected="0">
            <x v="0"/>
          </reference>
          <reference field="12" count="1">
            <x v="7"/>
          </reference>
        </references>
      </pivotArea>
    </format>
    <format dxfId="677">
      <pivotArea dataOnly="0" labelOnly="1" fieldPosition="0">
        <references count="5">
          <reference field="0" count="1" selected="0">
            <x v="208"/>
          </reference>
          <reference field="1" count="1" selected="0">
            <x v="153"/>
          </reference>
          <reference field="2" count="1" selected="0">
            <x v="103"/>
          </reference>
          <reference field="3" count="1" selected="0">
            <x v="0"/>
          </reference>
          <reference field="12" count="1">
            <x v="14"/>
          </reference>
        </references>
      </pivotArea>
    </format>
    <format dxfId="676">
      <pivotArea dataOnly="0" labelOnly="1" fieldPosition="0">
        <references count="5">
          <reference field="0" count="1" selected="0">
            <x v="210"/>
          </reference>
          <reference field="1" count="1" selected="0">
            <x v="155"/>
          </reference>
          <reference field="2" count="1" selected="0">
            <x v="162"/>
          </reference>
          <reference field="3" count="1" selected="0">
            <x v="0"/>
          </reference>
          <reference field="12" count="1">
            <x v="7"/>
          </reference>
        </references>
      </pivotArea>
    </format>
    <format dxfId="675">
      <pivotArea dataOnly="0" labelOnly="1" fieldPosition="0">
        <references count="5">
          <reference field="0" count="1" selected="0">
            <x v="211"/>
          </reference>
          <reference field="1" count="1" selected="0">
            <x v="156"/>
          </reference>
          <reference field="2" count="1" selected="0">
            <x v="164"/>
          </reference>
          <reference field="3" count="1" selected="0">
            <x v="0"/>
          </reference>
          <reference field="12" count="1">
            <x v="20"/>
          </reference>
        </references>
      </pivotArea>
    </format>
    <format dxfId="674">
      <pivotArea dataOnly="0" labelOnly="1" fieldPosition="0">
        <references count="5">
          <reference field="0" count="1" selected="0">
            <x v="214"/>
          </reference>
          <reference field="1" count="1" selected="0">
            <x v="159"/>
          </reference>
          <reference field="2" count="1" selected="0">
            <x v="139"/>
          </reference>
          <reference field="3" count="1" selected="0">
            <x v="0"/>
          </reference>
          <reference field="12" count="1">
            <x v="10"/>
          </reference>
        </references>
      </pivotArea>
    </format>
    <format dxfId="673">
      <pivotArea dataOnly="0" labelOnly="1" fieldPosition="0">
        <references count="5">
          <reference field="0" count="1" selected="0">
            <x v="220"/>
          </reference>
          <reference field="1" count="1" selected="0">
            <x v="165"/>
          </reference>
          <reference field="2" count="1" selected="0">
            <x v="142"/>
          </reference>
          <reference field="3" count="1" selected="0">
            <x v="0"/>
          </reference>
          <reference field="12" count="1">
            <x v="11"/>
          </reference>
        </references>
      </pivotArea>
    </format>
    <format dxfId="672">
      <pivotArea dataOnly="0" labelOnly="1" fieldPosition="0">
        <references count="5">
          <reference field="0" count="1" selected="0">
            <x v="221"/>
          </reference>
          <reference field="1" count="1" selected="0">
            <x v="166"/>
          </reference>
          <reference field="2" count="1" selected="0">
            <x v="143"/>
          </reference>
          <reference field="3" count="1" selected="0">
            <x v="0"/>
          </reference>
          <reference field="12" count="1">
            <x v="10"/>
          </reference>
        </references>
      </pivotArea>
    </format>
    <format dxfId="671">
      <pivotArea dataOnly="0" labelOnly="1" fieldPosition="0">
        <references count="5">
          <reference field="0" count="1" selected="0">
            <x v="223"/>
          </reference>
          <reference field="1" count="1" selected="0">
            <x v="168"/>
          </reference>
          <reference field="2" count="1" selected="0">
            <x v="71"/>
          </reference>
          <reference field="3" count="1" selected="0">
            <x v="0"/>
          </reference>
          <reference field="12" count="1">
            <x v="24"/>
          </reference>
        </references>
      </pivotArea>
    </format>
    <format dxfId="670">
      <pivotArea dataOnly="0" labelOnly="1" fieldPosition="0">
        <references count="5">
          <reference field="0" count="1" selected="0">
            <x v="224"/>
          </reference>
          <reference field="1" count="1" selected="0">
            <x v="169"/>
          </reference>
          <reference field="2" count="1" selected="0">
            <x v="121"/>
          </reference>
          <reference field="3" count="1" selected="0">
            <x v="0"/>
          </reference>
          <reference field="12" count="1">
            <x v="23"/>
          </reference>
        </references>
      </pivotArea>
    </format>
    <format dxfId="669">
      <pivotArea dataOnly="0" labelOnly="1" fieldPosition="0">
        <references count="5">
          <reference field="0" count="1" selected="0">
            <x v="228"/>
          </reference>
          <reference field="1" count="1" selected="0">
            <x v="173"/>
          </reference>
          <reference field="2" count="1" selected="0">
            <x v="145"/>
          </reference>
          <reference field="3" count="1" selected="0">
            <x v="0"/>
          </reference>
          <reference field="12" count="1">
            <x v="3"/>
          </reference>
        </references>
      </pivotArea>
    </format>
    <format dxfId="668">
      <pivotArea dataOnly="0" labelOnly="1" fieldPosition="0">
        <references count="5">
          <reference field="0" count="1" selected="0">
            <x v="234"/>
          </reference>
          <reference field="1" count="1" selected="0">
            <x v="179"/>
          </reference>
          <reference field="2" count="1" selected="0">
            <x v="163"/>
          </reference>
          <reference field="3" count="1" selected="0">
            <x v="0"/>
          </reference>
          <reference field="12" count="1">
            <x v="28"/>
          </reference>
        </references>
      </pivotArea>
    </format>
    <format dxfId="667">
      <pivotArea dataOnly="0" labelOnly="1" fieldPosition="0">
        <references count="5">
          <reference field="0" count="1" selected="0">
            <x v="235"/>
          </reference>
          <reference field="1" count="1" selected="0">
            <x v="191"/>
          </reference>
          <reference field="2" count="1" selected="0">
            <x v="155"/>
          </reference>
          <reference field="3" count="1" selected="0">
            <x v="0"/>
          </reference>
          <reference field="12" count="1">
            <x v="3"/>
          </reference>
        </references>
      </pivotArea>
    </format>
    <format dxfId="666">
      <pivotArea dataOnly="0" labelOnly="1" fieldPosition="0">
        <references count="5">
          <reference field="0" count="1" selected="0">
            <x v="238"/>
          </reference>
          <reference field="1" count="1" selected="0">
            <x v="194"/>
          </reference>
          <reference field="2" count="1" selected="0">
            <x v="25"/>
          </reference>
          <reference field="3" count="1" selected="0">
            <x v="0"/>
          </reference>
          <reference field="12" count="1">
            <x v="0"/>
          </reference>
        </references>
      </pivotArea>
    </format>
    <format dxfId="665">
      <pivotArea dataOnly="0" labelOnly="1" fieldPosition="0">
        <references count="5">
          <reference field="0" count="1" selected="0">
            <x v="240"/>
          </reference>
          <reference field="1" count="1" selected="0">
            <x v="196"/>
          </reference>
          <reference field="2" count="1" selected="0">
            <x v="40"/>
          </reference>
          <reference field="3" count="1" selected="0">
            <x v="0"/>
          </reference>
          <reference field="12" count="1">
            <x v="3"/>
          </reference>
        </references>
      </pivotArea>
    </format>
    <format dxfId="664">
      <pivotArea dataOnly="0" labelOnly="1" fieldPosition="0">
        <references count="5">
          <reference field="0" count="1" selected="0">
            <x v="241"/>
          </reference>
          <reference field="1" count="1" selected="0">
            <x v="197"/>
          </reference>
          <reference field="2" count="1" selected="0">
            <x v="195"/>
          </reference>
          <reference field="3" count="1" selected="0">
            <x v="0"/>
          </reference>
          <reference field="12" count="1">
            <x v="0"/>
          </reference>
        </references>
      </pivotArea>
    </format>
    <format dxfId="663">
      <pivotArea dataOnly="0" labelOnly="1" fieldPosition="0">
        <references count="5">
          <reference field="0" count="1" selected="0">
            <x v="242"/>
          </reference>
          <reference field="1" count="1" selected="0">
            <x v="198"/>
          </reference>
          <reference field="2" count="1" selected="0">
            <x v="132"/>
          </reference>
          <reference field="3" count="1" selected="0">
            <x v="0"/>
          </reference>
          <reference field="12" count="1">
            <x v="6"/>
          </reference>
        </references>
      </pivotArea>
    </format>
    <format dxfId="662">
      <pivotArea dataOnly="0" labelOnly="1" fieldPosition="0">
        <references count="6">
          <reference field="0" count="1" selected="0">
            <x v="0"/>
          </reference>
          <reference field="1" count="1" selected="0">
            <x v="228"/>
          </reference>
          <reference field="2" count="1" selected="0">
            <x v="153"/>
          </reference>
          <reference field="3" count="1" selected="0">
            <x v="0"/>
          </reference>
          <reference field="12" count="1" selected="0">
            <x v="7"/>
          </reference>
          <reference field="13" count="1">
            <x v="24"/>
          </reference>
        </references>
      </pivotArea>
    </format>
    <format dxfId="661">
      <pivotArea dataOnly="0" labelOnly="1" fieldPosition="0">
        <references count="6">
          <reference field="0" count="1" selected="0">
            <x v="2"/>
          </reference>
          <reference field="1" count="1" selected="0">
            <x v="230"/>
          </reference>
          <reference field="2" count="1" selected="0">
            <x v="225"/>
          </reference>
          <reference field="3" count="1" selected="0">
            <x v="0"/>
          </reference>
          <reference field="12" count="1" selected="0">
            <x v="7"/>
          </reference>
          <reference field="13" count="1">
            <x v="0"/>
          </reference>
        </references>
      </pivotArea>
    </format>
    <format dxfId="660">
      <pivotArea dataOnly="0" labelOnly="1" fieldPosition="0">
        <references count="6">
          <reference field="0" count="1" selected="0">
            <x v="12"/>
          </reference>
          <reference field="1" count="1" selected="0">
            <x v="123"/>
          </reference>
          <reference field="2" count="1" selected="0">
            <x v="150"/>
          </reference>
          <reference field="3" count="1" selected="0">
            <x v="0"/>
          </reference>
          <reference field="12" count="1" selected="0">
            <x v="0"/>
          </reference>
          <reference field="13" count="1">
            <x v="2"/>
          </reference>
        </references>
      </pivotArea>
    </format>
    <format dxfId="659">
      <pivotArea dataOnly="0" labelOnly="1" fieldPosition="0">
        <references count="6">
          <reference field="0" count="1" selected="0">
            <x v="16"/>
          </reference>
          <reference field="1" count="1" selected="0">
            <x v="64"/>
          </reference>
          <reference field="2" count="1" selected="0">
            <x v="157"/>
          </reference>
          <reference field="3" count="1" selected="0">
            <x v="0"/>
          </reference>
          <reference field="12" count="1" selected="0">
            <x v="7"/>
          </reference>
          <reference field="13" count="1">
            <x v="0"/>
          </reference>
        </references>
      </pivotArea>
    </format>
    <format dxfId="658">
      <pivotArea dataOnly="0" labelOnly="1" fieldPosition="0">
        <references count="6">
          <reference field="0" count="1" selected="0">
            <x v="186"/>
          </reference>
          <reference field="1" count="1" selected="0">
            <x v="218"/>
          </reference>
          <reference field="2" count="1" selected="0">
            <x v="93"/>
          </reference>
          <reference field="3" count="1" selected="0">
            <x v="0"/>
          </reference>
          <reference field="12" count="1" selected="0">
            <x v="12"/>
          </reference>
          <reference field="13" count="1">
            <x v="2"/>
          </reference>
        </references>
      </pivotArea>
    </format>
    <format dxfId="657">
      <pivotArea dataOnly="0" labelOnly="1" fieldPosition="0">
        <references count="6">
          <reference field="0" count="1" selected="0">
            <x v="187"/>
          </reference>
          <reference field="1" count="1" selected="0">
            <x v="219"/>
          </reference>
          <reference field="2" count="1" selected="0">
            <x v="104"/>
          </reference>
          <reference field="3" count="1" selected="0">
            <x v="0"/>
          </reference>
          <reference field="12" count="1" selected="0">
            <x v="12"/>
          </reference>
          <reference field="13" count="1">
            <x v="14"/>
          </reference>
        </references>
      </pivotArea>
    </format>
    <format dxfId="656">
      <pivotArea dataOnly="0" labelOnly="1" fieldPosition="0">
        <references count="6">
          <reference field="0" count="1" selected="0">
            <x v="189"/>
          </reference>
          <reference field="1" count="1" selected="0">
            <x v="221"/>
          </reference>
          <reference field="2" count="1" selected="0">
            <x v="182"/>
          </reference>
          <reference field="3" count="1" selected="0">
            <x v="0"/>
          </reference>
          <reference field="12" count="1" selected="0">
            <x v="12"/>
          </reference>
          <reference field="13" count="1">
            <x v="0"/>
          </reference>
        </references>
      </pivotArea>
    </format>
    <format dxfId="655">
      <pivotArea dataOnly="0" labelOnly="1" fieldPosition="0">
        <references count="6">
          <reference field="0" count="1" selected="0">
            <x v="204"/>
          </reference>
          <reference field="1" count="1" selected="0">
            <x v="149"/>
          </reference>
          <reference field="2" count="1" selected="0">
            <x v="117"/>
          </reference>
          <reference field="3" count="1" selected="0">
            <x v="0"/>
          </reference>
          <reference field="12" count="1" selected="0">
            <x v="12"/>
          </reference>
          <reference field="13" count="1">
            <x v="14"/>
          </reference>
        </references>
      </pivotArea>
    </format>
    <format dxfId="654">
      <pivotArea dataOnly="0" labelOnly="1" fieldPosition="0">
        <references count="6">
          <reference field="0" count="1" selected="0">
            <x v="206"/>
          </reference>
          <reference field="1" count="1" selected="0">
            <x v="151"/>
          </reference>
          <reference field="2" count="1" selected="0">
            <x v="159"/>
          </reference>
          <reference field="3" count="1" selected="0">
            <x v="0"/>
          </reference>
          <reference field="12" count="1" selected="0">
            <x v="12"/>
          </reference>
          <reference field="13" count="1">
            <x v="5"/>
          </reference>
        </references>
      </pivotArea>
    </format>
    <format dxfId="653">
      <pivotArea dataOnly="0" labelOnly="1" fieldPosition="0">
        <references count="6">
          <reference field="0" count="1" selected="0">
            <x v="207"/>
          </reference>
          <reference field="1" count="1" selected="0">
            <x v="152"/>
          </reference>
          <reference field="2" count="1" selected="0">
            <x v="81"/>
          </reference>
          <reference field="3" count="1" selected="0">
            <x v="0"/>
          </reference>
          <reference field="12" count="1" selected="0">
            <x v="7"/>
          </reference>
          <reference field="13" count="1">
            <x v="0"/>
          </reference>
        </references>
      </pivotArea>
    </format>
    <format dxfId="652">
      <pivotArea dataOnly="0" labelOnly="1" fieldPosition="0">
        <references count="6">
          <reference field="0" count="1" selected="0">
            <x v="208"/>
          </reference>
          <reference field="1" count="1" selected="0">
            <x v="153"/>
          </reference>
          <reference field="2" count="1" selected="0">
            <x v="103"/>
          </reference>
          <reference field="3" count="1" selected="0">
            <x v="0"/>
          </reference>
          <reference field="12" count="1" selected="0">
            <x v="14"/>
          </reference>
          <reference field="13" count="1">
            <x v="16"/>
          </reference>
        </references>
      </pivotArea>
    </format>
    <format dxfId="651">
      <pivotArea dataOnly="0" labelOnly="1" fieldPosition="0">
        <references count="6">
          <reference field="0" count="1" selected="0">
            <x v="209"/>
          </reference>
          <reference field="1" count="1" selected="0">
            <x v="154"/>
          </reference>
          <reference field="2" count="1" selected="0">
            <x v="98"/>
          </reference>
          <reference field="3" count="1" selected="0">
            <x v="0"/>
          </reference>
          <reference field="12" count="1" selected="0">
            <x v="14"/>
          </reference>
          <reference field="13" count="1">
            <x v="17"/>
          </reference>
        </references>
      </pivotArea>
    </format>
    <format dxfId="650">
      <pivotArea dataOnly="0" labelOnly="1" fieldPosition="0">
        <references count="6">
          <reference field="0" count="1" selected="0">
            <x v="210"/>
          </reference>
          <reference field="1" count="1" selected="0">
            <x v="155"/>
          </reference>
          <reference field="2" count="1" selected="0">
            <x v="162"/>
          </reference>
          <reference field="3" count="1" selected="0">
            <x v="0"/>
          </reference>
          <reference field="12" count="1" selected="0">
            <x v="7"/>
          </reference>
          <reference field="13" count="1">
            <x v="2"/>
          </reference>
        </references>
      </pivotArea>
    </format>
    <format dxfId="649">
      <pivotArea dataOnly="0" labelOnly="1" fieldPosition="0">
        <references count="6">
          <reference field="0" count="1" selected="0">
            <x v="211"/>
          </reference>
          <reference field="1" count="1" selected="0">
            <x v="156"/>
          </reference>
          <reference field="2" count="1" selected="0">
            <x v="164"/>
          </reference>
          <reference field="3" count="1" selected="0">
            <x v="0"/>
          </reference>
          <reference field="12" count="1" selected="0">
            <x v="20"/>
          </reference>
          <reference field="13" count="1">
            <x v="3"/>
          </reference>
        </references>
      </pivotArea>
    </format>
    <format dxfId="648">
      <pivotArea dataOnly="0" labelOnly="1" fieldPosition="0">
        <references count="6">
          <reference field="0" count="1" selected="0">
            <x v="212"/>
          </reference>
          <reference field="1" count="1" selected="0">
            <x v="157"/>
          </reference>
          <reference field="2" count="1" selected="0">
            <x v="170"/>
          </reference>
          <reference field="3" count="1" selected="0">
            <x v="0"/>
          </reference>
          <reference field="12" count="1" selected="0">
            <x v="20"/>
          </reference>
          <reference field="13" count="1">
            <x v="4"/>
          </reference>
        </references>
      </pivotArea>
    </format>
    <format dxfId="647">
      <pivotArea dataOnly="0" labelOnly="1" fieldPosition="0">
        <references count="6">
          <reference field="0" count="1" selected="0">
            <x v="214"/>
          </reference>
          <reference field="1" count="1" selected="0">
            <x v="159"/>
          </reference>
          <reference field="2" count="1" selected="0">
            <x v="139"/>
          </reference>
          <reference field="3" count="1" selected="0">
            <x v="0"/>
          </reference>
          <reference field="12" count="1" selected="0">
            <x v="10"/>
          </reference>
          <reference field="13" count="1">
            <x v="15"/>
          </reference>
        </references>
      </pivotArea>
    </format>
    <format dxfId="646">
      <pivotArea dataOnly="0" labelOnly="1" fieldPosition="0">
        <references count="6">
          <reference field="0" count="1" selected="0">
            <x v="215"/>
          </reference>
          <reference field="1" count="1" selected="0">
            <x v="160"/>
          </reference>
          <reference field="2" count="1" selected="0">
            <x v="137"/>
          </reference>
          <reference field="3" count="1" selected="0">
            <x v="0"/>
          </reference>
          <reference field="12" count="1" selected="0">
            <x v="10"/>
          </reference>
          <reference field="13" count="1">
            <x v="11"/>
          </reference>
        </references>
      </pivotArea>
    </format>
    <format dxfId="645">
      <pivotArea dataOnly="0" labelOnly="1" fieldPosition="0">
        <references count="6">
          <reference field="0" count="1" selected="0">
            <x v="216"/>
          </reference>
          <reference field="1" count="1" selected="0">
            <x v="161"/>
          </reference>
          <reference field="2" count="1" selected="0">
            <x v="136"/>
          </reference>
          <reference field="3" count="1" selected="0">
            <x v="0"/>
          </reference>
          <reference field="12" count="1" selected="0">
            <x v="10"/>
          </reference>
          <reference field="13" count="1">
            <x v="13"/>
          </reference>
        </references>
      </pivotArea>
    </format>
    <format dxfId="644">
      <pivotArea dataOnly="0" labelOnly="1" fieldPosition="0">
        <references count="6">
          <reference field="0" count="1" selected="0">
            <x v="217"/>
          </reference>
          <reference field="1" count="1" selected="0">
            <x v="162"/>
          </reference>
          <reference field="2" count="1" selected="0">
            <x v="13"/>
          </reference>
          <reference field="3" count="1" selected="0">
            <x v="0"/>
          </reference>
          <reference field="12" count="1" selected="0">
            <x v="10"/>
          </reference>
          <reference field="13" count="1">
            <x v="10"/>
          </reference>
        </references>
      </pivotArea>
    </format>
    <format dxfId="643">
      <pivotArea dataOnly="0" labelOnly="1" fieldPosition="0">
        <references count="6">
          <reference field="0" count="1" selected="0">
            <x v="219"/>
          </reference>
          <reference field="1" count="1" selected="0">
            <x v="164"/>
          </reference>
          <reference field="2" count="1" selected="0">
            <x v="138"/>
          </reference>
          <reference field="3" count="1" selected="0">
            <x v="0"/>
          </reference>
          <reference field="12" count="1" selected="0">
            <x v="10"/>
          </reference>
          <reference field="13" count="1">
            <x v="8"/>
          </reference>
        </references>
      </pivotArea>
    </format>
    <format dxfId="642">
      <pivotArea dataOnly="0" labelOnly="1" fieldPosition="0">
        <references count="6">
          <reference field="0" count="1" selected="0">
            <x v="220"/>
          </reference>
          <reference field="1" count="1" selected="0">
            <x v="165"/>
          </reference>
          <reference field="2" count="1" selected="0">
            <x v="142"/>
          </reference>
          <reference field="3" count="1" selected="0">
            <x v="0"/>
          </reference>
          <reference field="12" count="1" selected="0">
            <x v="11"/>
          </reference>
          <reference field="13" count="1">
            <x v="12"/>
          </reference>
        </references>
      </pivotArea>
    </format>
    <format dxfId="641">
      <pivotArea dataOnly="0" labelOnly="1" fieldPosition="0">
        <references count="6">
          <reference field="0" count="1" selected="0">
            <x v="221"/>
          </reference>
          <reference field="1" count="1" selected="0">
            <x v="166"/>
          </reference>
          <reference field="2" count="1" selected="0">
            <x v="143"/>
          </reference>
          <reference field="3" count="1" selected="0">
            <x v="0"/>
          </reference>
          <reference field="12" count="1" selected="0">
            <x v="10"/>
          </reference>
          <reference field="13" count="1">
            <x v="9"/>
          </reference>
        </references>
      </pivotArea>
    </format>
    <format dxfId="640">
      <pivotArea dataOnly="0" labelOnly="1" fieldPosition="0">
        <references count="6">
          <reference field="0" count="1" selected="0">
            <x v="223"/>
          </reference>
          <reference field="1" count="1" selected="0">
            <x v="168"/>
          </reference>
          <reference field="2" count="1" selected="0">
            <x v="71"/>
          </reference>
          <reference field="3" count="1" selected="0">
            <x v="0"/>
          </reference>
          <reference field="12" count="1" selected="0">
            <x v="24"/>
          </reference>
          <reference field="13" count="1">
            <x v="7"/>
          </reference>
        </references>
      </pivotArea>
    </format>
    <format dxfId="639">
      <pivotArea dataOnly="0" labelOnly="1" fieldPosition="0">
        <references count="6">
          <reference field="0" count="1" selected="0">
            <x v="224"/>
          </reference>
          <reference field="1" count="1" selected="0">
            <x v="169"/>
          </reference>
          <reference field="2" count="1" selected="0">
            <x v="121"/>
          </reference>
          <reference field="3" count="1" selected="0">
            <x v="0"/>
          </reference>
          <reference field="12" count="1" selected="0">
            <x v="23"/>
          </reference>
          <reference field="13" count="1">
            <x v="1"/>
          </reference>
        </references>
      </pivotArea>
    </format>
    <format dxfId="638">
      <pivotArea dataOnly="0" labelOnly="1" fieldPosition="0">
        <references count="6">
          <reference field="0" count="1" selected="0">
            <x v="225"/>
          </reference>
          <reference field="1" count="1" selected="0">
            <x v="170"/>
          </reference>
          <reference field="2" count="1" selected="0">
            <x v="120"/>
          </reference>
          <reference field="3" count="1" selected="0">
            <x v="0"/>
          </reference>
          <reference field="12" count="1" selected="0">
            <x v="23"/>
          </reference>
          <reference field="13" count="1">
            <x v="22"/>
          </reference>
        </references>
      </pivotArea>
    </format>
    <format dxfId="637">
      <pivotArea dataOnly="0" labelOnly="1" fieldPosition="0">
        <references count="6">
          <reference field="0" count="1" selected="0">
            <x v="228"/>
          </reference>
          <reference field="1" count="1" selected="0">
            <x v="173"/>
          </reference>
          <reference field="2" count="1" selected="0">
            <x v="145"/>
          </reference>
          <reference field="3" count="1" selected="0">
            <x v="0"/>
          </reference>
          <reference field="12" count="1" selected="0">
            <x v="3"/>
          </reference>
          <reference field="13" count="1">
            <x v="21"/>
          </reference>
        </references>
      </pivotArea>
    </format>
    <format dxfId="636">
      <pivotArea dataOnly="0" labelOnly="1" fieldPosition="0">
        <references count="6">
          <reference field="0" count="1" selected="0">
            <x v="229"/>
          </reference>
          <reference field="1" count="1" selected="0">
            <x v="174"/>
          </reference>
          <reference field="2" count="1" selected="0">
            <x v="91"/>
          </reference>
          <reference field="3" count="1" selected="0">
            <x v="0"/>
          </reference>
          <reference field="12" count="1" selected="0">
            <x v="3"/>
          </reference>
          <reference field="13" count="1">
            <x v="18"/>
          </reference>
        </references>
      </pivotArea>
    </format>
    <format dxfId="635">
      <pivotArea dataOnly="0" labelOnly="1" fieldPosition="0">
        <references count="6">
          <reference field="0" count="1" selected="0">
            <x v="231"/>
          </reference>
          <reference field="1" count="1" selected="0">
            <x v="176"/>
          </reference>
          <reference field="2" count="1" selected="0">
            <x v="42"/>
          </reference>
          <reference field="3" count="1" selected="0">
            <x v="0"/>
          </reference>
          <reference field="12" count="1" selected="0">
            <x v="3"/>
          </reference>
          <reference field="13" count="1">
            <x v="20"/>
          </reference>
        </references>
      </pivotArea>
    </format>
    <format dxfId="634">
      <pivotArea dataOnly="0" labelOnly="1" fieldPosition="0">
        <references count="6">
          <reference field="0" count="1" selected="0">
            <x v="232"/>
          </reference>
          <reference field="1" count="1" selected="0">
            <x v="177"/>
          </reference>
          <reference field="2" count="1" selected="0">
            <x v="47"/>
          </reference>
          <reference field="3" count="1" selected="0">
            <x v="0"/>
          </reference>
          <reference field="12" count="1" selected="0">
            <x v="3"/>
          </reference>
          <reference field="13" count="1">
            <x v="19"/>
          </reference>
        </references>
      </pivotArea>
    </format>
    <format dxfId="633">
      <pivotArea dataOnly="0" labelOnly="1" fieldPosition="0">
        <references count="6">
          <reference field="0" count="1" selected="0">
            <x v="233"/>
          </reference>
          <reference field="1" count="1" selected="0">
            <x v="178"/>
          </reference>
          <reference field="2" count="1" selected="0">
            <x v="32"/>
          </reference>
          <reference field="3" count="1" selected="0">
            <x v="0"/>
          </reference>
          <reference field="12" count="1" selected="0">
            <x v="3"/>
          </reference>
          <reference field="13" count="1">
            <x v="6"/>
          </reference>
        </references>
      </pivotArea>
    </format>
    <format dxfId="632">
      <pivotArea dataOnly="0" labelOnly="1" fieldPosition="0">
        <references count="6">
          <reference field="0" count="1" selected="0">
            <x v="234"/>
          </reference>
          <reference field="1" count="1" selected="0">
            <x v="179"/>
          </reference>
          <reference field="2" count="1" selected="0">
            <x v="163"/>
          </reference>
          <reference field="3" count="1" selected="0">
            <x v="0"/>
          </reference>
          <reference field="12" count="1" selected="0">
            <x v="28"/>
          </reference>
          <reference field="13" count="1">
            <x v="25"/>
          </reference>
        </references>
      </pivotArea>
    </format>
    <format dxfId="631">
      <pivotArea dataOnly="0" labelOnly="1" fieldPosition="0">
        <references count="6">
          <reference field="0" count="1" selected="0">
            <x v="235"/>
          </reference>
          <reference field="1" count="1" selected="0">
            <x v="191"/>
          </reference>
          <reference field="2" count="1" selected="0">
            <x v="155"/>
          </reference>
          <reference field="3" count="1" selected="0">
            <x v="0"/>
          </reference>
          <reference field="12" count="1" selected="0">
            <x v="3"/>
          </reference>
          <reference field="13" count="1">
            <x v="0"/>
          </reference>
        </references>
      </pivotArea>
    </format>
    <format dxfId="630">
      <pivotArea dataOnly="0" labelOnly="1" fieldPosition="0">
        <references count="7">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x v="38"/>
          </reference>
        </references>
      </pivotArea>
    </format>
    <format dxfId="629">
      <pivotArea dataOnly="0" labelOnly="1" fieldPosition="0">
        <references count="7">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x v="0"/>
          </reference>
        </references>
      </pivotArea>
    </format>
    <format dxfId="628">
      <pivotArea dataOnly="0" labelOnly="1" fieldPosition="0">
        <references count="7">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x v="35"/>
          </reference>
        </references>
      </pivotArea>
    </format>
    <format dxfId="627">
      <pivotArea dataOnly="0" labelOnly="1" fieldPosition="0">
        <references count="7">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x v="38"/>
          </reference>
        </references>
      </pivotArea>
    </format>
    <format dxfId="626">
      <pivotArea dataOnly="0" labelOnly="1" fieldPosition="0">
        <references count="7">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x v="28"/>
          </reference>
        </references>
      </pivotArea>
    </format>
    <format dxfId="625">
      <pivotArea dataOnly="0" labelOnly="1" fieldPosition="0">
        <references count="7">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x v="38"/>
          </reference>
        </references>
      </pivotArea>
    </format>
    <format dxfId="624">
      <pivotArea dataOnly="0" labelOnly="1" fieldPosition="0">
        <references count="7">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x v="40"/>
          </reference>
        </references>
      </pivotArea>
    </format>
    <format dxfId="623">
      <pivotArea dataOnly="0" labelOnly="1" fieldPosition="0">
        <references count="7">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x v="38"/>
          </reference>
        </references>
      </pivotArea>
    </format>
    <format dxfId="622">
      <pivotArea dataOnly="0" labelOnly="1" fieldPosition="0">
        <references count="7">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x v="1"/>
          </reference>
        </references>
      </pivotArea>
    </format>
    <format dxfId="621">
      <pivotArea dataOnly="0" labelOnly="1" fieldPosition="0">
        <references count="7">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x v="3"/>
          </reference>
        </references>
      </pivotArea>
    </format>
    <format dxfId="620">
      <pivotArea dataOnly="0" labelOnly="1" fieldPosition="0">
        <references count="7">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x v="19"/>
          </reference>
        </references>
      </pivotArea>
    </format>
    <format dxfId="619">
      <pivotArea dataOnly="0" labelOnly="1" fieldPosition="0">
        <references count="7">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x v="13"/>
          </reference>
        </references>
      </pivotArea>
    </format>
    <format dxfId="618">
      <pivotArea dataOnly="0" labelOnly="1" fieldPosition="0">
        <references count="7">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x v="15"/>
          </reference>
        </references>
      </pivotArea>
    </format>
    <format dxfId="617">
      <pivotArea dataOnly="0" labelOnly="1" fieldPosition="0">
        <references count="7">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x v="61"/>
          </reference>
        </references>
      </pivotArea>
    </format>
    <format dxfId="616">
      <pivotArea dataOnly="0" labelOnly="1" fieldPosition="0">
        <references count="7">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x v="2"/>
          </reference>
        </references>
      </pivotArea>
    </format>
    <format dxfId="615">
      <pivotArea dataOnly="0" labelOnly="1" fieldPosition="0">
        <references count="7">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x v="62"/>
          </reference>
        </references>
      </pivotArea>
    </format>
    <format dxfId="614">
      <pivotArea dataOnly="0" labelOnly="1" fieldPosition="0">
        <references count="7">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x v="58"/>
          </reference>
        </references>
      </pivotArea>
    </format>
    <format dxfId="613">
      <pivotArea dataOnly="0" labelOnly="1" fieldPosition="0">
        <references count="7">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x v="56"/>
          </reference>
        </references>
      </pivotArea>
    </format>
    <format dxfId="612">
      <pivotArea dataOnly="0" labelOnly="1" fieldPosition="0">
        <references count="7">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x v="66"/>
          </reference>
        </references>
      </pivotArea>
    </format>
    <format dxfId="611">
      <pivotArea dataOnly="0" labelOnly="1" fieldPosition="0">
        <references count="7">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x v="34"/>
          </reference>
        </references>
      </pivotArea>
    </format>
    <format dxfId="610">
      <pivotArea dataOnly="0" labelOnly="1" fieldPosition="0">
        <references count="7">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x v="47"/>
          </reference>
        </references>
      </pivotArea>
    </format>
    <format dxfId="609">
      <pivotArea dataOnly="0" labelOnly="1" fieldPosition="0">
        <references count="7">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x v="37"/>
          </reference>
        </references>
      </pivotArea>
    </format>
    <format dxfId="608">
      <pivotArea dataOnly="0" labelOnly="1" fieldPosition="0">
        <references count="7">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x v="36"/>
          </reference>
        </references>
      </pivotArea>
    </format>
    <format dxfId="607">
      <pivotArea dataOnly="0" labelOnly="1" fieldPosition="0">
        <references count="7">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x v="0"/>
          </reference>
        </references>
      </pivotArea>
    </format>
    <format dxfId="606">
      <pivotArea dataOnly="0" labelOnly="1" fieldPosition="0">
        <references count="7">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x v="14"/>
          </reference>
        </references>
      </pivotArea>
    </format>
    <format dxfId="605">
      <pivotArea dataOnly="0" labelOnly="1" fieldPosition="0">
        <references count="7">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x v="0"/>
          </reference>
        </references>
      </pivotArea>
    </format>
    <format dxfId="604">
      <pivotArea dataOnly="0" labelOnly="1" fieldPosition="0">
        <references count="7">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x v="0"/>
          </reference>
        </references>
      </pivotArea>
    </format>
    <format dxfId="603">
      <pivotArea dataOnly="0" labelOnly="1" fieldPosition="0">
        <references count="7">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x v="4"/>
          </reference>
        </references>
      </pivotArea>
    </format>
    <format dxfId="602">
      <pivotArea dataOnly="0" labelOnly="1" fieldPosition="0">
        <references count="7">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x v="53"/>
          </reference>
        </references>
      </pivotArea>
    </format>
    <format dxfId="601">
      <pivotArea dataOnly="0" labelOnly="1" fieldPosition="0">
        <references count="7">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x v="25"/>
          </reference>
        </references>
      </pivotArea>
    </format>
    <format dxfId="600">
      <pivotArea dataOnly="0" labelOnly="1" fieldPosition="0">
        <references count="7">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x v="0"/>
          </reference>
        </references>
      </pivotArea>
    </format>
    <format dxfId="599">
      <pivotArea dataOnly="0" labelOnly="1" fieldPosition="0">
        <references count="7">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x v="50"/>
          </reference>
        </references>
      </pivotArea>
    </format>
    <format dxfId="598">
      <pivotArea dataOnly="0" labelOnly="1" fieldPosition="0">
        <references count="7">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x v="49"/>
          </reference>
        </references>
      </pivotArea>
    </format>
    <format dxfId="597">
      <pivotArea dataOnly="0" labelOnly="1" fieldPosition="0">
        <references count="7">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x v="16"/>
          </reference>
        </references>
      </pivotArea>
    </format>
    <format dxfId="596">
      <pivotArea dataOnly="0" labelOnly="1" fieldPosition="0">
        <references count="7">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x v="6"/>
          </reference>
        </references>
      </pivotArea>
    </format>
    <format dxfId="595">
      <pivotArea dataOnly="0" labelOnly="1" fieldPosition="0">
        <references count="7">
          <reference field="0" count="1" selected="0">
            <x v="102"/>
          </reference>
          <reference field="1" count="1" selected="0">
            <x v="89"/>
          </reference>
          <reference field="2" count="1" selected="0">
            <x v="14"/>
          </reference>
          <reference field="3" count="1" selected="0">
            <x v="0"/>
          </reference>
          <reference field="12" count="1" selected="0">
            <x v="3"/>
          </reference>
          <reference field="13" count="1" selected="0">
            <x v="0"/>
          </reference>
          <reference field="14" count="1">
            <x v="16"/>
          </reference>
        </references>
      </pivotArea>
    </format>
    <format dxfId="594">
      <pivotArea dataOnly="0" labelOnly="1" fieldPosition="0">
        <references count="7">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x v="54"/>
          </reference>
        </references>
      </pivotArea>
    </format>
    <format dxfId="593">
      <pivotArea dataOnly="0" labelOnly="1" fieldPosition="0">
        <references count="7">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x v="55"/>
          </reference>
        </references>
      </pivotArea>
    </format>
    <format dxfId="592">
      <pivotArea dataOnly="0" labelOnly="1" fieldPosition="0">
        <references count="7">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x v="4"/>
          </reference>
        </references>
      </pivotArea>
    </format>
    <format dxfId="591">
      <pivotArea dataOnly="0" labelOnly="1" fieldPosition="0">
        <references count="7">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x v="7"/>
          </reference>
        </references>
      </pivotArea>
    </format>
    <format dxfId="590">
      <pivotArea dataOnly="0" labelOnly="1" fieldPosition="0">
        <references count="7">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x v="11"/>
          </reference>
        </references>
      </pivotArea>
    </format>
    <format dxfId="589">
      <pivotArea dataOnly="0" labelOnly="1" fieldPosition="0">
        <references count="7">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x v="38"/>
          </reference>
        </references>
      </pivotArea>
    </format>
    <format dxfId="588">
      <pivotArea dataOnly="0" labelOnly="1" fieldPosition="0">
        <references count="7">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x v="34"/>
          </reference>
        </references>
      </pivotArea>
    </format>
    <format dxfId="587">
      <pivotArea dataOnly="0" labelOnly="1" fieldPosition="0">
        <references count="7">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x v="37"/>
          </reference>
        </references>
      </pivotArea>
    </format>
    <format dxfId="586">
      <pivotArea dataOnly="0" labelOnly="1" fieldPosition="0">
        <references count="7">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x v="36"/>
          </reference>
        </references>
      </pivotArea>
    </format>
    <format dxfId="585">
      <pivotArea dataOnly="0" labelOnly="1" fieldPosition="0">
        <references count="7">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x v="37"/>
          </reference>
        </references>
      </pivotArea>
    </format>
    <format dxfId="584">
      <pivotArea dataOnly="0" labelOnly="1" fieldPosition="0">
        <references count="7">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x v="34"/>
          </reference>
        </references>
      </pivotArea>
    </format>
    <format dxfId="583">
      <pivotArea dataOnly="0" labelOnly="1" fieldPosition="0">
        <references count="7">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x v="37"/>
          </reference>
        </references>
      </pivotArea>
    </format>
    <format dxfId="582">
      <pivotArea dataOnly="0" labelOnly="1" fieldPosition="0">
        <references count="7">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x v="0"/>
          </reference>
        </references>
      </pivotArea>
    </format>
    <format dxfId="581">
      <pivotArea dataOnly="0" labelOnly="1" fieldPosition="0">
        <references count="7">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x v="23"/>
          </reference>
        </references>
      </pivotArea>
    </format>
    <format dxfId="580">
      <pivotArea dataOnly="0" labelOnly="1" fieldPosition="0">
        <references count="7">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x v="22"/>
          </reference>
        </references>
      </pivotArea>
    </format>
    <format dxfId="579">
      <pivotArea dataOnly="0" labelOnly="1" fieldPosition="0">
        <references count="7">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x v="14"/>
          </reference>
        </references>
      </pivotArea>
    </format>
    <format dxfId="578">
      <pivotArea dataOnly="0" labelOnly="1" fieldPosition="0">
        <references count="7">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x v="24"/>
          </reference>
        </references>
      </pivotArea>
    </format>
    <format dxfId="577">
      <pivotArea dataOnly="0" labelOnly="1" fieldPosition="0">
        <references count="7">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x v="18"/>
          </reference>
        </references>
      </pivotArea>
    </format>
    <format dxfId="576">
      <pivotArea dataOnly="0" labelOnly="1" fieldPosition="0">
        <references count="7">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x v="51"/>
          </reference>
        </references>
      </pivotArea>
    </format>
    <format dxfId="575">
      <pivotArea dataOnly="0" labelOnly="1" fieldPosition="0">
        <references count="7">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x v="52"/>
          </reference>
        </references>
      </pivotArea>
    </format>
    <format dxfId="574">
      <pivotArea dataOnly="0" labelOnly="1" fieldPosition="0">
        <references count="7">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x v="65"/>
          </reference>
        </references>
      </pivotArea>
    </format>
    <format dxfId="573">
      <pivotArea dataOnly="0" labelOnly="1" fieldPosition="0">
        <references count="7">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x v="26"/>
          </reference>
        </references>
      </pivotArea>
    </format>
    <format dxfId="572">
      <pivotArea dataOnly="0" labelOnly="1" fieldPosition="0">
        <references count="7">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x v="21"/>
          </reference>
        </references>
      </pivotArea>
    </format>
    <format dxfId="571">
      <pivotArea dataOnly="0" labelOnly="1" fieldPosition="0">
        <references count="7">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x v="7"/>
          </reference>
        </references>
      </pivotArea>
    </format>
    <format dxfId="570">
      <pivotArea dataOnly="0" labelOnly="1" fieldPosition="0">
        <references count="7">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x v="52"/>
          </reference>
        </references>
      </pivotArea>
    </format>
    <format dxfId="569">
      <pivotArea dataOnly="0" labelOnly="1" fieldPosition="0">
        <references count="7">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x v="8"/>
          </reference>
        </references>
      </pivotArea>
    </format>
    <format dxfId="568">
      <pivotArea dataOnly="0" labelOnly="1" fieldPosition="0">
        <references count="7">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x v="20"/>
          </reference>
        </references>
      </pivotArea>
    </format>
    <format dxfId="567">
      <pivotArea dataOnly="0" labelOnly="1" fieldPosition="0">
        <references count="7">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x v="26"/>
          </reference>
        </references>
      </pivotArea>
    </format>
    <format dxfId="566">
      <pivotArea dataOnly="0" labelOnly="1" fieldPosition="0">
        <references count="7">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x v="27"/>
          </reference>
        </references>
      </pivotArea>
    </format>
    <format dxfId="565">
      <pivotArea dataOnly="0" labelOnly="1" fieldPosition="0">
        <references count="7">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x v="26"/>
          </reference>
        </references>
      </pivotArea>
    </format>
    <format dxfId="564">
      <pivotArea dataOnly="0" labelOnly="1" fieldPosition="0">
        <references count="7">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x v="32"/>
          </reference>
        </references>
      </pivotArea>
    </format>
    <format dxfId="563">
      <pivotArea dataOnly="0" labelOnly="1" fieldPosition="0">
        <references count="7">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x v="38"/>
          </reference>
        </references>
      </pivotArea>
    </format>
    <format dxfId="562">
      <pivotArea dataOnly="0" labelOnly="1" fieldPosition="0">
        <references count="7">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x v="44"/>
          </reference>
        </references>
      </pivotArea>
    </format>
    <format dxfId="561">
      <pivotArea dataOnly="0" labelOnly="1" fieldPosition="0">
        <references count="7">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x v="45"/>
          </reference>
        </references>
      </pivotArea>
    </format>
    <format dxfId="560">
      <pivotArea dataOnly="0" labelOnly="1" fieldPosition="0">
        <references count="7">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x v="42"/>
          </reference>
        </references>
      </pivotArea>
    </format>
    <format dxfId="559">
      <pivotArea dataOnly="0" labelOnly="1" fieldPosition="0">
        <references count="7">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x v="46"/>
          </reference>
        </references>
      </pivotArea>
    </format>
    <format dxfId="558">
      <pivotArea dataOnly="0" labelOnly="1" fieldPosition="0">
        <references count="7">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x v="63"/>
          </reference>
        </references>
      </pivotArea>
    </format>
    <format dxfId="557">
      <pivotArea dataOnly="0" labelOnly="1" fieldPosition="0">
        <references count="7">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x v="38"/>
          </reference>
        </references>
      </pivotArea>
    </format>
    <format dxfId="556">
      <pivotArea dataOnly="0" labelOnly="1" fieldPosition="0">
        <references count="7">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x v="0"/>
          </reference>
        </references>
      </pivotArea>
    </format>
    <format dxfId="555">
      <pivotArea dataOnly="0" labelOnly="1" fieldPosition="0">
        <references count="7">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x v="20"/>
          </reference>
        </references>
      </pivotArea>
    </format>
    <format dxfId="554">
      <pivotArea dataOnly="0" labelOnly="1" fieldPosition="0">
        <references count="7">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x v="0"/>
          </reference>
        </references>
      </pivotArea>
    </format>
    <format dxfId="553">
      <pivotArea dataOnly="0" labelOnly="1" fieldPosition="0">
        <references count="7">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x v="39"/>
          </reference>
        </references>
      </pivotArea>
    </format>
    <format dxfId="552">
      <pivotArea dataOnly="0" labelOnly="1" fieldPosition="0">
        <references count="7">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x v="38"/>
          </reference>
        </references>
      </pivotArea>
    </format>
    <format dxfId="551">
      <pivotArea dataOnly="0" labelOnly="1" fieldPosition="0">
        <references count="7">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x v="29"/>
          </reference>
        </references>
      </pivotArea>
    </format>
    <format dxfId="550">
      <pivotArea dataOnly="0" labelOnly="1" fieldPosition="0">
        <references count="7">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x v="31"/>
          </reference>
        </references>
      </pivotArea>
    </format>
    <format dxfId="549">
      <pivotArea dataOnly="0" labelOnly="1" fieldPosition="0">
        <references count="7">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x v="0"/>
          </reference>
        </references>
      </pivotArea>
    </format>
    <format dxfId="548">
      <pivotArea dataOnly="0" labelOnly="1" fieldPosition="0">
        <references count="7">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x v="66"/>
          </reference>
        </references>
      </pivotArea>
    </format>
    <format dxfId="547">
      <pivotArea dataOnly="0" labelOnly="1" fieldPosition="0">
        <references count="7">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x v="0"/>
          </reference>
        </references>
      </pivotArea>
    </format>
    <format dxfId="546">
      <pivotArea dataOnly="0" labelOnly="1" fieldPosition="0">
        <references count="7">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x v="57"/>
          </reference>
        </references>
      </pivotArea>
    </format>
    <format dxfId="545">
      <pivotArea dataOnly="0" labelOnly="1" fieldPosition="0">
        <references count="7">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x v="60"/>
          </reference>
        </references>
      </pivotArea>
    </format>
    <format dxfId="544">
      <pivotArea dataOnly="0" labelOnly="1" fieldPosition="0">
        <references count="7">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x v="0"/>
          </reference>
        </references>
      </pivotArea>
    </format>
    <format dxfId="543">
      <pivotArea dataOnly="0" labelOnly="1" fieldPosition="0">
        <references count="7">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x v="18"/>
          </reference>
        </references>
      </pivotArea>
    </format>
    <format dxfId="542">
      <pivotArea dataOnly="0" labelOnly="1" fieldPosition="0">
        <references count="7">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x v="38"/>
          </reference>
        </references>
      </pivotArea>
    </format>
    <format dxfId="541">
      <pivotArea dataOnly="0" labelOnly="1" fieldPosition="0">
        <references count="7">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x v="34"/>
          </reference>
        </references>
      </pivotArea>
    </format>
    <format dxfId="540">
      <pivotArea dataOnly="0" labelOnly="1" fieldPosition="0">
        <references count="7">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x v="36"/>
          </reference>
        </references>
      </pivotArea>
    </format>
    <format dxfId="539">
      <pivotArea dataOnly="0" labelOnly="1" fieldPosition="0">
        <references count="7">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x v="38"/>
          </reference>
        </references>
      </pivotArea>
    </format>
    <format dxfId="538">
      <pivotArea dataOnly="0" labelOnly="1" fieldPosition="0">
        <references count="7">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x v="67"/>
          </reference>
        </references>
      </pivotArea>
    </format>
    <format dxfId="537">
      <pivotArea dataOnly="0" labelOnly="1" fieldPosition="0">
        <references count="7">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x v="38"/>
          </reference>
        </references>
      </pivotArea>
    </format>
    <format dxfId="536">
      <pivotArea dataOnly="0" labelOnly="1" fieldPosition="0">
        <references count="7">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x v="0"/>
          </reference>
        </references>
      </pivotArea>
    </format>
    <format dxfId="535">
      <pivotArea dataOnly="0" labelOnly="1" fieldPosition="0">
        <references count="8">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x v="15"/>
          </reference>
        </references>
      </pivotArea>
    </format>
    <format dxfId="534">
      <pivotArea dataOnly="0" labelOnly="1" fieldPosition="0">
        <references count="8">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x v="14"/>
          </reference>
        </references>
      </pivotArea>
    </format>
    <format dxfId="533">
      <pivotArea dataOnly="0" labelOnly="1" fieldPosition="0">
        <references count="8">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532">
      <pivotArea dataOnly="0" labelOnly="1" fieldPosition="0">
        <references count="8">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531">
      <pivotArea dataOnly="0" labelOnly="1" fieldPosition="0">
        <references count="8">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530">
      <pivotArea dataOnly="0" labelOnly="1" fieldPosition="0">
        <references count="8">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x v="15"/>
          </reference>
        </references>
      </pivotArea>
    </format>
    <format dxfId="529">
      <pivotArea dataOnly="0" labelOnly="1" fieldPosition="0">
        <references count="8">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x v="14"/>
          </reference>
        </references>
      </pivotArea>
    </format>
    <format dxfId="528">
      <pivotArea dataOnly="0" labelOnly="1" fieldPosition="0">
        <references count="8">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x v="21"/>
          </reference>
        </references>
      </pivotArea>
    </format>
    <format dxfId="527">
      <pivotArea dataOnly="0" labelOnly="1" fieldPosition="0">
        <references count="8">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x v="45"/>
          </reference>
        </references>
      </pivotArea>
    </format>
    <format dxfId="526">
      <pivotArea dataOnly="0" labelOnly="1" fieldPosition="0">
        <references count="8">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x v="0"/>
          </reference>
        </references>
      </pivotArea>
    </format>
    <format dxfId="525">
      <pivotArea dataOnly="0" labelOnly="1" fieldPosition="0">
        <references count="8">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x v="12"/>
          </reference>
        </references>
      </pivotArea>
    </format>
    <format dxfId="524">
      <pivotArea dataOnly="0" labelOnly="1" fieldPosition="0">
        <references count="8">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x v="11"/>
          </reference>
        </references>
      </pivotArea>
    </format>
    <format dxfId="523">
      <pivotArea dataOnly="0" labelOnly="1" fieldPosition="0">
        <references count="8">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x v="0"/>
          </reference>
        </references>
      </pivotArea>
    </format>
    <format dxfId="522">
      <pivotArea dataOnly="0" labelOnly="1" fieldPosition="0">
        <references count="8">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x v="23"/>
          </reference>
        </references>
      </pivotArea>
    </format>
    <format dxfId="521">
      <pivotArea dataOnly="0" labelOnly="1" fieldPosition="0">
        <references count="8">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520">
      <pivotArea dataOnly="0" labelOnly="1" fieldPosition="0">
        <references count="8">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x v="0"/>
          </reference>
        </references>
      </pivotArea>
    </format>
    <format dxfId="519">
      <pivotArea dataOnly="0" labelOnly="1" fieldPosition="0">
        <references count="8">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518">
      <pivotArea dataOnly="0" labelOnly="1" fieldPosition="0">
        <references count="8">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x v="22"/>
          </reference>
        </references>
      </pivotArea>
    </format>
    <format dxfId="517">
      <pivotArea dataOnly="0" labelOnly="1" fieldPosition="0">
        <references count="8">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x v="17"/>
          </reference>
        </references>
      </pivotArea>
    </format>
    <format dxfId="516">
      <pivotArea dataOnly="0" labelOnly="1" fieldPosition="0">
        <references count="8">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515">
      <pivotArea dataOnly="0" labelOnly="1" fieldPosition="0">
        <references count="8">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x v="40"/>
          </reference>
        </references>
      </pivotArea>
    </format>
    <format dxfId="514">
      <pivotArea dataOnly="0" labelOnly="1" fieldPosition="0">
        <references count="8">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x v="41"/>
          </reference>
        </references>
      </pivotArea>
    </format>
    <format dxfId="513">
      <pivotArea dataOnly="0" labelOnly="1" fieldPosition="0">
        <references count="8">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x v="0"/>
          </reference>
        </references>
      </pivotArea>
    </format>
    <format dxfId="512">
      <pivotArea dataOnly="0" labelOnly="1" fieldPosition="0">
        <references count="8">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511">
      <pivotArea dataOnly="0" labelOnly="1" fieldPosition="0">
        <references count="8">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x v="29"/>
          </reference>
        </references>
      </pivotArea>
    </format>
    <format dxfId="510">
      <pivotArea dataOnly="0" labelOnly="1" fieldPosition="0">
        <references count="8">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x v="26"/>
          </reference>
        </references>
      </pivotArea>
    </format>
    <format dxfId="509">
      <pivotArea dataOnly="0" labelOnly="1" fieldPosition="0">
        <references count="8">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x v="0"/>
          </reference>
        </references>
      </pivotArea>
    </format>
    <format dxfId="508">
      <pivotArea dataOnly="0" labelOnly="1" fieldPosition="0">
        <references count="8">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x v="29"/>
          </reference>
        </references>
      </pivotArea>
    </format>
    <format dxfId="507">
      <pivotArea dataOnly="0" labelOnly="1" fieldPosition="0">
        <references count="8">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x v="0"/>
          </reference>
        </references>
      </pivotArea>
    </format>
    <format dxfId="506">
      <pivotArea dataOnly="0" labelOnly="1" fieldPosition="0">
        <references count="8">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505">
      <pivotArea dataOnly="0" labelOnly="1" fieldPosition="0">
        <references count="8">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x v="28"/>
          </reference>
        </references>
      </pivotArea>
    </format>
    <format dxfId="504">
      <pivotArea dataOnly="0" labelOnly="1" fieldPosition="0">
        <references count="8">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selected="0">
            <x v="16"/>
          </reference>
          <reference field="15" count="1">
            <x v="26"/>
          </reference>
        </references>
      </pivotArea>
    </format>
    <format dxfId="503">
      <pivotArea dataOnly="0" labelOnly="1" fieldPosition="0">
        <references count="8">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x v="0"/>
          </reference>
        </references>
      </pivotArea>
    </format>
    <format dxfId="502">
      <pivotArea dataOnly="0" labelOnly="1" fieldPosition="0">
        <references count="8">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501">
      <pivotArea dataOnly="0" labelOnly="1" fieldPosition="0">
        <references count="8">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x v="0"/>
          </reference>
        </references>
      </pivotArea>
    </format>
    <format dxfId="500">
      <pivotArea dataOnly="0" labelOnly="1" fieldPosition="0">
        <references count="8">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x v="30"/>
          </reference>
        </references>
      </pivotArea>
    </format>
    <format dxfId="499">
      <pivotArea dataOnly="0" labelOnly="1" fieldPosition="0">
        <references count="8">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x v="31"/>
          </reference>
        </references>
      </pivotArea>
    </format>
    <format dxfId="498">
      <pivotArea dataOnly="0" labelOnly="1" fieldPosition="0">
        <references count="8">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x v="26"/>
          </reference>
        </references>
      </pivotArea>
    </format>
    <format dxfId="497">
      <pivotArea dataOnly="0" labelOnly="1" fieldPosition="0">
        <references count="8">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x v="27"/>
          </reference>
        </references>
      </pivotArea>
    </format>
    <format dxfId="496">
      <pivotArea dataOnly="0" labelOnly="1" fieldPosition="0">
        <references count="8">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x v="0"/>
          </reference>
        </references>
      </pivotArea>
    </format>
    <format dxfId="495">
      <pivotArea dataOnly="0" labelOnly="1" fieldPosition="0">
        <references count="8">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x v="32"/>
          </reference>
        </references>
      </pivotArea>
    </format>
    <format dxfId="494">
      <pivotArea dataOnly="0" labelOnly="1" fieldPosition="0">
        <references count="8">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x v="0"/>
          </reference>
        </references>
      </pivotArea>
    </format>
    <format dxfId="493">
      <pivotArea dataOnly="0" labelOnly="1" fieldPosition="0">
        <references count="8">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x v="32"/>
          </reference>
        </references>
      </pivotArea>
    </format>
    <format dxfId="492">
      <pivotArea dataOnly="0" labelOnly="1" fieldPosition="0">
        <references count="8">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x v="43"/>
          </reference>
        </references>
      </pivotArea>
    </format>
    <format dxfId="491">
      <pivotArea dataOnly="0" labelOnly="1" fieldPosition="0">
        <references count="8">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x v="0"/>
          </reference>
        </references>
      </pivotArea>
    </format>
    <format dxfId="490">
      <pivotArea dataOnly="0" labelOnly="1" fieldPosition="0">
        <references count="8">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x v="33"/>
          </reference>
        </references>
      </pivotArea>
    </format>
    <format dxfId="489">
      <pivotArea dataOnly="0" labelOnly="1" fieldPosition="0">
        <references count="8">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x v="24"/>
          </reference>
        </references>
      </pivotArea>
    </format>
    <format dxfId="488">
      <pivotArea dataOnly="0" labelOnly="1" fieldPosition="0">
        <references count="8">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487">
      <pivotArea dataOnly="0" labelOnly="1" fieldPosition="0">
        <references count="8">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x v="0"/>
          </reference>
        </references>
      </pivotArea>
    </format>
    <format dxfId="486">
      <pivotArea dataOnly="0" labelOnly="1" fieldPosition="0">
        <references count="8">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x v="3"/>
          </reference>
        </references>
      </pivotArea>
    </format>
    <format dxfId="485">
      <pivotArea dataOnly="0" labelOnly="1" fieldPosition="0">
        <references count="8">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x v="1"/>
          </reference>
        </references>
      </pivotArea>
    </format>
    <format dxfId="484">
      <pivotArea dataOnly="0" labelOnly="1" fieldPosition="0">
        <references count="8">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x v="8"/>
          </reference>
        </references>
      </pivotArea>
    </format>
    <format dxfId="483">
      <pivotArea dataOnly="0" labelOnly="1" fieldPosition="0">
        <references count="8">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x v="7"/>
          </reference>
        </references>
      </pivotArea>
    </format>
    <format dxfId="482">
      <pivotArea dataOnly="0" labelOnly="1" fieldPosition="0">
        <references count="8">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x v="0"/>
          </reference>
        </references>
      </pivotArea>
    </format>
    <format dxfId="481">
      <pivotArea dataOnly="0" labelOnly="1" fieldPosition="0">
        <references count="8">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x v="5"/>
          </reference>
        </references>
      </pivotArea>
    </format>
    <format dxfId="480">
      <pivotArea dataOnly="0" labelOnly="1" fieldPosition="0">
        <references count="8">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479">
      <pivotArea dataOnly="0" labelOnly="1" fieldPosition="0">
        <references count="8">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x v="19"/>
          </reference>
        </references>
      </pivotArea>
    </format>
    <format dxfId="478">
      <pivotArea dataOnly="0" labelOnly="1" fieldPosition="0">
        <references count="8">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x v="18"/>
          </reference>
        </references>
      </pivotArea>
    </format>
    <format dxfId="477">
      <pivotArea dataOnly="0" labelOnly="1" fieldPosition="0">
        <references count="8">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x v="30"/>
          </reference>
        </references>
      </pivotArea>
    </format>
    <format dxfId="476">
      <pivotArea dataOnly="0" labelOnly="1" fieldPosition="0">
        <references count="8">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x v="38"/>
          </reference>
        </references>
      </pivotArea>
    </format>
    <format dxfId="475">
      <pivotArea dataOnly="0" labelOnly="1" fieldPosition="0">
        <references count="8">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x v="0"/>
          </reference>
        </references>
      </pivotArea>
    </format>
    <format dxfId="474">
      <pivotArea dataOnly="0" labelOnly="1" fieldPosition="0">
        <references count="8">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x v="10"/>
          </reference>
        </references>
      </pivotArea>
    </format>
    <format dxfId="473">
      <pivotArea dataOnly="0" labelOnly="1" fieldPosition="0">
        <references count="8">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472">
      <pivotArea dataOnly="0" labelOnly="1" fieldPosition="0">
        <references count="8">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x v="39"/>
          </reference>
        </references>
      </pivotArea>
    </format>
    <format dxfId="471">
      <pivotArea dataOnly="0" labelOnly="1" fieldPosition="0">
        <references count="8">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x v="43"/>
          </reference>
        </references>
      </pivotArea>
    </format>
    <format dxfId="470">
      <pivotArea dataOnly="0" labelOnly="1" fieldPosition="0">
        <references count="8">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469">
      <pivotArea dataOnly="0" labelOnly="1" fieldPosition="0">
        <references count="8">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468">
      <pivotArea dataOnly="0" labelOnly="1" fieldPosition="0">
        <references count="8">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467">
      <pivotArea dataOnly="0" labelOnly="1" fieldPosition="0">
        <references count="8">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x v="37"/>
          </reference>
        </references>
      </pivotArea>
    </format>
    <format dxfId="466">
      <pivotArea dataOnly="0" labelOnly="1" fieldPosition="0">
        <references count="8">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x v="15"/>
          </reference>
        </references>
      </pivotArea>
    </format>
    <format dxfId="465">
      <pivotArea dataOnly="0" labelOnly="1" fieldPosition="0">
        <references count="8">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464">
      <pivotArea dataOnly="0" labelOnly="1" fieldPosition="0">
        <references count="8">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x v="23"/>
          </reference>
        </references>
      </pivotArea>
    </format>
    <format dxfId="463">
      <pivotArea dataOnly="0" labelOnly="1" fieldPosition="0">
        <references count="8">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462">
      <pivotArea dataOnly="0" labelOnly="1" fieldPosition="0">
        <references count="8">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x v="36"/>
          </reference>
        </references>
      </pivotArea>
    </format>
    <format dxfId="461">
      <pivotArea dataOnly="0" labelOnly="1" fieldPosition="0">
        <references count="8">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x v="9"/>
          </reference>
        </references>
      </pivotArea>
    </format>
    <format dxfId="460">
      <pivotArea dataOnly="0" labelOnly="1" fieldPosition="0">
        <references count="8">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x v="15"/>
          </reference>
        </references>
      </pivotArea>
    </format>
    <format dxfId="459">
      <pivotArea dataOnly="0" labelOnly="1" fieldPosition="0">
        <references count="8">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x v="47"/>
          </reference>
        </references>
      </pivotArea>
    </format>
    <format dxfId="458">
      <pivotArea dataOnly="0" labelOnly="1" fieldPosition="0">
        <references count="8">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457">
      <pivotArea dataOnly="0" labelOnly="1" fieldPosition="0">
        <references count="9">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selected="0">
            <x v="15"/>
          </reference>
          <reference field="16" count="1">
            <x v="63"/>
          </reference>
        </references>
      </pivotArea>
    </format>
    <format dxfId="456">
      <pivotArea dataOnly="0" labelOnly="1" fieldPosition="0">
        <references count="9">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selected="0">
            <x v="14"/>
          </reference>
          <reference field="16" count="1">
            <x v="62"/>
          </reference>
        </references>
      </pivotArea>
    </format>
    <format dxfId="455">
      <pivotArea dataOnly="0" labelOnly="1" fieldPosition="0">
        <references count="9">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454">
      <pivotArea dataOnly="0" labelOnly="1" fieldPosition="0">
        <references count="9">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63"/>
          </reference>
        </references>
      </pivotArea>
    </format>
    <format dxfId="453">
      <pivotArea dataOnly="0" labelOnly="1" fieldPosition="0">
        <references count="9">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452">
      <pivotArea dataOnly="0" labelOnly="1" fieldPosition="0">
        <references count="9">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selected="0">
            <x v="15"/>
          </reference>
          <reference field="16" count="1">
            <x v="63"/>
          </reference>
        </references>
      </pivotArea>
    </format>
    <format dxfId="451">
      <pivotArea dataOnly="0" labelOnly="1" fieldPosition="0">
        <references count="9">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selected="0">
            <x v="14"/>
          </reference>
          <reference field="16" count="1">
            <x v="0"/>
          </reference>
        </references>
      </pivotArea>
    </format>
    <format dxfId="450">
      <pivotArea dataOnly="0" labelOnly="1" fieldPosition="0">
        <references count="9">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selected="0">
            <x v="21"/>
          </reference>
          <reference field="16" count="1">
            <x v="7"/>
          </reference>
        </references>
      </pivotArea>
    </format>
    <format dxfId="449">
      <pivotArea dataOnly="0" labelOnly="1" fieldPosition="0">
        <references count="9">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selected="0">
            <x v="45"/>
          </reference>
          <reference field="16" count="1">
            <x v="4"/>
          </reference>
        </references>
      </pivotArea>
    </format>
    <format dxfId="448">
      <pivotArea dataOnly="0" labelOnly="1" fieldPosition="0">
        <references count="9">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selected="0">
            <x v="0"/>
          </reference>
          <reference field="16" count="1">
            <x v="0"/>
          </reference>
        </references>
      </pivotArea>
    </format>
    <format dxfId="447">
      <pivotArea dataOnly="0" labelOnly="1" fieldPosition="0">
        <references count="9">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selected="0">
            <x v="23"/>
          </reference>
          <reference field="16" count="1">
            <x v="13"/>
          </reference>
        </references>
      </pivotArea>
    </format>
    <format dxfId="446">
      <pivotArea dataOnly="0" labelOnly="1" fieldPosition="0">
        <references count="9">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selected="0">
            <x v="23"/>
          </reference>
          <reference field="16" count="1">
            <x v="2"/>
          </reference>
        </references>
      </pivotArea>
    </format>
    <format dxfId="445">
      <pivotArea dataOnly="0" labelOnly="1" fieldPosition="0">
        <references count="9">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39"/>
          </reference>
        </references>
      </pivotArea>
    </format>
    <format dxfId="444">
      <pivotArea dataOnly="0" labelOnly="1" fieldPosition="0">
        <references count="9">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40"/>
          </reference>
        </references>
      </pivotArea>
    </format>
    <format dxfId="443">
      <pivotArea dataOnly="0" labelOnly="1" fieldPosition="0">
        <references count="9">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selected="0">
            <x v="16"/>
          </reference>
          <reference field="16" count="1">
            <x v="35"/>
          </reference>
        </references>
      </pivotArea>
    </format>
    <format dxfId="442">
      <pivotArea dataOnly="0" labelOnly="1" fieldPosition="0">
        <references count="9">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selected="0">
            <x v="0"/>
          </reference>
          <reference field="16" count="1">
            <x v="0"/>
          </reference>
        </references>
      </pivotArea>
    </format>
    <format dxfId="441">
      <pivotArea dataOnly="0" labelOnly="1" fieldPosition="0">
        <references count="9">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36"/>
          </reference>
        </references>
      </pivotArea>
    </format>
    <format dxfId="440">
      <pivotArea dataOnly="0" labelOnly="1" fieldPosition="0">
        <references count="9">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439">
      <pivotArea dataOnly="0" labelOnly="1" fieldPosition="0">
        <references count="9">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selected="0">
            <x v="22"/>
          </reference>
          <reference field="16" count="1">
            <x v="37"/>
          </reference>
        </references>
      </pivotArea>
    </format>
    <format dxfId="438">
      <pivotArea dataOnly="0" labelOnly="1" fieldPosition="0">
        <references count="9">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selected="0">
            <x v="17"/>
          </reference>
          <reference field="16" count="1">
            <x v="0"/>
          </reference>
        </references>
      </pivotArea>
    </format>
    <format dxfId="437">
      <pivotArea dataOnly="0" labelOnly="1" fieldPosition="0">
        <references count="9">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436">
      <pivotArea dataOnly="0" labelOnly="1" fieldPosition="0">
        <references count="9">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selected="0">
            <x v="43"/>
          </reference>
          <reference field="16" count="1">
            <x v="0"/>
          </reference>
        </references>
      </pivotArea>
    </format>
    <format dxfId="435">
      <pivotArea dataOnly="0" labelOnly="1" fieldPosition="0">
        <references count="9">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selected="0">
            <x v="40"/>
          </reference>
          <reference field="16" count="1">
            <x v="31"/>
          </reference>
        </references>
      </pivotArea>
    </format>
    <format dxfId="434">
      <pivotArea dataOnly="0" labelOnly="1" fieldPosition="0">
        <references count="9">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selected="0">
            <x v="41"/>
          </reference>
          <reference field="16" count="1">
            <x v="32"/>
          </reference>
        </references>
      </pivotArea>
    </format>
    <format dxfId="433">
      <pivotArea dataOnly="0" labelOnly="1" fieldPosition="0">
        <references count="9">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selected="0">
            <x v="0"/>
          </reference>
          <reference field="16" count="1">
            <x v="0"/>
          </reference>
        </references>
      </pivotArea>
    </format>
    <format dxfId="432">
      <pivotArea dataOnly="0" labelOnly="1" fieldPosition="0">
        <references count="9">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2"/>
          </reference>
        </references>
      </pivotArea>
    </format>
    <format dxfId="431">
      <pivotArea dataOnly="0" labelOnly="1" fieldPosition="0">
        <references count="9">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0"/>
          </reference>
        </references>
      </pivotArea>
    </format>
    <format dxfId="430">
      <pivotArea dataOnly="0" labelOnly="1" fieldPosition="0">
        <references count="9">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selected="0">
            <x v="29"/>
          </reference>
          <reference field="16" count="1">
            <x v="0"/>
          </reference>
        </references>
      </pivotArea>
    </format>
    <format dxfId="429">
      <pivotArea dataOnly="0" labelOnly="1" fieldPosition="0">
        <references count="9">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selected="0">
            <x v="26"/>
          </reference>
          <reference field="16" count="1">
            <x v="6"/>
          </reference>
        </references>
      </pivotArea>
    </format>
    <format dxfId="428">
      <pivotArea dataOnly="0" labelOnly="1" fieldPosition="0">
        <references count="9">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selected="0">
            <x v="0"/>
          </reference>
          <reference field="16" count="1">
            <x v="59"/>
          </reference>
        </references>
      </pivotArea>
    </format>
    <format dxfId="427">
      <pivotArea dataOnly="0" labelOnly="1" fieldPosition="0">
        <references count="9">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selected="0">
            <x v="29"/>
          </reference>
          <reference field="16" count="1">
            <x v="0"/>
          </reference>
        </references>
      </pivotArea>
    </format>
    <format dxfId="426">
      <pivotArea dataOnly="0" labelOnly="1" fieldPosition="0">
        <references count="9">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selected="0">
            <x v="0"/>
          </reference>
          <reference field="16" count="1">
            <x v="52"/>
          </reference>
        </references>
      </pivotArea>
    </format>
    <format dxfId="425">
      <pivotArea dataOnly="0" labelOnly="1" fieldPosition="0">
        <references count="9">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0"/>
          </reference>
        </references>
      </pivotArea>
    </format>
    <format dxfId="424">
      <pivotArea dataOnly="0" labelOnly="1" fieldPosition="0">
        <references count="9">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2"/>
          </reference>
        </references>
      </pivotArea>
    </format>
    <format dxfId="423">
      <pivotArea dataOnly="0" labelOnly="1" fieldPosition="0">
        <references count="9">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7"/>
          </reference>
        </references>
      </pivotArea>
    </format>
    <format dxfId="422">
      <pivotArea dataOnly="0" labelOnly="1" fieldPosition="0">
        <references count="9">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selected="0">
            <x v="0"/>
          </reference>
          <reference field="16" count="1">
            <x v="52"/>
          </reference>
        </references>
      </pivotArea>
    </format>
    <format dxfId="421">
      <pivotArea dataOnly="0" labelOnly="1" fieldPosition="0">
        <references count="9">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420">
      <pivotArea dataOnly="0" labelOnly="1" fieldPosition="0">
        <references count="9">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selected="0">
            <x v="0"/>
          </reference>
          <reference field="16" count="1">
            <x v="20"/>
          </reference>
        </references>
      </pivotArea>
    </format>
    <format dxfId="419">
      <pivotArea dataOnly="0" labelOnly="1" fieldPosition="0">
        <references count="9">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6"/>
          </reference>
        </references>
      </pivotArea>
    </format>
    <format dxfId="418">
      <pivotArea dataOnly="0" labelOnly="1" fieldPosition="0">
        <references count="9">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5"/>
          </reference>
        </references>
      </pivotArea>
    </format>
    <format dxfId="417">
      <pivotArea dataOnly="0" labelOnly="1" fieldPosition="0">
        <references count="9">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selected="0">
            <x v="0"/>
          </reference>
          <reference field="16" count="1">
            <x v="60"/>
          </reference>
        </references>
      </pivotArea>
    </format>
    <format dxfId="416">
      <pivotArea dataOnly="0" labelOnly="1" fieldPosition="0">
        <references count="9">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selected="0">
            <x v="30"/>
          </reference>
          <reference field="16" count="1">
            <x v="49"/>
          </reference>
        </references>
      </pivotArea>
    </format>
    <format dxfId="415">
      <pivotArea dataOnly="0" labelOnly="1" fieldPosition="0">
        <references count="9">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selected="0">
            <x v="30"/>
          </reference>
          <reference field="16" count="1">
            <x v="51"/>
          </reference>
        </references>
      </pivotArea>
    </format>
    <format dxfId="414">
      <pivotArea dataOnly="0" labelOnly="1" fieldPosition="0">
        <references count="9">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selected="0">
            <x v="26"/>
          </reference>
          <reference field="16" count="1">
            <x v="0"/>
          </reference>
        </references>
      </pivotArea>
    </format>
    <format dxfId="413">
      <pivotArea dataOnly="0" labelOnly="1" fieldPosition="0">
        <references count="9">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selected="0">
            <x v="0"/>
          </reference>
          <reference field="16" count="1">
            <x v="45"/>
          </reference>
        </references>
      </pivotArea>
    </format>
    <format dxfId="412">
      <pivotArea dataOnly="0" labelOnly="1" fieldPosition="0">
        <references count="9">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selected="0">
            <x v="33"/>
          </reference>
          <reference field="16" count="1">
            <x v="0"/>
          </reference>
        </references>
      </pivotArea>
    </format>
    <format dxfId="411">
      <pivotArea dataOnly="0" labelOnly="1" fieldPosition="0">
        <references count="9">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410">
      <pivotArea dataOnly="0" labelOnly="1" fieldPosition="0">
        <references count="9">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selected="0">
            <x v="1"/>
          </reference>
          <reference field="16" count="1">
            <x v="28"/>
          </reference>
        </references>
      </pivotArea>
    </format>
    <format dxfId="409">
      <pivotArea dataOnly="0" labelOnly="1" fieldPosition="0">
        <references count="9">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selected="0">
            <x v="8"/>
          </reference>
          <reference field="16" count="1">
            <x v="0"/>
          </reference>
        </references>
      </pivotArea>
    </format>
    <format dxfId="408">
      <pivotArea dataOnly="0" labelOnly="1" fieldPosition="0">
        <references count="9">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selected="0">
            <x v="8"/>
          </reference>
          <reference field="16" count="1">
            <x v="5"/>
          </reference>
        </references>
      </pivotArea>
    </format>
    <format dxfId="407">
      <pivotArea dataOnly="0" labelOnly="1" fieldPosition="0">
        <references count="9">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selected="0">
            <x v="7"/>
          </reference>
          <reference field="16" count="1">
            <x v="0"/>
          </reference>
        </references>
      </pivotArea>
    </format>
    <format dxfId="406">
      <pivotArea dataOnly="0" labelOnly="1" fieldPosition="0">
        <references count="9">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selected="0">
            <x v="19"/>
          </reference>
          <reference field="16" count="1">
            <x v="58"/>
          </reference>
        </references>
      </pivotArea>
    </format>
    <format dxfId="405">
      <pivotArea dataOnly="0" labelOnly="1" fieldPosition="0">
        <references count="9">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selected="0">
            <x v="18"/>
          </reference>
          <reference field="16" count="1">
            <x v="54"/>
          </reference>
        </references>
      </pivotArea>
    </format>
    <format dxfId="404">
      <pivotArea dataOnly="0" labelOnly="1" fieldPosition="0">
        <references count="9">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selected="0">
            <x v="30"/>
          </reference>
          <reference field="16" count="1">
            <x v="50"/>
          </reference>
        </references>
      </pivotArea>
    </format>
    <format dxfId="403">
      <pivotArea dataOnly="0" labelOnly="1" fieldPosition="0">
        <references count="9">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selected="0">
            <x v="38"/>
          </reference>
          <reference field="16" count="1">
            <x v="0"/>
          </reference>
        </references>
      </pivotArea>
    </format>
    <format dxfId="402">
      <pivotArea dataOnly="0" labelOnly="1" fieldPosition="0">
        <references count="9">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22"/>
          </reference>
        </references>
      </pivotArea>
    </format>
    <format dxfId="401">
      <pivotArea dataOnly="0" labelOnly="1" fieldPosition="0">
        <references count="9">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selected="0">
            <x v="39"/>
          </reference>
          <reference field="16" count="1">
            <x v="0"/>
          </reference>
        </references>
      </pivotArea>
    </format>
    <format dxfId="400">
      <pivotArea dataOnly="0" labelOnly="1" fieldPosition="0">
        <references count="9">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selected="0">
            <x v="43"/>
          </reference>
          <reference field="16" count="1">
            <x v="42"/>
          </reference>
        </references>
      </pivotArea>
    </format>
    <format dxfId="399">
      <pivotArea dataOnly="0" labelOnly="1" fieldPosition="0">
        <references count="9">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46"/>
          </reference>
        </references>
      </pivotArea>
    </format>
    <format dxfId="398">
      <pivotArea dataOnly="0" labelOnly="1" fieldPosition="0">
        <references count="9">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45"/>
          </reference>
        </references>
      </pivotArea>
    </format>
    <format dxfId="397">
      <pivotArea dataOnly="0" labelOnly="1" fieldPosition="0">
        <references count="9">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0"/>
          </reference>
        </references>
      </pivotArea>
    </format>
    <format dxfId="396">
      <pivotArea dataOnly="0" labelOnly="1" fieldPosition="0">
        <references count="9">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selected="0">
            <x v="37"/>
          </reference>
          <reference field="16" count="1">
            <x v="61"/>
          </reference>
        </references>
      </pivotArea>
    </format>
    <format dxfId="395">
      <pivotArea dataOnly="0" labelOnly="1" fieldPosition="0">
        <references count="9">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selected="0">
            <x v="37"/>
          </reference>
          <reference field="16" count="1">
            <x v="0"/>
          </reference>
        </references>
      </pivotArea>
    </format>
    <format dxfId="394">
      <pivotArea dataOnly="0" labelOnly="1" fieldPosition="0">
        <references count="9">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4"/>
          </reference>
        </references>
      </pivotArea>
    </format>
    <format dxfId="393">
      <pivotArea dataOnly="0" labelOnly="1" fieldPosition="0">
        <references count="9">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6"/>
          </reference>
        </references>
      </pivotArea>
    </format>
    <format dxfId="392">
      <pivotArea dataOnly="0" labelOnly="1" fieldPosition="0">
        <references count="9">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selected="0">
            <x v="23"/>
          </reference>
          <reference field="16" count="1">
            <x v="14"/>
          </reference>
        </references>
      </pivotArea>
    </format>
    <format dxfId="391">
      <pivotArea dataOnly="0" labelOnly="1" fieldPosition="0">
        <references count="9">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0"/>
          </reference>
        </references>
      </pivotArea>
    </format>
    <format dxfId="390">
      <pivotArea dataOnly="0" labelOnly="1" fieldPosition="0">
        <references count="9">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selected="0">
            <x v="36"/>
          </reference>
          <reference field="16" count="1">
            <x v="30"/>
          </reference>
        </references>
      </pivotArea>
    </format>
    <format dxfId="389">
      <pivotArea dataOnly="0" labelOnly="1" fieldPosition="0">
        <references count="9">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selected="0">
            <x v="9"/>
          </reference>
          <reference field="16" count="1">
            <x v="18"/>
          </reference>
        </references>
      </pivotArea>
    </format>
    <format dxfId="388">
      <pivotArea dataOnly="0" labelOnly="1" fieldPosition="0">
        <references count="9">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selected="0">
            <x v="15"/>
          </reference>
          <reference field="16" count="1">
            <x v="27"/>
          </reference>
        </references>
      </pivotArea>
    </format>
    <format dxfId="387">
      <pivotArea dataOnly="0" labelOnly="1" fieldPosition="0">
        <references count="9">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selected="0">
            <x v="15"/>
          </reference>
          <reference field="16" count="1">
            <x v="0"/>
          </reference>
        </references>
      </pivotArea>
    </format>
    <format dxfId="386">
      <pivotArea dataOnly="0" labelOnly="1" fieldPosition="0">
        <references count="9">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selected="0">
            <x v="15"/>
          </reference>
          <reference field="16" count="1">
            <x v="43"/>
          </reference>
        </references>
      </pivotArea>
    </format>
    <format dxfId="385">
      <pivotArea dataOnly="0" labelOnly="1" fieldPosition="0">
        <references count="9">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selected="0">
            <x v="15"/>
          </reference>
          <reference field="16" count="1">
            <x v="47"/>
          </reference>
        </references>
      </pivotArea>
    </format>
    <format dxfId="384">
      <pivotArea dataOnly="0" labelOnly="1" fieldPosition="0">
        <references count="9">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selected="0">
            <x v="15"/>
          </reference>
          <reference field="16" count="1">
            <x v="0"/>
          </reference>
        </references>
      </pivotArea>
    </format>
    <format dxfId="383">
      <pivotArea dataOnly="0" labelOnly="1" fieldPosition="0">
        <references count="9">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selected="0">
            <x v="15"/>
          </reference>
          <reference field="16" count="1">
            <x v="41"/>
          </reference>
        </references>
      </pivotArea>
    </format>
    <format dxfId="382">
      <pivotArea dataOnly="0" labelOnly="1" fieldPosition="0">
        <references count="9">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selected="0">
            <x v="15"/>
          </reference>
          <reference field="16" count="1">
            <x v="16"/>
          </reference>
        </references>
      </pivotArea>
    </format>
    <format dxfId="381">
      <pivotArea dataOnly="0" labelOnly="1" fieldPosition="0">
        <references count="9">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selected="0">
            <x v="15"/>
          </reference>
          <reference field="16" count="1">
            <x v="3"/>
          </reference>
        </references>
      </pivotArea>
    </format>
    <format dxfId="380">
      <pivotArea dataOnly="0" labelOnly="1" fieldPosition="0">
        <references count="9">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selected="0">
            <x v="15"/>
          </reference>
          <reference field="16" count="1">
            <x v="36"/>
          </reference>
        </references>
      </pivotArea>
    </format>
    <format dxfId="379">
      <pivotArea dataOnly="0" labelOnly="1" fieldPosition="0">
        <references count="9">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selected="0">
            <x v="15"/>
          </reference>
          <reference field="16" count="1">
            <x v="0"/>
          </reference>
        </references>
      </pivotArea>
    </format>
    <format dxfId="378">
      <pivotArea dataOnly="0" labelOnly="1" fieldPosition="0">
        <references count="9">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selected="0">
            <x v="15"/>
          </reference>
          <reference field="16" count="1">
            <x v="7"/>
          </reference>
        </references>
      </pivotArea>
    </format>
    <format dxfId="377">
      <pivotArea dataOnly="0" labelOnly="1" fieldPosition="0">
        <references count="9">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selected="0">
            <x v="15"/>
          </reference>
          <reference field="16" count="1">
            <x v="9"/>
          </reference>
        </references>
      </pivotArea>
    </format>
    <format dxfId="376">
      <pivotArea dataOnly="0" labelOnly="1" fieldPosition="0">
        <references count="9">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selected="0">
            <x v="15"/>
          </reference>
          <reference field="16" count="1">
            <x v="7"/>
          </reference>
        </references>
      </pivotArea>
    </format>
    <format dxfId="375">
      <pivotArea dataOnly="0" labelOnly="1" fieldPosition="0">
        <references count="9">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selected="0">
            <x v="15"/>
          </reference>
          <reference field="16" count="1">
            <x v="28"/>
          </reference>
        </references>
      </pivotArea>
    </format>
    <format dxfId="374">
      <pivotArea dataOnly="0" labelOnly="1" fieldPosition="0">
        <references count="9">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selected="0">
            <x v="15"/>
          </reference>
          <reference field="16" count="1">
            <x v="29"/>
          </reference>
        </references>
      </pivotArea>
    </format>
    <format dxfId="373">
      <pivotArea dataOnly="0" labelOnly="1" fieldPosition="0">
        <references count="9">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372">
      <pivotArea dataOnly="0" labelOnly="1" fieldPosition="0">
        <references count="9">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selected="0">
            <x v="15"/>
          </reference>
          <reference field="16" count="1">
            <x v="19"/>
          </reference>
        </references>
      </pivotArea>
    </format>
    <format dxfId="371">
      <pivotArea dataOnly="0" labelOnly="1" fieldPosition="0">
        <references count="9">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selected="0">
            <x v="15"/>
          </reference>
          <reference field="16" count="1">
            <x v="48"/>
          </reference>
        </references>
      </pivotArea>
    </format>
    <format dxfId="370">
      <pivotArea dataOnly="0" labelOnly="1" fieldPosition="0">
        <references count="9">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selected="0">
            <x v="15"/>
          </reference>
          <reference field="16" count="1">
            <x v="0"/>
          </reference>
        </references>
      </pivotArea>
    </format>
    <format dxfId="369">
      <pivotArea dataOnly="0" labelOnly="1" fieldPosition="0">
        <references count="9">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selected="0">
            <x v="47"/>
          </reference>
          <reference field="16" count="1">
            <x v="65"/>
          </reference>
        </references>
      </pivotArea>
    </format>
    <format dxfId="368">
      <pivotArea dataOnly="0" labelOnly="1" fieldPosition="0">
        <references count="9">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367">
      <pivotArea dataOnly="0" labelOnly="1" outline="0" fieldPosition="0">
        <references count="1">
          <reference field="3" count="0"/>
        </references>
      </pivotArea>
    </format>
    <format dxfId="366">
      <pivotArea dataOnly="0" labelOnly="1" fieldPosition="0">
        <references count="5">
          <reference field="0" count="1" selected="0">
            <x v="0"/>
          </reference>
          <reference field="1" count="1" selected="0">
            <x v="228"/>
          </reference>
          <reference field="2" count="1" selected="0">
            <x v="153"/>
          </reference>
          <reference field="3" count="1" selected="0">
            <x v="0"/>
          </reference>
          <reference field="12" count="1">
            <x v="7"/>
          </reference>
        </references>
      </pivotArea>
    </format>
    <format dxfId="365">
      <pivotArea dataOnly="0" labelOnly="1" fieldPosition="0">
        <references count="5">
          <reference field="0" count="1" selected="0">
            <x v="3"/>
          </reference>
          <reference field="1" count="1" selected="0">
            <x v="231"/>
          </reference>
          <reference field="2" count="1" selected="0">
            <x v="88"/>
          </reference>
          <reference field="3" count="1" selected="0">
            <x v="0"/>
          </reference>
          <reference field="12" count="1">
            <x v="3"/>
          </reference>
        </references>
      </pivotArea>
    </format>
    <format dxfId="364">
      <pivotArea dataOnly="0" labelOnly="1" fieldPosition="0">
        <references count="5">
          <reference field="0" count="1" selected="0">
            <x v="5"/>
          </reference>
          <reference field="1" count="1" selected="0">
            <x v="233"/>
          </reference>
          <reference field="2" count="1" selected="0">
            <x v="224"/>
          </reference>
          <reference field="3" count="1" selected="0">
            <x v="0"/>
          </reference>
          <reference field="12" count="1">
            <x v="7"/>
          </reference>
        </references>
      </pivotArea>
    </format>
    <format dxfId="363">
      <pivotArea dataOnly="0" labelOnly="1" fieldPosition="0">
        <references count="5">
          <reference field="0" count="1" selected="0">
            <x v="7"/>
          </reference>
          <reference field="1" count="1" selected="0">
            <x v="118"/>
          </reference>
          <reference field="2" count="1" selected="0">
            <x v="171"/>
          </reference>
          <reference field="3" count="1" selected="0">
            <x v="0"/>
          </reference>
          <reference field="12" count="1">
            <x v="0"/>
          </reference>
        </references>
      </pivotArea>
    </format>
    <format dxfId="362">
      <pivotArea dataOnly="0" labelOnly="1" fieldPosition="0">
        <references count="5">
          <reference field="0" count="1" selected="0">
            <x v="16"/>
          </reference>
          <reference field="1" count="1" selected="0">
            <x v="64"/>
          </reference>
          <reference field="2" count="1" selected="0">
            <x v="157"/>
          </reference>
          <reference field="3" count="1" selected="0">
            <x v="0"/>
          </reference>
          <reference field="12" count="1">
            <x v="7"/>
          </reference>
        </references>
      </pivotArea>
    </format>
    <format dxfId="361">
      <pivotArea dataOnly="0" labelOnly="1" fieldPosition="0">
        <references count="5">
          <reference field="0" count="1" selected="0">
            <x v="22"/>
          </reference>
          <reference field="1" count="1" selected="0">
            <x v="19"/>
          </reference>
          <reference field="2" count="1" selected="0">
            <x v="39"/>
          </reference>
          <reference field="3" count="1" selected="0">
            <x v="0"/>
          </reference>
          <reference field="12" count="1">
            <x v="9"/>
          </reference>
        </references>
      </pivotArea>
    </format>
    <format dxfId="360">
      <pivotArea dataOnly="0" labelOnly="1" fieldPosition="0">
        <references count="5">
          <reference field="0" count="1" selected="0">
            <x v="26"/>
          </reference>
          <reference field="1" count="1" selected="0">
            <x v="23"/>
          </reference>
          <reference field="2" count="1" selected="0">
            <x v="217"/>
          </reference>
          <reference field="3" count="1" selected="0">
            <x v="0"/>
          </reference>
          <reference field="12" count="1">
            <x v="5"/>
          </reference>
        </references>
      </pivotArea>
    </format>
    <format dxfId="359">
      <pivotArea dataOnly="0" labelOnly="1" fieldPosition="0">
        <references count="5">
          <reference field="0" count="1" selected="0">
            <x v="28"/>
          </reference>
          <reference field="1" count="1" selected="0">
            <x v="25"/>
          </reference>
          <reference field="2" count="1" selected="0">
            <x v="52"/>
          </reference>
          <reference field="3" count="1" selected="0">
            <x v="0"/>
          </reference>
          <reference field="12" count="1">
            <x v="0"/>
          </reference>
        </references>
      </pivotArea>
    </format>
    <format dxfId="358">
      <pivotArea dataOnly="0" labelOnly="1" fieldPosition="0">
        <references count="5">
          <reference field="0" count="1" selected="0">
            <x v="29"/>
          </reference>
          <reference field="1" count="1" selected="0">
            <x v="26"/>
          </reference>
          <reference field="2" count="1" selected="0">
            <x v="62"/>
          </reference>
          <reference field="3" count="1" selected="0">
            <x v="0"/>
          </reference>
          <reference field="12" count="1">
            <x v="15"/>
          </reference>
        </references>
      </pivotArea>
    </format>
    <format dxfId="357">
      <pivotArea dataOnly="0" labelOnly="1" fieldPosition="0">
        <references count="5">
          <reference field="0" count="1" selected="0">
            <x v="31"/>
          </reference>
          <reference field="1" count="1" selected="0">
            <x v="28"/>
          </reference>
          <reference field="2" count="1" selected="0">
            <x v="53"/>
          </reference>
          <reference field="3" count="1" selected="0">
            <x v="0"/>
          </reference>
          <reference field="12" count="1">
            <x v="7"/>
          </reference>
        </references>
      </pivotArea>
    </format>
    <format dxfId="356">
      <pivotArea dataOnly="0" labelOnly="1" fieldPosition="0">
        <references count="5">
          <reference field="0" count="1" selected="0">
            <x v="35"/>
          </reference>
          <reference field="1" count="1" selected="0">
            <x v="32"/>
          </reference>
          <reference field="2" count="1" selected="0">
            <x v="51"/>
          </reference>
          <reference field="3" count="1" selected="0">
            <x v="0"/>
          </reference>
          <reference field="12" count="1">
            <x v="9"/>
          </reference>
        </references>
      </pivotArea>
    </format>
    <format dxfId="355">
      <pivotArea dataOnly="0" labelOnly="1" fieldPosition="0">
        <references count="5">
          <reference field="0" count="1" selected="0">
            <x v="36"/>
          </reference>
          <reference field="1" count="1" selected="0">
            <x v="33"/>
          </reference>
          <reference field="2" count="1" selected="0">
            <x v="130"/>
          </reference>
          <reference field="3" count="1" selected="0">
            <x v="0"/>
          </reference>
          <reference field="12" count="1">
            <x v="22"/>
          </reference>
        </references>
      </pivotArea>
    </format>
    <format dxfId="354">
      <pivotArea dataOnly="0" labelOnly="1" fieldPosition="0">
        <references count="5">
          <reference field="0" count="1" selected="0">
            <x v="37"/>
          </reference>
          <reference field="1" count="1" selected="0">
            <x v="34"/>
          </reference>
          <reference field="2" count="1" selected="0">
            <x v="70"/>
          </reference>
          <reference field="3" count="1" selected="0">
            <x v="0"/>
          </reference>
          <reference field="12" count="1">
            <x v="10"/>
          </reference>
        </references>
      </pivotArea>
    </format>
    <format dxfId="353">
      <pivotArea dataOnly="0" labelOnly="1" fieldPosition="0">
        <references count="5">
          <reference field="0" count="1" selected="0">
            <x v="55"/>
          </reference>
          <reference field="1" count="1" selected="0">
            <x v="35"/>
          </reference>
          <reference field="2" count="1" selected="0">
            <x v="65"/>
          </reference>
          <reference field="3" count="1" selected="0">
            <x v="0"/>
          </reference>
          <reference field="12" count="1">
            <x v="3"/>
          </reference>
        </references>
      </pivotArea>
    </format>
    <format dxfId="352">
      <pivotArea dataOnly="0" labelOnly="1" fieldPosition="0">
        <references count="5">
          <reference field="0" count="1" selected="0">
            <x v="81"/>
          </reference>
          <reference field="1" count="1" selected="0">
            <x v="68"/>
          </reference>
          <reference field="2" count="1" selected="0">
            <x v="112"/>
          </reference>
          <reference field="3" count="1" selected="0">
            <x v="0"/>
          </reference>
          <reference field="12" count="1">
            <x v="0"/>
          </reference>
        </references>
      </pivotArea>
    </format>
    <format dxfId="351">
      <pivotArea dataOnly="0" labelOnly="1" fieldPosition="0">
        <references count="5">
          <reference field="0" count="1" selected="0">
            <x v="82"/>
          </reference>
          <reference field="1" count="1" selected="0">
            <x v="69"/>
          </reference>
          <reference field="2" count="1" selected="0">
            <x v="226"/>
          </reference>
          <reference field="3" count="1" selected="0">
            <x v="0"/>
          </reference>
          <reference field="12" count="1">
            <x v="5"/>
          </reference>
        </references>
      </pivotArea>
    </format>
    <format dxfId="350">
      <pivotArea dataOnly="0" labelOnly="1" fieldPosition="0">
        <references count="5">
          <reference field="0" count="1" selected="0">
            <x v="84"/>
          </reference>
          <reference field="1" count="1" selected="0">
            <x v="71"/>
          </reference>
          <reference field="2" count="1" selected="0">
            <x v="192"/>
          </reference>
          <reference field="3" count="1" selected="0">
            <x v="0"/>
          </reference>
          <reference field="12" count="1">
            <x v="7"/>
          </reference>
        </references>
      </pivotArea>
    </format>
    <format dxfId="349">
      <pivotArea dataOnly="0" labelOnly="1" fieldPosition="0">
        <references count="5">
          <reference field="0" count="1" selected="0">
            <x v="88"/>
          </reference>
          <reference field="1" count="1" selected="0">
            <x v="75"/>
          </reference>
          <reference field="2" count="1" selected="0">
            <x v="38"/>
          </reference>
          <reference field="3" count="1" selected="0">
            <x v="0"/>
          </reference>
          <reference field="12" count="1">
            <x v="2"/>
          </reference>
        </references>
      </pivotArea>
    </format>
    <format dxfId="348">
      <pivotArea dataOnly="0" labelOnly="1" fieldPosition="0">
        <references count="5">
          <reference field="0" count="1" selected="0">
            <x v="89"/>
          </reference>
          <reference field="1" count="1" selected="0">
            <x v="76"/>
          </reference>
          <reference field="2" count="1" selected="0">
            <x v="232"/>
          </reference>
          <reference field="3" count="1" selected="0">
            <x v="0"/>
          </reference>
          <reference field="12" count="1">
            <x v="7"/>
          </reference>
        </references>
      </pivotArea>
    </format>
    <format dxfId="347">
      <pivotArea dataOnly="0" labelOnly="1" fieldPosition="0">
        <references count="5">
          <reference field="0" count="1" selected="0">
            <x v="95"/>
          </reference>
          <reference field="1" count="1" selected="0">
            <x v="82"/>
          </reference>
          <reference field="2" count="1" selected="0">
            <x v="5"/>
          </reference>
          <reference field="3" count="1" selected="0">
            <x v="0"/>
          </reference>
          <reference field="12" count="1">
            <x v="1"/>
          </reference>
        </references>
      </pivotArea>
    </format>
    <format dxfId="346">
      <pivotArea dataOnly="0" labelOnly="1" fieldPosition="0">
        <references count="5">
          <reference field="0" count="1" selected="0">
            <x v="96"/>
          </reference>
          <reference field="1" count="1" selected="0">
            <x v="83"/>
          </reference>
          <reference field="2" count="1" selected="0">
            <x v="173"/>
          </reference>
          <reference field="3" count="1" selected="0">
            <x v="0"/>
          </reference>
          <reference field="12" count="1">
            <x v="3"/>
          </reference>
        </references>
      </pivotArea>
    </format>
    <format dxfId="345">
      <pivotArea dataOnly="0" labelOnly="1" fieldPosition="0">
        <references count="5">
          <reference field="0" count="1" selected="0">
            <x v="105"/>
          </reference>
          <reference field="1" count="1" selected="0">
            <x v="92"/>
          </reference>
          <reference field="2" count="1" selected="0">
            <x v="134"/>
          </reference>
          <reference field="3" count="1" selected="0">
            <x v="0"/>
          </reference>
          <reference field="12" count="1">
            <x v="7"/>
          </reference>
        </references>
      </pivotArea>
    </format>
    <format dxfId="344">
      <pivotArea dataOnly="0" labelOnly="1" fieldPosition="0">
        <references count="5">
          <reference field="0" count="1" selected="0">
            <x v="122"/>
          </reference>
          <reference field="1" count="1" selected="0">
            <x v="109"/>
          </reference>
          <reference field="2" count="1" selected="0">
            <x v="35"/>
          </reference>
          <reference field="3" count="1" selected="0">
            <x v="0"/>
          </reference>
          <reference field="12" count="1">
            <x v="3"/>
          </reference>
        </references>
      </pivotArea>
    </format>
    <format dxfId="343">
      <pivotArea dataOnly="0" labelOnly="1" fieldPosition="0">
        <references count="5">
          <reference field="0" count="1" selected="0">
            <x v="123"/>
          </reference>
          <reference field="1" count="1" selected="0">
            <x v="110"/>
          </reference>
          <reference field="2" count="1" selected="0">
            <x v="176"/>
          </reference>
          <reference field="3" count="1" selected="0">
            <x v="0"/>
          </reference>
          <reference field="12" count="1">
            <x v="5"/>
          </reference>
        </references>
      </pivotArea>
    </format>
    <format dxfId="342">
      <pivotArea dataOnly="0" labelOnly="1" fieldPosition="0">
        <references count="5">
          <reference field="0" count="1" selected="0">
            <x v="124"/>
          </reference>
          <reference field="1" count="1" selected="0">
            <x v="111"/>
          </reference>
          <reference field="2" count="1" selected="0">
            <x v="218"/>
          </reference>
          <reference field="3" count="1" selected="0">
            <x v="0"/>
          </reference>
          <reference field="12" count="1">
            <x v="0"/>
          </reference>
        </references>
      </pivotArea>
    </format>
    <format dxfId="341">
      <pivotArea dataOnly="0" labelOnly="1" fieldPosition="0">
        <references count="5">
          <reference field="0" count="1" selected="0">
            <x v="125"/>
          </reference>
          <reference field="1" count="1" selected="0">
            <x v="112"/>
          </reference>
          <reference field="2" count="1" selected="0">
            <x v="197"/>
          </reference>
          <reference field="3" count="1" selected="0">
            <x v="0"/>
          </reference>
          <reference field="12" count="1">
            <x v="3"/>
          </reference>
        </references>
      </pivotArea>
    </format>
    <format dxfId="340">
      <pivotArea dataOnly="0" labelOnly="1" fieldPosition="0">
        <references count="5">
          <reference field="0" count="1" selected="0">
            <x v="126"/>
          </reference>
          <reference field="1" count="1" selected="0">
            <x v="113"/>
          </reference>
          <reference field="2" count="1" selected="0">
            <x v="191"/>
          </reference>
          <reference field="3" count="1" selected="0">
            <x v="0"/>
          </reference>
          <reference field="12" count="1">
            <x v="0"/>
          </reference>
        </references>
      </pivotArea>
    </format>
    <format dxfId="339">
      <pivotArea dataOnly="0" labelOnly="1" fieldPosition="0">
        <references count="5">
          <reference field="0" count="1" selected="0">
            <x v="129"/>
          </reference>
          <reference field="1" count="1" selected="0">
            <x v="116"/>
          </reference>
          <reference field="2" count="1" selected="0">
            <x v="212"/>
          </reference>
          <reference field="3" count="1" selected="0">
            <x v="0"/>
          </reference>
          <reference field="12" count="1">
            <x v="3"/>
          </reference>
        </references>
      </pivotArea>
    </format>
    <format dxfId="338">
      <pivotArea dataOnly="0" labelOnly="1" fieldPosition="0">
        <references count="5">
          <reference field="0" count="1" selected="0">
            <x v="130"/>
          </reference>
          <reference field="1" count="1" selected="0">
            <x v="117"/>
          </reference>
          <reference field="2" count="1" selected="0">
            <x v="118"/>
          </reference>
          <reference field="3" count="1" selected="0">
            <x v="0"/>
          </reference>
          <reference field="12" count="1">
            <x v="7"/>
          </reference>
        </references>
      </pivotArea>
    </format>
    <format dxfId="337">
      <pivotArea dataOnly="0" labelOnly="1" fieldPosition="0">
        <references count="5">
          <reference field="0" count="1" selected="0">
            <x v="134"/>
          </reference>
          <reference field="1" count="1" selected="0">
            <x v="127"/>
          </reference>
          <reference field="2" count="1" selected="0">
            <x v="2"/>
          </reference>
          <reference field="3" count="1" selected="0">
            <x v="0"/>
          </reference>
          <reference field="12" count="1">
            <x v="4"/>
          </reference>
        </references>
      </pivotArea>
    </format>
    <format dxfId="336">
      <pivotArea dataOnly="0" labelOnly="1" fieldPosition="0">
        <references count="5">
          <reference field="0" count="1" selected="0">
            <x v="135"/>
          </reference>
          <reference field="1" count="1" selected="0">
            <x v="128"/>
          </reference>
          <reference field="2" count="1" selected="0">
            <x v="151"/>
          </reference>
          <reference field="3" count="1" selected="0">
            <x v="0"/>
          </reference>
          <reference field="12" count="1">
            <x v="3"/>
          </reference>
        </references>
      </pivotArea>
    </format>
    <format dxfId="335">
      <pivotArea dataOnly="0" labelOnly="1" fieldPosition="0">
        <references count="5">
          <reference field="0" count="1" selected="0">
            <x v="144"/>
          </reference>
          <reference field="1" count="1" selected="0">
            <x v="137"/>
          </reference>
          <reference field="2" count="1" selected="0">
            <x v="79"/>
          </reference>
          <reference field="3" count="1" selected="0">
            <x v="0"/>
          </reference>
          <reference field="12" count="1">
            <x v="0"/>
          </reference>
        </references>
      </pivotArea>
    </format>
    <format dxfId="334">
      <pivotArea dataOnly="0" labelOnly="1" fieldPosition="0">
        <references count="5">
          <reference field="0" count="1" selected="0">
            <x v="146"/>
          </reference>
          <reference field="1" count="1" selected="0">
            <x v="139"/>
          </reference>
          <reference field="2" count="1" selected="0">
            <x v="30"/>
          </reference>
          <reference field="3" count="1" selected="0">
            <x v="0"/>
          </reference>
          <reference field="12" count="1">
            <x v="26"/>
          </reference>
        </references>
      </pivotArea>
    </format>
    <format dxfId="333">
      <pivotArea dataOnly="0" labelOnly="1" fieldPosition="0">
        <references count="5">
          <reference field="0" count="1" selected="0">
            <x v="149"/>
          </reference>
          <reference field="1" count="1" selected="0">
            <x v="142"/>
          </reference>
          <reference field="2" count="1" selected="0">
            <x v="165"/>
          </reference>
          <reference field="3" count="1" selected="0">
            <x v="0"/>
          </reference>
          <reference field="12" count="1">
            <x v="14"/>
          </reference>
        </references>
      </pivotArea>
    </format>
    <format dxfId="332">
      <pivotArea dataOnly="0" labelOnly="1" fieldPosition="0">
        <references count="5">
          <reference field="0" count="1" selected="0">
            <x v="155"/>
          </reference>
          <reference field="1" count="1" selected="0">
            <x v="148"/>
          </reference>
          <reference field="2" count="1" selected="0">
            <x v="3"/>
          </reference>
          <reference field="3" count="1" selected="0">
            <x v="0"/>
          </reference>
          <reference field="12" count="1">
            <x v="23"/>
          </reference>
        </references>
      </pivotArea>
    </format>
    <format dxfId="331">
      <pivotArea dataOnly="0" labelOnly="1" fieldPosition="0">
        <references count="5">
          <reference field="0" count="1" selected="0">
            <x v="159"/>
          </reference>
          <reference field="1" count="1" selected="0">
            <x v="183"/>
          </reference>
          <reference field="2" count="1" selected="0">
            <x v="122"/>
          </reference>
          <reference field="3" count="1" selected="0">
            <x v="0"/>
          </reference>
          <reference field="12" count="1">
            <x v="8"/>
          </reference>
        </references>
      </pivotArea>
    </format>
    <format dxfId="330">
      <pivotArea dataOnly="0" labelOnly="1" fieldPosition="0">
        <references count="5">
          <reference field="0" count="1" selected="0">
            <x v="160"/>
          </reference>
          <reference field="1" count="1" selected="0">
            <x v="184"/>
          </reference>
          <reference field="2" count="1" selected="0">
            <x v="187"/>
          </reference>
          <reference field="3" count="1" selected="0">
            <x v="0"/>
          </reference>
          <reference field="12" count="1">
            <x v="7"/>
          </reference>
        </references>
      </pivotArea>
    </format>
    <format dxfId="329">
      <pivotArea dataOnly="0" labelOnly="1" fieldPosition="0">
        <references count="5">
          <reference field="0" count="1" selected="0">
            <x v="161"/>
          </reference>
          <reference field="1" count="1" selected="0">
            <x v="185"/>
          </reference>
          <reference field="2" count="1" selected="0">
            <x v="186"/>
          </reference>
          <reference field="3" count="1" selected="0">
            <x v="0"/>
          </reference>
          <reference field="12" count="1">
            <x v="9"/>
          </reference>
        </references>
      </pivotArea>
    </format>
    <format dxfId="328">
      <pivotArea dataOnly="0" labelOnly="1" fieldPosition="0">
        <references count="5">
          <reference field="0" count="1" selected="0">
            <x v="162"/>
          </reference>
          <reference field="1" count="1" selected="0">
            <x v="186"/>
          </reference>
          <reference field="2" count="1" selected="0">
            <x v="125"/>
          </reference>
          <reference field="3" count="1" selected="0">
            <x v="0"/>
          </reference>
          <reference field="12" count="1">
            <x v="10"/>
          </reference>
        </references>
      </pivotArea>
    </format>
    <format dxfId="327">
      <pivotArea dataOnly="0" labelOnly="1" fieldPosition="0">
        <references count="5">
          <reference field="0" count="1" selected="0">
            <x v="164"/>
          </reference>
          <reference field="1" count="1" selected="0">
            <x v="188"/>
          </reference>
          <reference field="2" count="1" selected="0">
            <x v="119"/>
          </reference>
          <reference field="3" count="1" selected="0">
            <x v="0"/>
          </reference>
          <reference field="12" count="1">
            <x v="13"/>
          </reference>
        </references>
      </pivotArea>
    </format>
    <format dxfId="326">
      <pivotArea dataOnly="0" labelOnly="1" fieldPosition="0">
        <references count="5">
          <reference field="0" count="1" selected="0">
            <x v="167"/>
          </reference>
          <reference field="1" count="1" selected="0">
            <x v="199"/>
          </reference>
          <reference field="2" count="1" selected="0">
            <x v="56"/>
          </reference>
          <reference field="3" count="1" selected="0">
            <x v="0"/>
          </reference>
          <reference field="12" count="1">
            <x v="18"/>
          </reference>
        </references>
      </pivotArea>
    </format>
    <format dxfId="325">
      <pivotArea dataOnly="0" labelOnly="1" fieldPosition="0">
        <references count="5">
          <reference field="0" count="1" selected="0">
            <x v="168"/>
          </reference>
          <reference field="1" count="1" selected="0">
            <x v="200"/>
          </reference>
          <reference field="2" count="1" selected="0">
            <x v="9"/>
          </reference>
          <reference field="3" count="1" selected="0">
            <x v="0"/>
          </reference>
          <reference field="12" count="1">
            <x v="7"/>
          </reference>
        </references>
      </pivotArea>
    </format>
    <format dxfId="324">
      <pivotArea dataOnly="0" labelOnly="1" fieldPosition="0">
        <references count="5">
          <reference field="0" count="1" selected="0">
            <x v="171"/>
          </reference>
          <reference field="1" count="1" selected="0">
            <x v="203"/>
          </reference>
          <reference field="2" count="1" selected="0">
            <x v="10"/>
          </reference>
          <reference field="3" count="1" selected="0">
            <x v="0"/>
          </reference>
          <reference field="12" count="1">
            <x v="9"/>
          </reference>
        </references>
      </pivotArea>
    </format>
    <format dxfId="323">
      <pivotArea dataOnly="0" labelOnly="1" fieldPosition="0">
        <references count="5">
          <reference field="0" count="1" selected="0">
            <x v="172"/>
          </reference>
          <reference field="1" count="1" selected="0">
            <x v="204"/>
          </reference>
          <reference field="2" count="1" selected="0">
            <x v="216"/>
          </reference>
          <reference field="3" count="1" selected="0">
            <x v="0"/>
          </reference>
          <reference field="12" count="1">
            <x v="2"/>
          </reference>
        </references>
      </pivotArea>
    </format>
    <format dxfId="322">
      <pivotArea dataOnly="0" labelOnly="1" fieldPosition="0">
        <references count="5">
          <reference field="0" count="1" selected="0">
            <x v="173"/>
          </reference>
          <reference field="1" count="1" selected="0">
            <x v="205"/>
          </reference>
          <reference field="2" count="1" selected="0">
            <x v="94"/>
          </reference>
          <reference field="3" count="1" selected="0">
            <x v="0"/>
          </reference>
          <reference field="12" count="1">
            <x v="20"/>
          </reference>
        </references>
      </pivotArea>
    </format>
    <format dxfId="321">
      <pivotArea dataOnly="0" labelOnly="1" fieldPosition="0">
        <references count="5">
          <reference field="0" count="1" selected="0">
            <x v="175"/>
          </reference>
          <reference field="1" count="1" selected="0">
            <x v="207"/>
          </reference>
          <reference field="2" count="1" selected="0">
            <x v="172"/>
          </reference>
          <reference field="3" count="1" selected="0">
            <x v="0"/>
          </reference>
          <reference field="12" count="1">
            <x v="21"/>
          </reference>
        </references>
      </pivotArea>
    </format>
    <format dxfId="320">
      <pivotArea dataOnly="0" labelOnly="1" fieldPosition="0">
        <references count="5">
          <reference field="0" count="1" selected="0">
            <x v="176"/>
          </reference>
          <reference field="1" count="1" selected="0">
            <x v="208"/>
          </reference>
          <reference field="2" count="1" selected="0">
            <x v="215"/>
          </reference>
          <reference field="3" count="1" selected="0">
            <x v="0"/>
          </reference>
          <reference field="12" count="1">
            <x v="20"/>
          </reference>
        </references>
      </pivotArea>
    </format>
    <format dxfId="319">
      <pivotArea dataOnly="0" labelOnly="1" fieldPosition="0">
        <references count="5">
          <reference field="0" count="1" selected="0">
            <x v="180"/>
          </reference>
          <reference field="1" count="1" selected="0">
            <x v="212"/>
          </reference>
          <reference field="2" count="1" selected="0">
            <x v="97"/>
          </reference>
          <reference field="3" count="1" selected="0">
            <x v="0"/>
          </reference>
          <reference field="12" count="1">
            <x v="14"/>
          </reference>
        </references>
      </pivotArea>
    </format>
    <format dxfId="318">
      <pivotArea dataOnly="0" labelOnly="1" fieldPosition="0">
        <references count="5">
          <reference field="0" count="1" selected="0">
            <x v="182"/>
          </reference>
          <reference field="1" count="1" selected="0">
            <x v="214"/>
          </reference>
          <reference field="2" count="1" selected="0">
            <x v="235"/>
          </reference>
          <reference field="3" count="1" selected="0">
            <x v="0"/>
          </reference>
          <reference field="12" count="1">
            <x v="7"/>
          </reference>
        </references>
      </pivotArea>
    </format>
    <format dxfId="317">
      <pivotArea dataOnly="0" labelOnly="1" fieldPosition="0">
        <references count="5">
          <reference field="0" count="1" selected="0">
            <x v="183"/>
          </reference>
          <reference field="1" count="1" selected="0">
            <x v="215"/>
          </reference>
          <reference field="2" count="1" selected="0">
            <x v="206"/>
          </reference>
          <reference field="3" count="1" selected="0">
            <x v="0"/>
          </reference>
          <reference field="12" count="1">
            <x v="14"/>
          </reference>
        </references>
      </pivotArea>
    </format>
    <format dxfId="316">
      <pivotArea dataOnly="0" labelOnly="1" fieldPosition="0">
        <references count="5">
          <reference field="0" count="1" selected="0">
            <x v="184"/>
          </reference>
          <reference field="1" count="1" selected="0">
            <x v="216"/>
          </reference>
          <reference field="2" count="1" selected="0">
            <x v="111"/>
          </reference>
          <reference field="3" count="1" selected="0">
            <x v="0"/>
          </reference>
          <reference field="12" count="1">
            <x v="22"/>
          </reference>
        </references>
      </pivotArea>
    </format>
    <format dxfId="315">
      <pivotArea dataOnly="0" labelOnly="1" fieldPosition="0">
        <references count="5">
          <reference field="0" count="1" selected="0">
            <x v="185"/>
          </reference>
          <reference field="1" count="1" selected="0">
            <x v="217"/>
          </reference>
          <reference field="2" count="1" selected="0">
            <x v="113"/>
          </reference>
          <reference field="3" count="1" selected="0">
            <x v="0"/>
          </reference>
          <reference field="12" count="1">
            <x v="12"/>
          </reference>
        </references>
      </pivotArea>
    </format>
    <format dxfId="314">
      <pivotArea dataOnly="0" labelOnly="1" fieldPosition="0">
        <references count="5">
          <reference field="0" count="1" selected="0">
            <x v="192"/>
          </reference>
          <reference field="1" count="1" selected="0">
            <x v="224"/>
          </reference>
          <reference field="2" count="1" selected="0">
            <x v="80"/>
          </reference>
          <reference field="3" count="1" selected="0">
            <x v="0"/>
          </reference>
          <reference field="12" count="1">
            <x v="7"/>
          </reference>
        </references>
      </pivotArea>
    </format>
    <format dxfId="313">
      <pivotArea dataOnly="0" labelOnly="1" fieldPosition="0">
        <references count="5">
          <reference field="0" count="1" selected="0">
            <x v="197"/>
          </reference>
          <reference field="1" count="1" selected="0">
            <x v="236"/>
          </reference>
          <reference field="2" count="1" selected="0">
            <x v="102"/>
          </reference>
          <reference field="3" count="1" selected="0">
            <x v="0"/>
          </reference>
          <reference field="12" count="1">
            <x v="18"/>
          </reference>
        </references>
      </pivotArea>
    </format>
    <format dxfId="312">
      <pivotArea dataOnly="0" labelOnly="1" fieldPosition="0">
        <references count="5">
          <reference field="0" count="1" selected="0">
            <x v="199"/>
          </reference>
          <reference field="1" count="1" selected="0">
            <x v="238"/>
          </reference>
          <reference field="2" count="1" selected="0">
            <x v="33"/>
          </reference>
          <reference field="3" count="1" selected="0">
            <x v="0"/>
          </reference>
          <reference field="12" count="1">
            <x v="20"/>
          </reference>
        </references>
      </pivotArea>
    </format>
    <format dxfId="311">
      <pivotArea dataOnly="0" labelOnly="1" fieldPosition="0">
        <references count="5">
          <reference field="0" count="1" selected="0">
            <x v="204"/>
          </reference>
          <reference field="1" count="1" selected="0">
            <x v="149"/>
          </reference>
          <reference field="2" count="1" selected="0">
            <x v="117"/>
          </reference>
          <reference field="3" count="1" selected="0">
            <x v="0"/>
          </reference>
          <reference field="12" count="1">
            <x v="12"/>
          </reference>
        </references>
      </pivotArea>
    </format>
    <format dxfId="310">
      <pivotArea dataOnly="0" labelOnly="1" fieldPosition="0">
        <references count="5">
          <reference field="0" count="1" selected="0">
            <x v="207"/>
          </reference>
          <reference field="1" count="1" selected="0">
            <x v="152"/>
          </reference>
          <reference field="2" count="1" selected="0">
            <x v="81"/>
          </reference>
          <reference field="3" count="1" selected="0">
            <x v="0"/>
          </reference>
          <reference field="12" count="1">
            <x v="7"/>
          </reference>
        </references>
      </pivotArea>
    </format>
    <format dxfId="309">
      <pivotArea dataOnly="0" labelOnly="1" fieldPosition="0">
        <references count="5">
          <reference field="0" count="1" selected="0">
            <x v="208"/>
          </reference>
          <reference field="1" count="1" selected="0">
            <x v="153"/>
          </reference>
          <reference field="2" count="1" selected="0">
            <x v="103"/>
          </reference>
          <reference field="3" count="1" selected="0">
            <x v="0"/>
          </reference>
          <reference field="12" count="1">
            <x v="14"/>
          </reference>
        </references>
      </pivotArea>
    </format>
    <format dxfId="308">
      <pivotArea dataOnly="0" labelOnly="1" fieldPosition="0">
        <references count="5">
          <reference field="0" count="1" selected="0">
            <x v="210"/>
          </reference>
          <reference field="1" count="1" selected="0">
            <x v="155"/>
          </reference>
          <reference field="2" count="1" selected="0">
            <x v="162"/>
          </reference>
          <reference field="3" count="1" selected="0">
            <x v="0"/>
          </reference>
          <reference field="12" count="1">
            <x v="7"/>
          </reference>
        </references>
      </pivotArea>
    </format>
    <format dxfId="307">
      <pivotArea dataOnly="0" labelOnly="1" fieldPosition="0">
        <references count="5">
          <reference field="0" count="1" selected="0">
            <x v="211"/>
          </reference>
          <reference field="1" count="1" selected="0">
            <x v="156"/>
          </reference>
          <reference field="2" count="1" selected="0">
            <x v="164"/>
          </reference>
          <reference field="3" count="1" selected="0">
            <x v="0"/>
          </reference>
          <reference field="12" count="1">
            <x v="20"/>
          </reference>
        </references>
      </pivotArea>
    </format>
    <format dxfId="306">
      <pivotArea dataOnly="0" labelOnly="1" fieldPosition="0">
        <references count="5">
          <reference field="0" count="1" selected="0">
            <x v="214"/>
          </reference>
          <reference field="1" count="1" selected="0">
            <x v="159"/>
          </reference>
          <reference field="2" count="1" selected="0">
            <x v="139"/>
          </reference>
          <reference field="3" count="1" selected="0">
            <x v="0"/>
          </reference>
          <reference field="12" count="1">
            <x v="10"/>
          </reference>
        </references>
      </pivotArea>
    </format>
    <format dxfId="305">
      <pivotArea dataOnly="0" labelOnly="1" fieldPosition="0">
        <references count="5">
          <reference field="0" count="1" selected="0">
            <x v="220"/>
          </reference>
          <reference field="1" count="1" selected="0">
            <x v="165"/>
          </reference>
          <reference field="2" count="1" selected="0">
            <x v="142"/>
          </reference>
          <reference field="3" count="1" selected="0">
            <x v="0"/>
          </reference>
          <reference field="12" count="1">
            <x v="11"/>
          </reference>
        </references>
      </pivotArea>
    </format>
    <format dxfId="304">
      <pivotArea dataOnly="0" labelOnly="1" fieldPosition="0">
        <references count="5">
          <reference field="0" count="1" selected="0">
            <x v="221"/>
          </reference>
          <reference field="1" count="1" selected="0">
            <x v="166"/>
          </reference>
          <reference field="2" count="1" selected="0">
            <x v="143"/>
          </reference>
          <reference field="3" count="1" selected="0">
            <x v="0"/>
          </reference>
          <reference field="12" count="1">
            <x v="10"/>
          </reference>
        </references>
      </pivotArea>
    </format>
    <format dxfId="303">
      <pivotArea dataOnly="0" labelOnly="1" fieldPosition="0">
        <references count="5">
          <reference field="0" count="1" selected="0">
            <x v="223"/>
          </reference>
          <reference field="1" count="1" selected="0">
            <x v="168"/>
          </reference>
          <reference field="2" count="1" selected="0">
            <x v="71"/>
          </reference>
          <reference field="3" count="1" selected="0">
            <x v="0"/>
          </reference>
          <reference field="12" count="1">
            <x v="24"/>
          </reference>
        </references>
      </pivotArea>
    </format>
    <format dxfId="302">
      <pivotArea dataOnly="0" labelOnly="1" fieldPosition="0">
        <references count="5">
          <reference field="0" count="1" selected="0">
            <x v="224"/>
          </reference>
          <reference field="1" count="1" selected="0">
            <x v="169"/>
          </reference>
          <reference field="2" count="1" selected="0">
            <x v="121"/>
          </reference>
          <reference field="3" count="1" selected="0">
            <x v="0"/>
          </reference>
          <reference field="12" count="1">
            <x v="23"/>
          </reference>
        </references>
      </pivotArea>
    </format>
    <format dxfId="301">
      <pivotArea dataOnly="0" labelOnly="1" fieldPosition="0">
        <references count="5">
          <reference field="0" count="1" selected="0">
            <x v="228"/>
          </reference>
          <reference field="1" count="1" selected="0">
            <x v="173"/>
          </reference>
          <reference field="2" count="1" selected="0">
            <x v="145"/>
          </reference>
          <reference field="3" count="1" selected="0">
            <x v="0"/>
          </reference>
          <reference field="12" count="1">
            <x v="3"/>
          </reference>
        </references>
      </pivotArea>
    </format>
    <format dxfId="300">
      <pivotArea dataOnly="0" labelOnly="1" fieldPosition="0">
        <references count="5">
          <reference field="0" count="1" selected="0">
            <x v="234"/>
          </reference>
          <reference field="1" count="1" selected="0">
            <x v="179"/>
          </reference>
          <reference field="2" count="1" selected="0">
            <x v="163"/>
          </reference>
          <reference field="3" count="1" selected="0">
            <x v="0"/>
          </reference>
          <reference field="12" count="1">
            <x v="28"/>
          </reference>
        </references>
      </pivotArea>
    </format>
    <format dxfId="299">
      <pivotArea dataOnly="0" labelOnly="1" fieldPosition="0">
        <references count="5">
          <reference field="0" count="1" selected="0">
            <x v="235"/>
          </reference>
          <reference field="1" count="1" selected="0">
            <x v="191"/>
          </reference>
          <reference field="2" count="1" selected="0">
            <x v="155"/>
          </reference>
          <reference field="3" count="1" selected="0">
            <x v="0"/>
          </reference>
          <reference field="12" count="1">
            <x v="3"/>
          </reference>
        </references>
      </pivotArea>
    </format>
    <format dxfId="298">
      <pivotArea dataOnly="0" labelOnly="1" fieldPosition="0">
        <references count="5">
          <reference field="0" count="1" selected="0">
            <x v="238"/>
          </reference>
          <reference field="1" count="1" selected="0">
            <x v="194"/>
          </reference>
          <reference field="2" count="1" selected="0">
            <x v="25"/>
          </reference>
          <reference field="3" count="1" selected="0">
            <x v="0"/>
          </reference>
          <reference field="12" count="1">
            <x v="0"/>
          </reference>
        </references>
      </pivotArea>
    </format>
    <format dxfId="297">
      <pivotArea dataOnly="0" labelOnly="1" fieldPosition="0">
        <references count="5">
          <reference field="0" count="1" selected="0">
            <x v="240"/>
          </reference>
          <reference field="1" count="1" selected="0">
            <x v="196"/>
          </reference>
          <reference field="2" count="1" selected="0">
            <x v="40"/>
          </reference>
          <reference field="3" count="1" selected="0">
            <x v="0"/>
          </reference>
          <reference field="12" count="1">
            <x v="3"/>
          </reference>
        </references>
      </pivotArea>
    </format>
    <format dxfId="296">
      <pivotArea dataOnly="0" labelOnly="1" fieldPosition="0">
        <references count="5">
          <reference field="0" count="1" selected="0">
            <x v="241"/>
          </reference>
          <reference field="1" count="1" selected="0">
            <x v="197"/>
          </reference>
          <reference field="2" count="1" selected="0">
            <x v="195"/>
          </reference>
          <reference field="3" count="1" selected="0">
            <x v="0"/>
          </reference>
          <reference field="12" count="1">
            <x v="0"/>
          </reference>
        </references>
      </pivotArea>
    </format>
    <format dxfId="295">
      <pivotArea dataOnly="0" labelOnly="1" fieldPosition="0">
        <references count="5">
          <reference field="0" count="1" selected="0">
            <x v="242"/>
          </reference>
          <reference field="1" count="1" selected="0">
            <x v="198"/>
          </reference>
          <reference field="2" count="1" selected="0">
            <x v="132"/>
          </reference>
          <reference field="3" count="1" selected="0">
            <x v="0"/>
          </reference>
          <reference field="12" count="1">
            <x v="6"/>
          </reference>
        </references>
      </pivotArea>
    </format>
    <format dxfId="294">
      <pivotArea dataOnly="0" labelOnly="1" fieldPosition="0">
        <references count="6">
          <reference field="0" count="1" selected="0">
            <x v="0"/>
          </reference>
          <reference field="1" count="1" selected="0">
            <x v="228"/>
          </reference>
          <reference field="2" count="1" selected="0">
            <x v="153"/>
          </reference>
          <reference field="3" count="1" selected="0">
            <x v="0"/>
          </reference>
          <reference field="12" count="1" selected="0">
            <x v="7"/>
          </reference>
          <reference field="13" count="1">
            <x v="24"/>
          </reference>
        </references>
      </pivotArea>
    </format>
    <format dxfId="293">
      <pivotArea dataOnly="0" labelOnly="1" fieldPosition="0">
        <references count="6">
          <reference field="0" count="1" selected="0">
            <x v="2"/>
          </reference>
          <reference field="1" count="1" selected="0">
            <x v="230"/>
          </reference>
          <reference field="2" count="1" selected="0">
            <x v="225"/>
          </reference>
          <reference field="3" count="1" selected="0">
            <x v="0"/>
          </reference>
          <reference field="12" count="1" selected="0">
            <x v="7"/>
          </reference>
          <reference field="13" count="1">
            <x v="0"/>
          </reference>
        </references>
      </pivotArea>
    </format>
    <format dxfId="292">
      <pivotArea dataOnly="0" labelOnly="1" fieldPosition="0">
        <references count="6">
          <reference field="0" count="1" selected="0">
            <x v="12"/>
          </reference>
          <reference field="1" count="1" selected="0">
            <x v="123"/>
          </reference>
          <reference field="2" count="1" selected="0">
            <x v="150"/>
          </reference>
          <reference field="3" count="1" selected="0">
            <x v="0"/>
          </reference>
          <reference field="12" count="1" selected="0">
            <x v="0"/>
          </reference>
          <reference field="13" count="1">
            <x v="2"/>
          </reference>
        </references>
      </pivotArea>
    </format>
    <format dxfId="291">
      <pivotArea dataOnly="0" labelOnly="1" fieldPosition="0">
        <references count="6">
          <reference field="0" count="1" selected="0">
            <x v="16"/>
          </reference>
          <reference field="1" count="1" selected="0">
            <x v="64"/>
          </reference>
          <reference field="2" count="1" selected="0">
            <x v="157"/>
          </reference>
          <reference field="3" count="1" selected="0">
            <x v="0"/>
          </reference>
          <reference field="12" count="1" selected="0">
            <x v="7"/>
          </reference>
          <reference field="13" count="1">
            <x v="0"/>
          </reference>
        </references>
      </pivotArea>
    </format>
    <format dxfId="290">
      <pivotArea dataOnly="0" labelOnly="1" fieldPosition="0">
        <references count="6">
          <reference field="0" count="1" selected="0">
            <x v="186"/>
          </reference>
          <reference field="1" count="1" selected="0">
            <x v="218"/>
          </reference>
          <reference field="2" count="1" selected="0">
            <x v="93"/>
          </reference>
          <reference field="3" count="1" selected="0">
            <x v="0"/>
          </reference>
          <reference field="12" count="1" selected="0">
            <x v="12"/>
          </reference>
          <reference field="13" count="1">
            <x v="2"/>
          </reference>
        </references>
      </pivotArea>
    </format>
    <format dxfId="289">
      <pivotArea dataOnly="0" labelOnly="1" fieldPosition="0">
        <references count="6">
          <reference field="0" count="1" selected="0">
            <x v="187"/>
          </reference>
          <reference field="1" count="1" selected="0">
            <x v="219"/>
          </reference>
          <reference field="2" count="1" selected="0">
            <x v="104"/>
          </reference>
          <reference field="3" count="1" selected="0">
            <x v="0"/>
          </reference>
          <reference field="12" count="1" selected="0">
            <x v="12"/>
          </reference>
          <reference field="13" count="1">
            <x v="14"/>
          </reference>
        </references>
      </pivotArea>
    </format>
    <format dxfId="288">
      <pivotArea dataOnly="0" labelOnly="1" fieldPosition="0">
        <references count="6">
          <reference field="0" count="1" selected="0">
            <x v="189"/>
          </reference>
          <reference field="1" count="1" selected="0">
            <x v="221"/>
          </reference>
          <reference field="2" count="1" selected="0">
            <x v="182"/>
          </reference>
          <reference field="3" count="1" selected="0">
            <x v="0"/>
          </reference>
          <reference field="12" count="1" selected="0">
            <x v="12"/>
          </reference>
          <reference field="13" count="1">
            <x v="0"/>
          </reference>
        </references>
      </pivotArea>
    </format>
    <format dxfId="287">
      <pivotArea dataOnly="0" labelOnly="1" fieldPosition="0">
        <references count="6">
          <reference field="0" count="1" selected="0">
            <x v="204"/>
          </reference>
          <reference field="1" count="1" selected="0">
            <x v="149"/>
          </reference>
          <reference field="2" count="1" selected="0">
            <x v="117"/>
          </reference>
          <reference field="3" count="1" selected="0">
            <x v="0"/>
          </reference>
          <reference field="12" count="1" selected="0">
            <x v="12"/>
          </reference>
          <reference field="13" count="1">
            <x v="14"/>
          </reference>
        </references>
      </pivotArea>
    </format>
    <format dxfId="286">
      <pivotArea dataOnly="0" labelOnly="1" fieldPosition="0">
        <references count="6">
          <reference field="0" count="1" selected="0">
            <x v="206"/>
          </reference>
          <reference field="1" count="1" selected="0">
            <x v="151"/>
          </reference>
          <reference field="2" count="1" selected="0">
            <x v="159"/>
          </reference>
          <reference field="3" count="1" selected="0">
            <x v="0"/>
          </reference>
          <reference field="12" count="1" selected="0">
            <x v="12"/>
          </reference>
          <reference field="13" count="1">
            <x v="5"/>
          </reference>
        </references>
      </pivotArea>
    </format>
    <format dxfId="285">
      <pivotArea dataOnly="0" labelOnly="1" fieldPosition="0">
        <references count="6">
          <reference field="0" count="1" selected="0">
            <x v="207"/>
          </reference>
          <reference field="1" count="1" selected="0">
            <x v="152"/>
          </reference>
          <reference field="2" count="1" selected="0">
            <x v="81"/>
          </reference>
          <reference field="3" count="1" selected="0">
            <x v="0"/>
          </reference>
          <reference field="12" count="1" selected="0">
            <x v="7"/>
          </reference>
          <reference field="13" count="1">
            <x v="0"/>
          </reference>
        </references>
      </pivotArea>
    </format>
    <format dxfId="284">
      <pivotArea dataOnly="0" labelOnly="1" fieldPosition="0">
        <references count="6">
          <reference field="0" count="1" selected="0">
            <x v="208"/>
          </reference>
          <reference field="1" count="1" selected="0">
            <x v="153"/>
          </reference>
          <reference field="2" count="1" selected="0">
            <x v="103"/>
          </reference>
          <reference field="3" count="1" selected="0">
            <x v="0"/>
          </reference>
          <reference field="12" count="1" selected="0">
            <x v="14"/>
          </reference>
          <reference field="13" count="1">
            <x v="16"/>
          </reference>
        </references>
      </pivotArea>
    </format>
    <format dxfId="283">
      <pivotArea dataOnly="0" labelOnly="1" fieldPosition="0">
        <references count="6">
          <reference field="0" count="1" selected="0">
            <x v="209"/>
          </reference>
          <reference field="1" count="1" selected="0">
            <x v="154"/>
          </reference>
          <reference field="2" count="1" selected="0">
            <x v="98"/>
          </reference>
          <reference field="3" count="1" selected="0">
            <x v="0"/>
          </reference>
          <reference field="12" count="1" selected="0">
            <x v="14"/>
          </reference>
          <reference field="13" count="1">
            <x v="17"/>
          </reference>
        </references>
      </pivotArea>
    </format>
    <format dxfId="282">
      <pivotArea dataOnly="0" labelOnly="1" fieldPosition="0">
        <references count="6">
          <reference field="0" count="1" selected="0">
            <x v="210"/>
          </reference>
          <reference field="1" count="1" selected="0">
            <x v="155"/>
          </reference>
          <reference field="2" count="1" selected="0">
            <x v="162"/>
          </reference>
          <reference field="3" count="1" selected="0">
            <x v="0"/>
          </reference>
          <reference field="12" count="1" selected="0">
            <x v="7"/>
          </reference>
          <reference field="13" count="1">
            <x v="2"/>
          </reference>
        </references>
      </pivotArea>
    </format>
    <format dxfId="281">
      <pivotArea dataOnly="0" labelOnly="1" fieldPosition="0">
        <references count="6">
          <reference field="0" count="1" selected="0">
            <x v="211"/>
          </reference>
          <reference field="1" count="1" selected="0">
            <x v="156"/>
          </reference>
          <reference field="2" count="1" selected="0">
            <x v="164"/>
          </reference>
          <reference field="3" count="1" selected="0">
            <x v="0"/>
          </reference>
          <reference field="12" count="1" selected="0">
            <x v="20"/>
          </reference>
          <reference field="13" count="1">
            <x v="3"/>
          </reference>
        </references>
      </pivotArea>
    </format>
    <format dxfId="280">
      <pivotArea dataOnly="0" labelOnly="1" fieldPosition="0">
        <references count="6">
          <reference field="0" count="1" selected="0">
            <x v="212"/>
          </reference>
          <reference field="1" count="1" selected="0">
            <x v="157"/>
          </reference>
          <reference field="2" count="1" selected="0">
            <x v="170"/>
          </reference>
          <reference field="3" count="1" selected="0">
            <x v="0"/>
          </reference>
          <reference field="12" count="1" selected="0">
            <x v="20"/>
          </reference>
          <reference field="13" count="1">
            <x v="4"/>
          </reference>
        </references>
      </pivotArea>
    </format>
    <format dxfId="279">
      <pivotArea dataOnly="0" labelOnly="1" fieldPosition="0">
        <references count="6">
          <reference field="0" count="1" selected="0">
            <x v="214"/>
          </reference>
          <reference field="1" count="1" selected="0">
            <x v="159"/>
          </reference>
          <reference field="2" count="1" selected="0">
            <x v="139"/>
          </reference>
          <reference field="3" count="1" selected="0">
            <x v="0"/>
          </reference>
          <reference field="12" count="1" selected="0">
            <x v="10"/>
          </reference>
          <reference field="13" count="1">
            <x v="15"/>
          </reference>
        </references>
      </pivotArea>
    </format>
    <format dxfId="278">
      <pivotArea dataOnly="0" labelOnly="1" fieldPosition="0">
        <references count="6">
          <reference field="0" count="1" selected="0">
            <x v="215"/>
          </reference>
          <reference field="1" count="1" selected="0">
            <x v="160"/>
          </reference>
          <reference field="2" count="1" selected="0">
            <x v="137"/>
          </reference>
          <reference field="3" count="1" selected="0">
            <x v="0"/>
          </reference>
          <reference field="12" count="1" selected="0">
            <x v="10"/>
          </reference>
          <reference field="13" count="1">
            <x v="11"/>
          </reference>
        </references>
      </pivotArea>
    </format>
    <format dxfId="277">
      <pivotArea dataOnly="0" labelOnly="1" fieldPosition="0">
        <references count="6">
          <reference field="0" count="1" selected="0">
            <x v="216"/>
          </reference>
          <reference field="1" count="1" selected="0">
            <x v="161"/>
          </reference>
          <reference field="2" count="1" selected="0">
            <x v="136"/>
          </reference>
          <reference field="3" count="1" selected="0">
            <x v="0"/>
          </reference>
          <reference field="12" count="1" selected="0">
            <x v="10"/>
          </reference>
          <reference field="13" count="1">
            <x v="13"/>
          </reference>
        </references>
      </pivotArea>
    </format>
    <format dxfId="276">
      <pivotArea dataOnly="0" labelOnly="1" fieldPosition="0">
        <references count="6">
          <reference field="0" count="1" selected="0">
            <x v="217"/>
          </reference>
          <reference field="1" count="1" selected="0">
            <x v="162"/>
          </reference>
          <reference field="2" count="1" selected="0">
            <x v="13"/>
          </reference>
          <reference field="3" count="1" selected="0">
            <x v="0"/>
          </reference>
          <reference field="12" count="1" selected="0">
            <x v="10"/>
          </reference>
          <reference field="13" count="1">
            <x v="10"/>
          </reference>
        </references>
      </pivotArea>
    </format>
    <format dxfId="275">
      <pivotArea dataOnly="0" labelOnly="1" fieldPosition="0">
        <references count="6">
          <reference field="0" count="1" selected="0">
            <x v="219"/>
          </reference>
          <reference field="1" count="1" selected="0">
            <x v="164"/>
          </reference>
          <reference field="2" count="1" selected="0">
            <x v="138"/>
          </reference>
          <reference field="3" count="1" selected="0">
            <x v="0"/>
          </reference>
          <reference field="12" count="1" selected="0">
            <x v="10"/>
          </reference>
          <reference field="13" count="1">
            <x v="8"/>
          </reference>
        </references>
      </pivotArea>
    </format>
    <format dxfId="274">
      <pivotArea dataOnly="0" labelOnly="1" fieldPosition="0">
        <references count="6">
          <reference field="0" count="1" selected="0">
            <x v="220"/>
          </reference>
          <reference field="1" count="1" selected="0">
            <x v="165"/>
          </reference>
          <reference field="2" count="1" selected="0">
            <x v="142"/>
          </reference>
          <reference field="3" count="1" selected="0">
            <x v="0"/>
          </reference>
          <reference field="12" count="1" selected="0">
            <x v="11"/>
          </reference>
          <reference field="13" count="1">
            <x v="12"/>
          </reference>
        </references>
      </pivotArea>
    </format>
    <format dxfId="273">
      <pivotArea dataOnly="0" labelOnly="1" fieldPosition="0">
        <references count="6">
          <reference field="0" count="1" selected="0">
            <x v="221"/>
          </reference>
          <reference field="1" count="1" selected="0">
            <x v="166"/>
          </reference>
          <reference field="2" count="1" selected="0">
            <x v="143"/>
          </reference>
          <reference field="3" count="1" selected="0">
            <x v="0"/>
          </reference>
          <reference field="12" count="1" selected="0">
            <x v="10"/>
          </reference>
          <reference field="13" count="1">
            <x v="9"/>
          </reference>
        </references>
      </pivotArea>
    </format>
    <format dxfId="272">
      <pivotArea dataOnly="0" labelOnly="1" fieldPosition="0">
        <references count="6">
          <reference field="0" count="1" selected="0">
            <x v="223"/>
          </reference>
          <reference field="1" count="1" selected="0">
            <x v="168"/>
          </reference>
          <reference field="2" count="1" selected="0">
            <x v="71"/>
          </reference>
          <reference field="3" count="1" selected="0">
            <x v="0"/>
          </reference>
          <reference field="12" count="1" selected="0">
            <x v="24"/>
          </reference>
          <reference field="13" count="1">
            <x v="7"/>
          </reference>
        </references>
      </pivotArea>
    </format>
    <format dxfId="271">
      <pivotArea dataOnly="0" labelOnly="1" fieldPosition="0">
        <references count="6">
          <reference field="0" count="1" selected="0">
            <x v="224"/>
          </reference>
          <reference field="1" count="1" selected="0">
            <x v="169"/>
          </reference>
          <reference field="2" count="1" selected="0">
            <x v="121"/>
          </reference>
          <reference field="3" count="1" selected="0">
            <x v="0"/>
          </reference>
          <reference field="12" count="1" selected="0">
            <x v="23"/>
          </reference>
          <reference field="13" count="1">
            <x v="1"/>
          </reference>
        </references>
      </pivotArea>
    </format>
    <format dxfId="270">
      <pivotArea dataOnly="0" labelOnly="1" fieldPosition="0">
        <references count="6">
          <reference field="0" count="1" selected="0">
            <x v="225"/>
          </reference>
          <reference field="1" count="1" selected="0">
            <x v="170"/>
          </reference>
          <reference field="2" count="1" selected="0">
            <x v="120"/>
          </reference>
          <reference field="3" count="1" selected="0">
            <x v="0"/>
          </reference>
          <reference field="12" count="1" selected="0">
            <x v="23"/>
          </reference>
          <reference field="13" count="1">
            <x v="22"/>
          </reference>
        </references>
      </pivotArea>
    </format>
    <format dxfId="269">
      <pivotArea dataOnly="0" labelOnly="1" fieldPosition="0">
        <references count="6">
          <reference field="0" count="1" selected="0">
            <x v="228"/>
          </reference>
          <reference field="1" count="1" selected="0">
            <x v="173"/>
          </reference>
          <reference field="2" count="1" selected="0">
            <x v="145"/>
          </reference>
          <reference field="3" count="1" selected="0">
            <x v="0"/>
          </reference>
          <reference field="12" count="1" selected="0">
            <x v="3"/>
          </reference>
          <reference field="13" count="1">
            <x v="21"/>
          </reference>
        </references>
      </pivotArea>
    </format>
    <format dxfId="268">
      <pivotArea dataOnly="0" labelOnly="1" fieldPosition="0">
        <references count="6">
          <reference field="0" count="1" selected="0">
            <x v="229"/>
          </reference>
          <reference field="1" count="1" selected="0">
            <x v="174"/>
          </reference>
          <reference field="2" count="1" selected="0">
            <x v="91"/>
          </reference>
          <reference field="3" count="1" selected="0">
            <x v="0"/>
          </reference>
          <reference field="12" count="1" selected="0">
            <x v="3"/>
          </reference>
          <reference field="13" count="1">
            <x v="18"/>
          </reference>
        </references>
      </pivotArea>
    </format>
    <format dxfId="267">
      <pivotArea dataOnly="0" labelOnly="1" fieldPosition="0">
        <references count="6">
          <reference field="0" count="1" selected="0">
            <x v="231"/>
          </reference>
          <reference field="1" count="1" selected="0">
            <x v="176"/>
          </reference>
          <reference field="2" count="1" selected="0">
            <x v="42"/>
          </reference>
          <reference field="3" count="1" selected="0">
            <x v="0"/>
          </reference>
          <reference field="12" count="1" selected="0">
            <x v="3"/>
          </reference>
          <reference field="13" count="1">
            <x v="20"/>
          </reference>
        </references>
      </pivotArea>
    </format>
    <format dxfId="266">
      <pivotArea dataOnly="0" labelOnly="1" fieldPosition="0">
        <references count="6">
          <reference field="0" count="1" selected="0">
            <x v="232"/>
          </reference>
          <reference field="1" count="1" selected="0">
            <x v="177"/>
          </reference>
          <reference field="2" count="1" selected="0">
            <x v="47"/>
          </reference>
          <reference field="3" count="1" selected="0">
            <x v="0"/>
          </reference>
          <reference field="12" count="1" selected="0">
            <x v="3"/>
          </reference>
          <reference field="13" count="1">
            <x v="19"/>
          </reference>
        </references>
      </pivotArea>
    </format>
    <format dxfId="265">
      <pivotArea dataOnly="0" labelOnly="1" fieldPosition="0">
        <references count="6">
          <reference field="0" count="1" selected="0">
            <x v="233"/>
          </reference>
          <reference field="1" count="1" selected="0">
            <x v="178"/>
          </reference>
          <reference field="2" count="1" selected="0">
            <x v="32"/>
          </reference>
          <reference field="3" count="1" selected="0">
            <x v="0"/>
          </reference>
          <reference field="12" count="1" selected="0">
            <x v="3"/>
          </reference>
          <reference field="13" count="1">
            <x v="6"/>
          </reference>
        </references>
      </pivotArea>
    </format>
    <format dxfId="264">
      <pivotArea dataOnly="0" labelOnly="1" fieldPosition="0">
        <references count="6">
          <reference field="0" count="1" selected="0">
            <x v="234"/>
          </reference>
          <reference field="1" count="1" selected="0">
            <x v="179"/>
          </reference>
          <reference field="2" count="1" selected="0">
            <x v="163"/>
          </reference>
          <reference field="3" count="1" selected="0">
            <x v="0"/>
          </reference>
          <reference field="12" count="1" selected="0">
            <x v="28"/>
          </reference>
          <reference field="13" count="1">
            <x v="25"/>
          </reference>
        </references>
      </pivotArea>
    </format>
    <format dxfId="263">
      <pivotArea dataOnly="0" labelOnly="1" fieldPosition="0">
        <references count="6">
          <reference field="0" count="1" selected="0">
            <x v="235"/>
          </reference>
          <reference field="1" count="1" selected="0">
            <x v="191"/>
          </reference>
          <reference field="2" count="1" selected="0">
            <x v="155"/>
          </reference>
          <reference field="3" count="1" selected="0">
            <x v="0"/>
          </reference>
          <reference field="12" count="1" selected="0">
            <x v="3"/>
          </reference>
          <reference field="13" count="1">
            <x v="0"/>
          </reference>
        </references>
      </pivotArea>
    </format>
    <format dxfId="262">
      <pivotArea dataOnly="0" labelOnly="1" fieldPosition="0">
        <references count="7">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x v="38"/>
          </reference>
        </references>
      </pivotArea>
    </format>
    <format dxfId="261">
      <pivotArea dataOnly="0" labelOnly="1" fieldPosition="0">
        <references count="7">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x v="0"/>
          </reference>
        </references>
      </pivotArea>
    </format>
    <format dxfId="260">
      <pivotArea dataOnly="0" labelOnly="1" fieldPosition="0">
        <references count="7">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x v="35"/>
          </reference>
        </references>
      </pivotArea>
    </format>
    <format dxfId="259">
      <pivotArea dataOnly="0" labelOnly="1" fieldPosition="0">
        <references count="7">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x v="38"/>
          </reference>
        </references>
      </pivotArea>
    </format>
    <format dxfId="258">
      <pivotArea dataOnly="0" labelOnly="1" fieldPosition="0">
        <references count="7">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x v="28"/>
          </reference>
        </references>
      </pivotArea>
    </format>
    <format dxfId="257">
      <pivotArea dataOnly="0" labelOnly="1" fieldPosition="0">
        <references count="7">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x v="38"/>
          </reference>
        </references>
      </pivotArea>
    </format>
    <format dxfId="256">
      <pivotArea dataOnly="0" labelOnly="1" fieldPosition="0">
        <references count="7">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x v="40"/>
          </reference>
        </references>
      </pivotArea>
    </format>
    <format dxfId="255">
      <pivotArea dataOnly="0" labelOnly="1" fieldPosition="0">
        <references count="7">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x v="38"/>
          </reference>
        </references>
      </pivotArea>
    </format>
    <format dxfId="254">
      <pivotArea dataOnly="0" labelOnly="1" fieldPosition="0">
        <references count="7">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x v="1"/>
          </reference>
        </references>
      </pivotArea>
    </format>
    <format dxfId="253">
      <pivotArea dataOnly="0" labelOnly="1" fieldPosition="0">
        <references count="7">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x v="3"/>
          </reference>
        </references>
      </pivotArea>
    </format>
    <format dxfId="252">
      <pivotArea dataOnly="0" labelOnly="1" fieldPosition="0">
        <references count="7">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x v="19"/>
          </reference>
        </references>
      </pivotArea>
    </format>
    <format dxfId="251">
      <pivotArea dataOnly="0" labelOnly="1" fieldPosition="0">
        <references count="7">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x v="13"/>
          </reference>
        </references>
      </pivotArea>
    </format>
    <format dxfId="250">
      <pivotArea dataOnly="0" labelOnly="1" fieldPosition="0">
        <references count="7">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x v="15"/>
          </reference>
        </references>
      </pivotArea>
    </format>
    <format dxfId="249">
      <pivotArea dataOnly="0" labelOnly="1" fieldPosition="0">
        <references count="7">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x v="61"/>
          </reference>
        </references>
      </pivotArea>
    </format>
    <format dxfId="248">
      <pivotArea dataOnly="0" labelOnly="1" fieldPosition="0">
        <references count="7">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x v="2"/>
          </reference>
        </references>
      </pivotArea>
    </format>
    <format dxfId="247">
      <pivotArea dataOnly="0" labelOnly="1" fieldPosition="0">
        <references count="7">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x v="62"/>
          </reference>
        </references>
      </pivotArea>
    </format>
    <format dxfId="246">
      <pivotArea dataOnly="0" labelOnly="1" fieldPosition="0">
        <references count="7">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x v="58"/>
          </reference>
        </references>
      </pivotArea>
    </format>
    <format dxfId="245">
      <pivotArea dataOnly="0" labelOnly="1" fieldPosition="0">
        <references count="7">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x v="56"/>
          </reference>
        </references>
      </pivotArea>
    </format>
    <format dxfId="244">
      <pivotArea dataOnly="0" labelOnly="1" fieldPosition="0">
        <references count="7">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x v="66"/>
          </reference>
        </references>
      </pivotArea>
    </format>
    <format dxfId="243">
      <pivotArea dataOnly="0" labelOnly="1" fieldPosition="0">
        <references count="7">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x v="34"/>
          </reference>
        </references>
      </pivotArea>
    </format>
    <format dxfId="242">
      <pivotArea dataOnly="0" labelOnly="1" fieldPosition="0">
        <references count="7">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x v="47"/>
          </reference>
        </references>
      </pivotArea>
    </format>
    <format dxfId="241">
      <pivotArea dataOnly="0" labelOnly="1" fieldPosition="0">
        <references count="7">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x v="37"/>
          </reference>
        </references>
      </pivotArea>
    </format>
    <format dxfId="240">
      <pivotArea dataOnly="0" labelOnly="1" fieldPosition="0">
        <references count="7">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x v="36"/>
          </reference>
        </references>
      </pivotArea>
    </format>
    <format dxfId="239">
      <pivotArea dataOnly="0" labelOnly="1" fieldPosition="0">
        <references count="7">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x v="0"/>
          </reference>
        </references>
      </pivotArea>
    </format>
    <format dxfId="238">
      <pivotArea dataOnly="0" labelOnly="1" fieldPosition="0">
        <references count="7">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x v="14"/>
          </reference>
        </references>
      </pivotArea>
    </format>
    <format dxfId="237">
      <pivotArea dataOnly="0" labelOnly="1" fieldPosition="0">
        <references count="7">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x v="0"/>
          </reference>
        </references>
      </pivotArea>
    </format>
    <format dxfId="236">
      <pivotArea dataOnly="0" labelOnly="1" fieldPosition="0">
        <references count="7">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x v="0"/>
          </reference>
        </references>
      </pivotArea>
    </format>
    <format dxfId="235">
      <pivotArea dataOnly="0" labelOnly="1" fieldPosition="0">
        <references count="7">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x v="4"/>
          </reference>
        </references>
      </pivotArea>
    </format>
    <format dxfId="234">
      <pivotArea dataOnly="0" labelOnly="1" fieldPosition="0">
        <references count="7">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x v="53"/>
          </reference>
        </references>
      </pivotArea>
    </format>
    <format dxfId="233">
      <pivotArea dataOnly="0" labelOnly="1" fieldPosition="0">
        <references count="7">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x v="25"/>
          </reference>
        </references>
      </pivotArea>
    </format>
    <format dxfId="232">
      <pivotArea dataOnly="0" labelOnly="1" fieldPosition="0">
        <references count="7">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x v="0"/>
          </reference>
        </references>
      </pivotArea>
    </format>
    <format dxfId="231">
      <pivotArea dataOnly="0" labelOnly="1" fieldPosition="0">
        <references count="7">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x v="50"/>
          </reference>
        </references>
      </pivotArea>
    </format>
    <format dxfId="230">
      <pivotArea dataOnly="0" labelOnly="1" fieldPosition="0">
        <references count="7">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x v="49"/>
          </reference>
        </references>
      </pivotArea>
    </format>
    <format dxfId="229">
      <pivotArea dataOnly="0" labelOnly="1" fieldPosition="0">
        <references count="7">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x v="16"/>
          </reference>
        </references>
      </pivotArea>
    </format>
    <format dxfId="228">
      <pivotArea dataOnly="0" labelOnly="1" fieldPosition="0">
        <references count="7">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x v="6"/>
          </reference>
        </references>
      </pivotArea>
    </format>
    <format dxfId="227">
      <pivotArea dataOnly="0" labelOnly="1" fieldPosition="0">
        <references count="7">
          <reference field="0" count="1" selected="0">
            <x v="102"/>
          </reference>
          <reference field="1" count="1" selected="0">
            <x v="89"/>
          </reference>
          <reference field="2" count="1" selected="0">
            <x v="14"/>
          </reference>
          <reference field="3" count="1" selected="0">
            <x v="0"/>
          </reference>
          <reference field="12" count="1" selected="0">
            <x v="3"/>
          </reference>
          <reference field="13" count="1" selected="0">
            <x v="0"/>
          </reference>
          <reference field="14" count="1">
            <x v="16"/>
          </reference>
        </references>
      </pivotArea>
    </format>
    <format dxfId="226">
      <pivotArea dataOnly="0" labelOnly="1" fieldPosition="0">
        <references count="7">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x v="54"/>
          </reference>
        </references>
      </pivotArea>
    </format>
    <format dxfId="225">
      <pivotArea dataOnly="0" labelOnly="1" fieldPosition="0">
        <references count="7">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x v="55"/>
          </reference>
        </references>
      </pivotArea>
    </format>
    <format dxfId="224">
      <pivotArea dataOnly="0" labelOnly="1" fieldPosition="0">
        <references count="7">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x v="4"/>
          </reference>
        </references>
      </pivotArea>
    </format>
    <format dxfId="223">
      <pivotArea dataOnly="0" labelOnly="1" fieldPosition="0">
        <references count="7">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x v="7"/>
          </reference>
        </references>
      </pivotArea>
    </format>
    <format dxfId="222">
      <pivotArea dataOnly="0" labelOnly="1" fieldPosition="0">
        <references count="7">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x v="11"/>
          </reference>
        </references>
      </pivotArea>
    </format>
    <format dxfId="221">
      <pivotArea dataOnly="0" labelOnly="1" fieldPosition="0">
        <references count="7">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x v="38"/>
          </reference>
        </references>
      </pivotArea>
    </format>
    <format dxfId="220">
      <pivotArea dataOnly="0" labelOnly="1" fieldPosition="0">
        <references count="7">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x v="34"/>
          </reference>
        </references>
      </pivotArea>
    </format>
    <format dxfId="219">
      <pivotArea dataOnly="0" labelOnly="1" fieldPosition="0">
        <references count="7">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x v="37"/>
          </reference>
        </references>
      </pivotArea>
    </format>
    <format dxfId="218">
      <pivotArea dataOnly="0" labelOnly="1" fieldPosition="0">
        <references count="7">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x v="36"/>
          </reference>
        </references>
      </pivotArea>
    </format>
    <format dxfId="217">
      <pivotArea dataOnly="0" labelOnly="1" fieldPosition="0">
        <references count="7">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x v="37"/>
          </reference>
        </references>
      </pivotArea>
    </format>
    <format dxfId="216">
      <pivotArea dataOnly="0" labelOnly="1" fieldPosition="0">
        <references count="7">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x v="34"/>
          </reference>
        </references>
      </pivotArea>
    </format>
    <format dxfId="215">
      <pivotArea dataOnly="0" labelOnly="1" fieldPosition="0">
        <references count="7">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x v="37"/>
          </reference>
        </references>
      </pivotArea>
    </format>
    <format dxfId="214">
      <pivotArea dataOnly="0" labelOnly="1" fieldPosition="0">
        <references count="7">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x v="0"/>
          </reference>
        </references>
      </pivotArea>
    </format>
    <format dxfId="213">
      <pivotArea dataOnly="0" labelOnly="1" fieldPosition="0">
        <references count="7">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x v="23"/>
          </reference>
        </references>
      </pivotArea>
    </format>
    <format dxfId="212">
      <pivotArea dataOnly="0" labelOnly="1" fieldPosition="0">
        <references count="7">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x v="22"/>
          </reference>
        </references>
      </pivotArea>
    </format>
    <format dxfId="211">
      <pivotArea dataOnly="0" labelOnly="1" fieldPosition="0">
        <references count="7">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x v="14"/>
          </reference>
        </references>
      </pivotArea>
    </format>
    <format dxfId="210">
      <pivotArea dataOnly="0" labelOnly="1" fieldPosition="0">
        <references count="7">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x v="24"/>
          </reference>
        </references>
      </pivotArea>
    </format>
    <format dxfId="209">
      <pivotArea dataOnly="0" labelOnly="1" fieldPosition="0">
        <references count="7">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x v="18"/>
          </reference>
        </references>
      </pivotArea>
    </format>
    <format dxfId="208">
      <pivotArea dataOnly="0" labelOnly="1" fieldPosition="0">
        <references count="7">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x v="51"/>
          </reference>
        </references>
      </pivotArea>
    </format>
    <format dxfId="207">
      <pivotArea dataOnly="0" labelOnly="1" fieldPosition="0">
        <references count="7">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x v="52"/>
          </reference>
        </references>
      </pivotArea>
    </format>
    <format dxfId="206">
      <pivotArea dataOnly="0" labelOnly="1" fieldPosition="0">
        <references count="7">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x v="65"/>
          </reference>
        </references>
      </pivotArea>
    </format>
    <format dxfId="205">
      <pivotArea dataOnly="0" labelOnly="1" fieldPosition="0">
        <references count="7">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x v="26"/>
          </reference>
        </references>
      </pivotArea>
    </format>
    <format dxfId="204">
      <pivotArea dataOnly="0" labelOnly="1" fieldPosition="0">
        <references count="7">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x v="21"/>
          </reference>
        </references>
      </pivotArea>
    </format>
    <format dxfId="203">
      <pivotArea dataOnly="0" labelOnly="1" fieldPosition="0">
        <references count="7">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x v="7"/>
          </reference>
        </references>
      </pivotArea>
    </format>
    <format dxfId="202">
      <pivotArea dataOnly="0" labelOnly="1" fieldPosition="0">
        <references count="7">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x v="52"/>
          </reference>
        </references>
      </pivotArea>
    </format>
    <format dxfId="201">
      <pivotArea dataOnly="0" labelOnly="1" fieldPosition="0">
        <references count="7">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x v="8"/>
          </reference>
        </references>
      </pivotArea>
    </format>
    <format dxfId="200">
      <pivotArea dataOnly="0" labelOnly="1" fieldPosition="0">
        <references count="7">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x v="20"/>
          </reference>
        </references>
      </pivotArea>
    </format>
    <format dxfId="199">
      <pivotArea dataOnly="0" labelOnly="1" fieldPosition="0">
        <references count="7">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x v="26"/>
          </reference>
        </references>
      </pivotArea>
    </format>
    <format dxfId="198">
      <pivotArea dataOnly="0" labelOnly="1" fieldPosition="0">
        <references count="7">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x v="27"/>
          </reference>
        </references>
      </pivotArea>
    </format>
    <format dxfId="197">
      <pivotArea dataOnly="0" labelOnly="1" fieldPosition="0">
        <references count="7">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x v="26"/>
          </reference>
        </references>
      </pivotArea>
    </format>
    <format dxfId="196">
      <pivotArea dataOnly="0" labelOnly="1" fieldPosition="0">
        <references count="7">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x v="32"/>
          </reference>
        </references>
      </pivotArea>
    </format>
    <format dxfId="195">
      <pivotArea dataOnly="0" labelOnly="1" fieldPosition="0">
        <references count="7">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x v="38"/>
          </reference>
        </references>
      </pivotArea>
    </format>
    <format dxfId="194">
      <pivotArea dataOnly="0" labelOnly="1" fieldPosition="0">
        <references count="7">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x v="44"/>
          </reference>
        </references>
      </pivotArea>
    </format>
    <format dxfId="193">
      <pivotArea dataOnly="0" labelOnly="1" fieldPosition="0">
        <references count="7">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x v="45"/>
          </reference>
        </references>
      </pivotArea>
    </format>
    <format dxfId="192">
      <pivotArea dataOnly="0" labelOnly="1" fieldPosition="0">
        <references count="7">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x v="42"/>
          </reference>
        </references>
      </pivotArea>
    </format>
    <format dxfId="191">
      <pivotArea dataOnly="0" labelOnly="1" fieldPosition="0">
        <references count="7">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x v="46"/>
          </reference>
        </references>
      </pivotArea>
    </format>
    <format dxfId="190">
      <pivotArea dataOnly="0" labelOnly="1" fieldPosition="0">
        <references count="7">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x v="63"/>
          </reference>
        </references>
      </pivotArea>
    </format>
    <format dxfId="189">
      <pivotArea dataOnly="0" labelOnly="1" fieldPosition="0">
        <references count="7">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x v="38"/>
          </reference>
        </references>
      </pivotArea>
    </format>
    <format dxfId="188">
      <pivotArea dataOnly="0" labelOnly="1" fieldPosition="0">
        <references count="7">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x v="0"/>
          </reference>
        </references>
      </pivotArea>
    </format>
    <format dxfId="187">
      <pivotArea dataOnly="0" labelOnly="1" fieldPosition="0">
        <references count="7">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x v="20"/>
          </reference>
        </references>
      </pivotArea>
    </format>
    <format dxfId="186">
      <pivotArea dataOnly="0" labelOnly="1" fieldPosition="0">
        <references count="7">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x v="0"/>
          </reference>
        </references>
      </pivotArea>
    </format>
    <format dxfId="185">
      <pivotArea dataOnly="0" labelOnly="1" fieldPosition="0">
        <references count="7">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x v="39"/>
          </reference>
        </references>
      </pivotArea>
    </format>
    <format dxfId="184">
      <pivotArea dataOnly="0" labelOnly="1" fieldPosition="0">
        <references count="7">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x v="38"/>
          </reference>
        </references>
      </pivotArea>
    </format>
    <format dxfId="183">
      <pivotArea dataOnly="0" labelOnly="1" fieldPosition="0">
        <references count="7">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x v="29"/>
          </reference>
        </references>
      </pivotArea>
    </format>
    <format dxfId="182">
      <pivotArea dataOnly="0" labelOnly="1" fieldPosition="0">
        <references count="7">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x v="31"/>
          </reference>
        </references>
      </pivotArea>
    </format>
    <format dxfId="181">
      <pivotArea dataOnly="0" labelOnly="1" fieldPosition="0">
        <references count="7">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x v="0"/>
          </reference>
        </references>
      </pivotArea>
    </format>
    <format dxfId="180">
      <pivotArea dataOnly="0" labelOnly="1" fieldPosition="0">
        <references count="7">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x v="66"/>
          </reference>
        </references>
      </pivotArea>
    </format>
    <format dxfId="179">
      <pivotArea dataOnly="0" labelOnly="1" fieldPosition="0">
        <references count="7">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x v="0"/>
          </reference>
        </references>
      </pivotArea>
    </format>
    <format dxfId="178">
      <pivotArea dataOnly="0" labelOnly="1" fieldPosition="0">
        <references count="7">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x v="57"/>
          </reference>
        </references>
      </pivotArea>
    </format>
    <format dxfId="177">
      <pivotArea dataOnly="0" labelOnly="1" fieldPosition="0">
        <references count="7">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x v="60"/>
          </reference>
        </references>
      </pivotArea>
    </format>
    <format dxfId="176">
      <pivotArea dataOnly="0" labelOnly="1" fieldPosition="0">
        <references count="7">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x v="0"/>
          </reference>
        </references>
      </pivotArea>
    </format>
    <format dxfId="175">
      <pivotArea dataOnly="0" labelOnly="1" fieldPosition="0">
        <references count="7">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x v="18"/>
          </reference>
        </references>
      </pivotArea>
    </format>
    <format dxfId="174">
      <pivotArea dataOnly="0" labelOnly="1" fieldPosition="0">
        <references count="7">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x v="38"/>
          </reference>
        </references>
      </pivotArea>
    </format>
    <format dxfId="173">
      <pivotArea dataOnly="0" labelOnly="1" fieldPosition="0">
        <references count="7">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x v="34"/>
          </reference>
        </references>
      </pivotArea>
    </format>
    <format dxfId="172">
      <pivotArea dataOnly="0" labelOnly="1" fieldPosition="0">
        <references count="7">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x v="36"/>
          </reference>
        </references>
      </pivotArea>
    </format>
    <format dxfId="171">
      <pivotArea dataOnly="0" labelOnly="1" fieldPosition="0">
        <references count="7">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x v="38"/>
          </reference>
        </references>
      </pivotArea>
    </format>
    <format dxfId="170">
      <pivotArea dataOnly="0" labelOnly="1" fieldPosition="0">
        <references count="7">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x v="67"/>
          </reference>
        </references>
      </pivotArea>
    </format>
    <format dxfId="169">
      <pivotArea dataOnly="0" labelOnly="1" fieldPosition="0">
        <references count="7">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x v="38"/>
          </reference>
        </references>
      </pivotArea>
    </format>
    <format dxfId="168">
      <pivotArea dataOnly="0" labelOnly="1" fieldPosition="0">
        <references count="7">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x v="0"/>
          </reference>
        </references>
      </pivotArea>
    </format>
    <format dxfId="167">
      <pivotArea dataOnly="0" labelOnly="1" fieldPosition="0">
        <references count="8">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x v="15"/>
          </reference>
        </references>
      </pivotArea>
    </format>
    <format dxfId="166">
      <pivotArea dataOnly="0" labelOnly="1" fieldPosition="0">
        <references count="8">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x v="14"/>
          </reference>
        </references>
      </pivotArea>
    </format>
    <format dxfId="165">
      <pivotArea dataOnly="0" labelOnly="1" fieldPosition="0">
        <references count="8">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164">
      <pivotArea dataOnly="0" labelOnly="1" fieldPosition="0">
        <references count="8">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163">
      <pivotArea dataOnly="0" labelOnly="1" fieldPosition="0">
        <references count="8">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162">
      <pivotArea dataOnly="0" labelOnly="1" fieldPosition="0">
        <references count="8">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x v="15"/>
          </reference>
        </references>
      </pivotArea>
    </format>
    <format dxfId="161">
      <pivotArea dataOnly="0" labelOnly="1" fieldPosition="0">
        <references count="8">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x v="14"/>
          </reference>
        </references>
      </pivotArea>
    </format>
    <format dxfId="160">
      <pivotArea dataOnly="0" labelOnly="1" fieldPosition="0">
        <references count="8">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x v="21"/>
          </reference>
        </references>
      </pivotArea>
    </format>
    <format dxfId="159">
      <pivotArea dataOnly="0" labelOnly="1" fieldPosition="0">
        <references count="8">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x v="45"/>
          </reference>
        </references>
      </pivotArea>
    </format>
    <format dxfId="158">
      <pivotArea dataOnly="0" labelOnly="1" fieldPosition="0">
        <references count="8">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x v="0"/>
          </reference>
        </references>
      </pivotArea>
    </format>
    <format dxfId="157">
      <pivotArea dataOnly="0" labelOnly="1" fieldPosition="0">
        <references count="8">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x v="12"/>
          </reference>
        </references>
      </pivotArea>
    </format>
    <format dxfId="156">
      <pivotArea dataOnly="0" labelOnly="1" fieldPosition="0">
        <references count="8">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x v="11"/>
          </reference>
        </references>
      </pivotArea>
    </format>
    <format dxfId="155">
      <pivotArea dataOnly="0" labelOnly="1" fieldPosition="0">
        <references count="8">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x v="0"/>
          </reference>
        </references>
      </pivotArea>
    </format>
    <format dxfId="154">
      <pivotArea dataOnly="0" labelOnly="1" fieldPosition="0">
        <references count="8">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x v="23"/>
          </reference>
        </references>
      </pivotArea>
    </format>
    <format dxfId="153">
      <pivotArea dataOnly="0" labelOnly="1" fieldPosition="0">
        <references count="8">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152">
      <pivotArea dataOnly="0" labelOnly="1" fieldPosition="0">
        <references count="8">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x v="0"/>
          </reference>
        </references>
      </pivotArea>
    </format>
    <format dxfId="151">
      <pivotArea dataOnly="0" labelOnly="1" fieldPosition="0">
        <references count="8">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150">
      <pivotArea dataOnly="0" labelOnly="1" fieldPosition="0">
        <references count="8">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x v="22"/>
          </reference>
        </references>
      </pivotArea>
    </format>
    <format dxfId="149">
      <pivotArea dataOnly="0" labelOnly="1" fieldPosition="0">
        <references count="8">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x v="17"/>
          </reference>
        </references>
      </pivotArea>
    </format>
    <format dxfId="148">
      <pivotArea dataOnly="0" labelOnly="1" fieldPosition="0">
        <references count="8">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147">
      <pivotArea dataOnly="0" labelOnly="1" fieldPosition="0">
        <references count="8">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x v="40"/>
          </reference>
        </references>
      </pivotArea>
    </format>
    <format dxfId="146">
      <pivotArea dataOnly="0" labelOnly="1" fieldPosition="0">
        <references count="8">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x v="41"/>
          </reference>
        </references>
      </pivotArea>
    </format>
    <format dxfId="145">
      <pivotArea dataOnly="0" labelOnly="1" fieldPosition="0">
        <references count="8">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x v="0"/>
          </reference>
        </references>
      </pivotArea>
    </format>
    <format dxfId="144">
      <pivotArea dataOnly="0" labelOnly="1" fieldPosition="0">
        <references count="8">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143">
      <pivotArea dataOnly="0" labelOnly="1" fieldPosition="0">
        <references count="8">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x v="29"/>
          </reference>
        </references>
      </pivotArea>
    </format>
    <format dxfId="142">
      <pivotArea dataOnly="0" labelOnly="1" fieldPosition="0">
        <references count="8">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x v="26"/>
          </reference>
        </references>
      </pivotArea>
    </format>
    <format dxfId="141">
      <pivotArea dataOnly="0" labelOnly="1" fieldPosition="0">
        <references count="8">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x v="0"/>
          </reference>
        </references>
      </pivotArea>
    </format>
    <format dxfId="140">
      <pivotArea dataOnly="0" labelOnly="1" fieldPosition="0">
        <references count="8">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x v="29"/>
          </reference>
        </references>
      </pivotArea>
    </format>
    <format dxfId="139">
      <pivotArea dataOnly="0" labelOnly="1" fieldPosition="0">
        <references count="8">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x v="0"/>
          </reference>
        </references>
      </pivotArea>
    </format>
    <format dxfId="138">
      <pivotArea dataOnly="0" labelOnly="1" fieldPosition="0">
        <references count="8">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37">
      <pivotArea dataOnly="0" labelOnly="1" fieldPosition="0">
        <references count="8">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x v="28"/>
          </reference>
        </references>
      </pivotArea>
    </format>
    <format dxfId="136">
      <pivotArea dataOnly="0" labelOnly="1" fieldPosition="0">
        <references count="8">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selected="0">
            <x v="16"/>
          </reference>
          <reference field="15" count="1">
            <x v="26"/>
          </reference>
        </references>
      </pivotArea>
    </format>
    <format dxfId="135">
      <pivotArea dataOnly="0" labelOnly="1" fieldPosition="0">
        <references count="8">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x v="0"/>
          </reference>
        </references>
      </pivotArea>
    </format>
    <format dxfId="134">
      <pivotArea dataOnly="0" labelOnly="1" fieldPosition="0">
        <references count="8">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33">
      <pivotArea dataOnly="0" labelOnly="1" fieldPosition="0">
        <references count="8">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x v="0"/>
          </reference>
        </references>
      </pivotArea>
    </format>
    <format dxfId="132">
      <pivotArea dataOnly="0" labelOnly="1" fieldPosition="0">
        <references count="8">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x v="30"/>
          </reference>
        </references>
      </pivotArea>
    </format>
    <format dxfId="131">
      <pivotArea dataOnly="0" labelOnly="1" fieldPosition="0">
        <references count="8">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x v="31"/>
          </reference>
        </references>
      </pivotArea>
    </format>
    <format dxfId="130">
      <pivotArea dataOnly="0" labelOnly="1" fieldPosition="0">
        <references count="8">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x v="26"/>
          </reference>
        </references>
      </pivotArea>
    </format>
    <format dxfId="129">
      <pivotArea dataOnly="0" labelOnly="1" fieldPosition="0">
        <references count="8">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x v="27"/>
          </reference>
        </references>
      </pivotArea>
    </format>
    <format dxfId="128">
      <pivotArea dataOnly="0" labelOnly="1" fieldPosition="0">
        <references count="8">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x v="0"/>
          </reference>
        </references>
      </pivotArea>
    </format>
    <format dxfId="127">
      <pivotArea dataOnly="0" labelOnly="1" fieldPosition="0">
        <references count="8">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x v="32"/>
          </reference>
        </references>
      </pivotArea>
    </format>
    <format dxfId="126">
      <pivotArea dataOnly="0" labelOnly="1" fieldPosition="0">
        <references count="8">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x v="0"/>
          </reference>
        </references>
      </pivotArea>
    </format>
    <format dxfId="125">
      <pivotArea dataOnly="0" labelOnly="1" fieldPosition="0">
        <references count="8">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x v="32"/>
          </reference>
        </references>
      </pivotArea>
    </format>
    <format dxfId="124">
      <pivotArea dataOnly="0" labelOnly="1" fieldPosition="0">
        <references count="8">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x v="43"/>
          </reference>
        </references>
      </pivotArea>
    </format>
    <format dxfId="123">
      <pivotArea dataOnly="0" labelOnly="1" fieldPosition="0">
        <references count="8">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x v="0"/>
          </reference>
        </references>
      </pivotArea>
    </format>
    <format dxfId="122">
      <pivotArea dataOnly="0" labelOnly="1" fieldPosition="0">
        <references count="8">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x v="33"/>
          </reference>
        </references>
      </pivotArea>
    </format>
    <format dxfId="121">
      <pivotArea dataOnly="0" labelOnly="1" fieldPosition="0">
        <references count="8">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x v="24"/>
          </reference>
        </references>
      </pivotArea>
    </format>
    <format dxfId="120">
      <pivotArea dataOnly="0" labelOnly="1" fieldPosition="0">
        <references count="8">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19">
      <pivotArea dataOnly="0" labelOnly="1" fieldPosition="0">
        <references count="8">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x v="0"/>
          </reference>
        </references>
      </pivotArea>
    </format>
    <format dxfId="118">
      <pivotArea dataOnly="0" labelOnly="1" fieldPosition="0">
        <references count="8">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x v="3"/>
          </reference>
        </references>
      </pivotArea>
    </format>
    <format dxfId="117">
      <pivotArea dataOnly="0" labelOnly="1" fieldPosition="0">
        <references count="8">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x v="1"/>
          </reference>
        </references>
      </pivotArea>
    </format>
    <format dxfId="116">
      <pivotArea dataOnly="0" labelOnly="1" fieldPosition="0">
        <references count="8">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x v="8"/>
          </reference>
        </references>
      </pivotArea>
    </format>
    <format dxfId="115">
      <pivotArea dataOnly="0" labelOnly="1" fieldPosition="0">
        <references count="8">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x v="7"/>
          </reference>
        </references>
      </pivotArea>
    </format>
    <format dxfId="114">
      <pivotArea dataOnly="0" labelOnly="1" fieldPosition="0">
        <references count="8">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x v="0"/>
          </reference>
        </references>
      </pivotArea>
    </format>
    <format dxfId="113">
      <pivotArea dataOnly="0" labelOnly="1" fieldPosition="0">
        <references count="8">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x v="5"/>
          </reference>
        </references>
      </pivotArea>
    </format>
    <format dxfId="112">
      <pivotArea dataOnly="0" labelOnly="1" fieldPosition="0">
        <references count="8">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111">
      <pivotArea dataOnly="0" labelOnly="1" fieldPosition="0">
        <references count="8">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x v="19"/>
          </reference>
        </references>
      </pivotArea>
    </format>
    <format dxfId="110">
      <pivotArea dataOnly="0" labelOnly="1" fieldPosition="0">
        <references count="8">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x v="18"/>
          </reference>
        </references>
      </pivotArea>
    </format>
    <format dxfId="109">
      <pivotArea dataOnly="0" labelOnly="1" fieldPosition="0">
        <references count="8">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x v="30"/>
          </reference>
        </references>
      </pivotArea>
    </format>
    <format dxfId="108">
      <pivotArea dataOnly="0" labelOnly="1" fieldPosition="0">
        <references count="8">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x v="38"/>
          </reference>
        </references>
      </pivotArea>
    </format>
    <format dxfId="107">
      <pivotArea dataOnly="0" labelOnly="1" fieldPosition="0">
        <references count="8">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x v="0"/>
          </reference>
        </references>
      </pivotArea>
    </format>
    <format dxfId="106">
      <pivotArea dataOnly="0" labelOnly="1" fieldPosition="0">
        <references count="8">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x v="10"/>
          </reference>
        </references>
      </pivotArea>
    </format>
    <format dxfId="105">
      <pivotArea dataOnly="0" labelOnly="1" fieldPosition="0">
        <references count="8">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104">
      <pivotArea dataOnly="0" labelOnly="1" fieldPosition="0">
        <references count="8">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x v="39"/>
          </reference>
        </references>
      </pivotArea>
    </format>
    <format dxfId="103">
      <pivotArea dataOnly="0" labelOnly="1" fieldPosition="0">
        <references count="8">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x v="43"/>
          </reference>
        </references>
      </pivotArea>
    </format>
    <format dxfId="102">
      <pivotArea dataOnly="0" labelOnly="1" fieldPosition="0">
        <references count="8">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101">
      <pivotArea dataOnly="0" labelOnly="1" fieldPosition="0">
        <references count="8">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100">
      <pivotArea dataOnly="0" labelOnly="1" fieldPosition="0">
        <references count="8">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99">
      <pivotArea dataOnly="0" labelOnly="1" fieldPosition="0">
        <references count="8">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x v="37"/>
          </reference>
        </references>
      </pivotArea>
    </format>
    <format dxfId="98">
      <pivotArea dataOnly="0" labelOnly="1" fieldPosition="0">
        <references count="8">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x v="15"/>
          </reference>
        </references>
      </pivotArea>
    </format>
    <format dxfId="97">
      <pivotArea dataOnly="0" labelOnly="1" fieldPosition="0">
        <references count="8">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96">
      <pivotArea dataOnly="0" labelOnly="1" fieldPosition="0">
        <references count="8">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x v="23"/>
          </reference>
        </references>
      </pivotArea>
    </format>
    <format dxfId="95">
      <pivotArea dataOnly="0" labelOnly="1" fieldPosition="0">
        <references count="8">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94">
      <pivotArea dataOnly="0" labelOnly="1" fieldPosition="0">
        <references count="8">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x v="36"/>
          </reference>
        </references>
      </pivotArea>
    </format>
    <format dxfId="93">
      <pivotArea dataOnly="0" labelOnly="1" fieldPosition="0">
        <references count="8">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x v="9"/>
          </reference>
        </references>
      </pivotArea>
    </format>
    <format dxfId="92">
      <pivotArea dataOnly="0" labelOnly="1" fieldPosition="0">
        <references count="8">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x v="15"/>
          </reference>
        </references>
      </pivotArea>
    </format>
    <format dxfId="91">
      <pivotArea dataOnly="0" labelOnly="1" fieldPosition="0">
        <references count="8">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x v="47"/>
          </reference>
        </references>
      </pivotArea>
    </format>
    <format dxfId="90">
      <pivotArea dataOnly="0" labelOnly="1" fieldPosition="0">
        <references count="8">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89">
      <pivotArea dataOnly="0" labelOnly="1" fieldPosition="0">
        <references count="9">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selected="0">
            <x v="15"/>
          </reference>
          <reference field="16" count="1">
            <x v="63"/>
          </reference>
        </references>
      </pivotArea>
    </format>
    <format dxfId="88">
      <pivotArea dataOnly="0" labelOnly="1" fieldPosition="0">
        <references count="9">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selected="0">
            <x v="14"/>
          </reference>
          <reference field="16" count="1">
            <x v="62"/>
          </reference>
        </references>
      </pivotArea>
    </format>
    <format dxfId="87">
      <pivotArea dataOnly="0" labelOnly="1" fieldPosition="0">
        <references count="9">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86">
      <pivotArea dataOnly="0" labelOnly="1" fieldPosition="0">
        <references count="9">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63"/>
          </reference>
        </references>
      </pivotArea>
    </format>
    <format dxfId="85">
      <pivotArea dataOnly="0" labelOnly="1" fieldPosition="0">
        <references count="9">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84">
      <pivotArea dataOnly="0" labelOnly="1" fieldPosition="0">
        <references count="9">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selected="0">
            <x v="15"/>
          </reference>
          <reference field="16" count="1">
            <x v="63"/>
          </reference>
        </references>
      </pivotArea>
    </format>
    <format dxfId="83">
      <pivotArea dataOnly="0" labelOnly="1" fieldPosition="0">
        <references count="9">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selected="0">
            <x v="14"/>
          </reference>
          <reference field="16" count="1">
            <x v="0"/>
          </reference>
        </references>
      </pivotArea>
    </format>
    <format dxfId="82">
      <pivotArea dataOnly="0" labelOnly="1" fieldPosition="0">
        <references count="9">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selected="0">
            <x v="21"/>
          </reference>
          <reference field="16" count="1">
            <x v="7"/>
          </reference>
        </references>
      </pivotArea>
    </format>
    <format dxfId="81">
      <pivotArea dataOnly="0" labelOnly="1" fieldPosition="0">
        <references count="9">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selected="0">
            <x v="45"/>
          </reference>
          <reference field="16" count="1">
            <x v="4"/>
          </reference>
        </references>
      </pivotArea>
    </format>
    <format dxfId="80">
      <pivotArea dataOnly="0" labelOnly="1" fieldPosition="0">
        <references count="9">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selected="0">
            <x v="0"/>
          </reference>
          <reference field="16" count="1">
            <x v="0"/>
          </reference>
        </references>
      </pivotArea>
    </format>
    <format dxfId="79">
      <pivotArea dataOnly="0" labelOnly="1" fieldPosition="0">
        <references count="9">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selected="0">
            <x v="23"/>
          </reference>
          <reference field="16" count="1">
            <x v="13"/>
          </reference>
        </references>
      </pivotArea>
    </format>
    <format dxfId="78">
      <pivotArea dataOnly="0" labelOnly="1" fieldPosition="0">
        <references count="9">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selected="0">
            <x v="23"/>
          </reference>
          <reference field="16" count="1">
            <x v="2"/>
          </reference>
        </references>
      </pivotArea>
    </format>
    <format dxfId="77">
      <pivotArea dataOnly="0" labelOnly="1" fieldPosition="0">
        <references count="9">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39"/>
          </reference>
        </references>
      </pivotArea>
    </format>
    <format dxfId="76">
      <pivotArea dataOnly="0" labelOnly="1" fieldPosition="0">
        <references count="9">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40"/>
          </reference>
        </references>
      </pivotArea>
    </format>
    <format dxfId="75">
      <pivotArea dataOnly="0" labelOnly="1" fieldPosition="0">
        <references count="9">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selected="0">
            <x v="16"/>
          </reference>
          <reference field="16" count="1">
            <x v="35"/>
          </reference>
        </references>
      </pivotArea>
    </format>
    <format dxfId="74">
      <pivotArea dataOnly="0" labelOnly="1" fieldPosition="0">
        <references count="9">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selected="0">
            <x v="0"/>
          </reference>
          <reference field="16" count="1">
            <x v="0"/>
          </reference>
        </references>
      </pivotArea>
    </format>
    <format dxfId="73">
      <pivotArea dataOnly="0" labelOnly="1" fieldPosition="0">
        <references count="9">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36"/>
          </reference>
        </references>
      </pivotArea>
    </format>
    <format dxfId="72">
      <pivotArea dataOnly="0" labelOnly="1" fieldPosition="0">
        <references count="9">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71">
      <pivotArea dataOnly="0" labelOnly="1" fieldPosition="0">
        <references count="9">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selected="0">
            <x v="22"/>
          </reference>
          <reference field="16" count="1">
            <x v="37"/>
          </reference>
        </references>
      </pivotArea>
    </format>
    <format dxfId="70">
      <pivotArea dataOnly="0" labelOnly="1" fieldPosition="0">
        <references count="9">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selected="0">
            <x v="17"/>
          </reference>
          <reference field="16" count="1">
            <x v="0"/>
          </reference>
        </references>
      </pivotArea>
    </format>
    <format dxfId="69">
      <pivotArea dataOnly="0" labelOnly="1" fieldPosition="0">
        <references count="9">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68">
      <pivotArea dataOnly="0" labelOnly="1" fieldPosition="0">
        <references count="9">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selected="0">
            <x v="43"/>
          </reference>
          <reference field="16" count="1">
            <x v="0"/>
          </reference>
        </references>
      </pivotArea>
    </format>
    <format dxfId="67">
      <pivotArea dataOnly="0" labelOnly="1" fieldPosition="0">
        <references count="9">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selected="0">
            <x v="40"/>
          </reference>
          <reference field="16" count="1">
            <x v="31"/>
          </reference>
        </references>
      </pivotArea>
    </format>
    <format dxfId="66">
      <pivotArea dataOnly="0" labelOnly="1" fieldPosition="0">
        <references count="9">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selected="0">
            <x v="41"/>
          </reference>
          <reference field="16" count="1">
            <x v="32"/>
          </reference>
        </references>
      </pivotArea>
    </format>
    <format dxfId="65">
      <pivotArea dataOnly="0" labelOnly="1" fieldPosition="0">
        <references count="9">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selected="0">
            <x v="0"/>
          </reference>
          <reference field="16" count="1">
            <x v="0"/>
          </reference>
        </references>
      </pivotArea>
    </format>
    <format dxfId="64">
      <pivotArea dataOnly="0" labelOnly="1" fieldPosition="0">
        <references count="9">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2"/>
          </reference>
        </references>
      </pivotArea>
    </format>
    <format dxfId="63">
      <pivotArea dataOnly="0" labelOnly="1" fieldPosition="0">
        <references count="9">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0"/>
          </reference>
        </references>
      </pivotArea>
    </format>
    <format dxfId="62">
      <pivotArea dataOnly="0" labelOnly="1" fieldPosition="0">
        <references count="9">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selected="0">
            <x v="29"/>
          </reference>
          <reference field="16" count="1">
            <x v="0"/>
          </reference>
        </references>
      </pivotArea>
    </format>
    <format dxfId="61">
      <pivotArea dataOnly="0" labelOnly="1" fieldPosition="0">
        <references count="9">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selected="0">
            <x v="26"/>
          </reference>
          <reference field="16" count="1">
            <x v="6"/>
          </reference>
        </references>
      </pivotArea>
    </format>
    <format dxfId="60">
      <pivotArea dataOnly="0" labelOnly="1" fieldPosition="0">
        <references count="9">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selected="0">
            <x v="0"/>
          </reference>
          <reference field="16" count="1">
            <x v="59"/>
          </reference>
        </references>
      </pivotArea>
    </format>
    <format dxfId="59">
      <pivotArea dataOnly="0" labelOnly="1" fieldPosition="0">
        <references count="9">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selected="0">
            <x v="29"/>
          </reference>
          <reference field="16" count="1">
            <x v="0"/>
          </reference>
        </references>
      </pivotArea>
    </format>
    <format dxfId="58">
      <pivotArea dataOnly="0" labelOnly="1" fieldPosition="0">
        <references count="9">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selected="0">
            <x v="0"/>
          </reference>
          <reference field="16" count="1">
            <x v="52"/>
          </reference>
        </references>
      </pivotArea>
    </format>
    <format dxfId="57">
      <pivotArea dataOnly="0" labelOnly="1" fieldPosition="0">
        <references count="9">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0"/>
          </reference>
        </references>
      </pivotArea>
    </format>
    <format dxfId="56">
      <pivotArea dataOnly="0" labelOnly="1" fieldPosition="0">
        <references count="9">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2"/>
          </reference>
        </references>
      </pivotArea>
    </format>
    <format dxfId="55">
      <pivotArea dataOnly="0" labelOnly="1" fieldPosition="0">
        <references count="9">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7"/>
          </reference>
        </references>
      </pivotArea>
    </format>
    <format dxfId="54">
      <pivotArea dataOnly="0" labelOnly="1" fieldPosition="0">
        <references count="9">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selected="0">
            <x v="0"/>
          </reference>
          <reference field="16" count="1">
            <x v="52"/>
          </reference>
        </references>
      </pivotArea>
    </format>
    <format dxfId="53">
      <pivotArea dataOnly="0" labelOnly="1" fieldPosition="0">
        <references count="9">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52">
      <pivotArea dataOnly="0" labelOnly="1" fieldPosition="0">
        <references count="9">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selected="0">
            <x v="0"/>
          </reference>
          <reference field="16" count="1">
            <x v="20"/>
          </reference>
        </references>
      </pivotArea>
    </format>
    <format dxfId="51">
      <pivotArea dataOnly="0" labelOnly="1" fieldPosition="0">
        <references count="9">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6"/>
          </reference>
        </references>
      </pivotArea>
    </format>
    <format dxfId="50">
      <pivotArea dataOnly="0" labelOnly="1" fieldPosition="0">
        <references count="9">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5"/>
          </reference>
        </references>
      </pivotArea>
    </format>
    <format dxfId="49">
      <pivotArea dataOnly="0" labelOnly="1" fieldPosition="0">
        <references count="9">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selected="0">
            <x v="0"/>
          </reference>
          <reference field="16" count="1">
            <x v="60"/>
          </reference>
        </references>
      </pivotArea>
    </format>
    <format dxfId="48">
      <pivotArea dataOnly="0" labelOnly="1" fieldPosition="0">
        <references count="9">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selected="0">
            <x v="30"/>
          </reference>
          <reference field="16" count="1">
            <x v="49"/>
          </reference>
        </references>
      </pivotArea>
    </format>
    <format dxfId="47">
      <pivotArea dataOnly="0" labelOnly="1" fieldPosition="0">
        <references count="9">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selected="0">
            <x v="30"/>
          </reference>
          <reference field="16" count="1">
            <x v="51"/>
          </reference>
        </references>
      </pivotArea>
    </format>
    <format dxfId="46">
      <pivotArea dataOnly="0" labelOnly="1" fieldPosition="0">
        <references count="9">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selected="0">
            <x v="26"/>
          </reference>
          <reference field="16" count="1">
            <x v="0"/>
          </reference>
        </references>
      </pivotArea>
    </format>
    <format dxfId="45">
      <pivotArea dataOnly="0" labelOnly="1" fieldPosition="0">
        <references count="9">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selected="0">
            <x v="0"/>
          </reference>
          <reference field="16" count="1">
            <x v="45"/>
          </reference>
        </references>
      </pivotArea>
    </format>
    <format dxfId="44">
      <pivotArea dataOnly="0" labelOnly="1" fieldPosition="0">
        <references count="9">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selected="0">
            <x v="33"/>
          </reference>
          <reference field="16" count="1">
            <x v="0"/>
          </reference>
        </references>
      </pivotArea>
    </format>
    <format dxfId="43">
      <pivotArea dataOnly="0" labelOnly="1" fieldPosition="0">
        <references count="9">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42">
      <pivotArea dataOnly="0" labelOnly="1" fieldPosition="0">
        <references count="9">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selected="0">
            <x v="1"/>
          </reference>
          <reference field="16" count="1">
            <x v="28"/>
          </reference>
        </references>
      </pivotArea>
    </format>
    <format dxfId="41">
      <pivotArea dataOnly="0" labelOnly="1" fieldPosition="0">
        <references count="9">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selected="0">
            <x v="8"/>
          </reference>
          <reference field="16" count="1">
            <x v="0"/>
          </reference>
        </references>
      </pivotArea>
    </format>
    <format dxfId="40">
      <pivotArea dataOnly="0" labelOnly="1" fieldPosition="0">
        <references count="9">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selected="0">
            <x v="8"/>
          </reference>
          <reference field="16" count="1">
            <x v="5"/>
          </reference>
        </references>
      </pivotArea>
    </format>
    <format dxfId="39">
      <pivotArea dataOnly="0" labelOnly="1" fieldPosition="0">
        <references count="9">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selected="0">
            <x v="7"/>
          </reference>
          <reference field="16" count="1">
            <x v="0"/>
          </reference>
        </references>
      </pivotArea>
    </format>
    <format dxfId="38">
      <pivotArea dataOnly="0" labelOnly="1" fieldPosition="0">
        <references count="9">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selected="0">
            <x v="19"/>
          </reference>
          <reference field="16" count="1">
            <x v="58"/>
          </reference>
        </references>
      </pivotArea>
    </format>
    <format dxfId="37">
      <pivotArea dataOnly="0" labelOnly="1" fieldPosition="0">
        <references count="9">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selected="0">
            <x v="18"/>
          </reference>
          <reference field="16" count="1">
            <x v="54"/>
          </reference>
        </references>
      </pivotArea>
    </format>
    <format dxfId="36">
      <pivotArea dataOnly="0" labelOnly="1" fieldPosition="0">
        <references count="9">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selected="0">
            <x v="30"/>
          </reference>
          <reference field="16" count="1">
            <x v="50"/>
          </reference>
        </references>
      </pivotArea>
    </format>
    <format dxfId="35">
      <pivotArea dataOnly="0" labelOnly="1" fieldPosition="0">
        <references count="9">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selected="0">
            <x v="38"/>
          </reference>
          <reference field="16" count="1">
            <x v="0"/>
          </reference>
        </references>
      </pivotArea>
    </format>
    <format dxfId="34">
      <pivotArea dataOnly="0" labelOnly="1" fieldPosition="0">
        <references count="9">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22"/>
          </reference>
        </references>
      </pivotArea>
    </format>
    <format dxfId="33">
      <pivotArea dataOnly="0" labelOnly="1" fieldPosition="0">
        <references count="9">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selected="0">
            <x v="39"/>
          </reference>
          <reference field="16" count="1">
            <x v="0"/>
          </reference>
        </references>
      </pivotArea>
    </format>
    <format dxfId="32">
      <pivotArea dataOnly="0" labelOnly="1" fieldPosition="0">
        <references count="9">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selected="0">
            <x v="43"/>
          </reference>
          <reference field="16" count="1">
            <x v="42"/>
          </reference>
        </references>
      </pivotArea>
    </format>
    <format dxfId="31">
      <pivotArea dataOnly="0" labelOnly="1" fieldPosition="0">
        <references count="9">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46"/>
          </reference>
        </references>
      </pivotArea>
    </format>
    <format dxfId="30">
      <pivotArea dataOnly="0" labelOnly="1" fieldPosition="0">
        <references count="9">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45"/>
          </reference>
        </references>
      </pivotArea>
    </format>
    <format dxfId="29">
      <pivotArea dataOnly="0" labelOnly="1" fieldPosition="0">
        <references count="9">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0"/>
          </reference>
        </references>
      </pivotArea>
    </format>
    <format dxfId="28">
      <pivotArea dataOnly="0" labelOnly="1" fieldPosition="0">
        <references count="9">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selected="0">
            <x v="37"/>
          </reference>
          <reference field="16" count="1">
            <x v="61"/>
          </reference>
        </references>
      </pivotArea>
    </format>
    <format dxfId="27">
      <pivotArea dataOnly="0" labelOnly="1" fieldPosition="0">
        <references count="9">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selected="0">
            <x v="37"/>
          </reference>
          <reference field="16" count="1">
            <x v="0"/>
          </reference>
        </references>
      </pivotArea>
    </format>
    <format dxfId="26">
      <pivotArea dataOnly="0" labelOnly="1" fieldPosition="0">
        <references count="9">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4"/>
          </reference>
        </references>
      </pivotArea>
    </format>
    <format dxfId="25">
      <pivotArea dataOnly="0" labelOnly="1" fieldPosition="0">
        <references count="9">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6"/>
          </reference>
        </references>
      </pivotArea>
    </format>
    <format dxfId="24">
      <pivotArea dataOnly="0" labelOnly="1" fieldPosition="0">
        <references count="9">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selected="0">
            <x v="23"/>
          </reference>
          <reference field="16" count="1">
            <x v="14"/>
          </reference>
        </references>
      </pivotArea>
    </format>
    <format dxfId="23">
      <pivotArea dataOnly="0" labelOnly="1" fieldPosition="0">
        <references count="9">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0"/>
          </reference>
        </references>
      </pivotArea>
    </format>
    <format dxfId="22">
      <pivotArea dataOnly="0" labelOnly="1" fieldPosition="0">
        <references count="9">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selected="0">
            <x v="36"/>
          </reference>
          <reference field="16" count="1">
            <x v="30"/>
          </reference>
        </references>
      </pivotArea>
    </format>
    <format dxfId="21">
      <pivotArea dataOnly="0" labelOnly="1" fieldPosition="0">
        <references count="9">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selected="0">
            <x v="9"/>
          </reference>
          <reference field="16" count="1">
            <x v="18"/>
          </reference>
        </references>
      </pivotArea>
    </format>
    <format dxfId="20">
      <pivotArea dataOnly="0" labelOnly="1" fieldPosition="0">
        <references count="9">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selected="0">
            <x v="15"/>
          </reference>
          <reference field="16" count="1">
            <x v="27"/>
          </reference>
        </references>
      </pivotArea>
    </format>
    <format dxfId="19">
      <pivotArea dataOnly="0" labelOnly="1" fieldPosition="0">
        <references count="9">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selected="0">
            <x v="15"/>
          </reference>
          <reference field="16" count="1">
            <x v="0"/>
          </reference>
        </references>
      </pivotArea>
    </format>
    <format dxfId="18">
      <pivotArea dataOnly="0" labelOnly="1" fieldPosition="0">
        <references count="9">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selected="0">
            <x v="15"/>
          </reference>
          <reference field="16" count="1">
            <x v="43"/>
          </reference>
        </references>
      </pivotArea>
    </format>
    <format dxfId="17">
      <pivotArea dataOnly="0" labelOnly="1" fieldPosition="0">
        <references count="9">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selected="0">
            <x v="15"/>
          </reference>
          <reference field="16" count="1">
            <x v="47"/>
          </reference>
        </references>
      </pivotArea>
    </format>
    <format dxfId="16">
      <pivotArea dataOnly="0" labelOnly="1" fieldPosition="0">
        <references count="9">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selected="0">
            <x v="15"/>
          </reference>
          <reference field="16" count="1">
            <x v="0"/>
          </reference>
        </references>
      </pivotArea>
    </format>
    <format dxfId="15">
      <pivotArea dataOnly="0" labelOnly="1" fieldPosition="0">
        <references count="9">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selected="0">
            <x v="15"/>
          </reference>
          <reference field="16" count="1">
            <x v="41"/>
          </reference>
        </references>
      </pivotArea>
    </format>
    <format dxfId="14">
      <pivotArea dataOnly="0" labelOnly="1" fieldPosition="0">
        <references count="9">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selected="0">
            <x v="15"/>
          </reference>
          <reference field="16" count="1">
            <x v="16"/>
          </reference>
        </references>
      </pivotArea>
    </format>
    <format dxfId="13">
      <pivotArea dataOnly="0" labelOnly="1" fieldPosition="0">
        <references count="9">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selected="0">
            <x v="15"/>
          </reference>
          <reference field="16" count="1">
            <x v="3"/>
          </reference>
        </references>
      </pivotArea>
    </format>
    <format dxfId="12">
      <pivotArea dataOnly="0" labelOnly="1" fieldPosition="0">
        <references count="9">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selected="0">
            <x v="15"/>
          </reference>
          <reference field="16" count="1">
            <x v="36"/>
          </reference>
        </references>
      </pivotArea>
    </format>
    <format dxfId="11">
      <pivotArea dataOnly="0" labelOnly="1" fieldPosition="0">
        <references count="9">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selected="0">
            <x v="15"/>
          </reference>
          <reference field="16" count="1">
            <x v="0"/>
          </reference>
        </references>
      </pivotArea>
    </format>
    <format dxfId="10">
      <pivotArea dataOnly="0" labelOnly="1" fieldPosition="0">
        <references count="9">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selected="0">
            <x v="15"/>
          </reference>
          <reference field="16" count="1">
            <x v="7"/>
          </reference>
        </references>
      </pivotArea>
    </format>
    <format dxfId="9">
      <pivotArea dataOnly="0" labelOnly="1" fieldPosition="0">
        <references count="9">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selected="0">
            <x v="15"/>
          </reference>
          <reference field="16" count="1">
            <x v="9"/>
          </reference>
        </references>
      </pivotArea>
    </format>
    <format dxfId="8">
      <pivotArea dataOnly="0" labelOnly="1" fieldPosition="0">
        <references count="9">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selected="0">
            <x v="15"/>
          </reference>
          <reference field="16" count="1">
            <x v="7"/>
          </reference>
        </references>
      </pivotArea>
    </format>
    <format dxfId="7">
      <pivotArea dataOnly="0" labelOnly="1" fieldPosition="0">
        <references count="9">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selected="0">
            <x v="15"/>
          </reference>
          <reference field="16" count="1">
            <x v="28"/>
          </reference>
        </references>
      </pivotArea>
    </format>
    <format dxfId="6">
      <pivotArea dataOnly="0" labelOnly="1" fieldPosition="0">
        <references count="9">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selected="0">
            <x v="15"/>
          </reference>
          <reference field="16" count="1">
            <x v="29"/>
          </reference>
        </references>
      </pivotArea>
    </format>
    <format dxfId="5">
      <pivotArea dataOnly="0" labelOnly="1" fieldPosition="0">
        <references count="9">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4">
      <pivotArea dataOnly="0" labelOnly="1" fieldPosition="0">
        <references count="9">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selected="0">
            <x v="15"/>
          </reference>
          <reference field="16" count="1">
            <x v="19"/>
          </reference>
        </references>
      </pivotArea>
    </format>
    <format dxfId="3">
      <pivotArea dataOnly="0" labelOnly="1" fieldPosition="0">
        <references count="9">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selected="0">
            <x v="15"/>
          </reference>
          <reference field="16" count="1">
            <x v="48"/>
          </reference>
        </references>
      </pivotArea>
    </format>
    <format dxfId="2">
      <pivotArea dataOnly="0" labelOnly="1" fieldPosition="0">
        <references count="9">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selected="0">
            <x v="15"/>
          </reference>
          <reference field="16" count="1">
            <x v="0"/>
          </reference>
        </references>
      </pivotArea>
    </format>
    <format dxfId="1">
      <pivotArea dataOnly="0" labelOnly="1" fieldPosition="0">
        <references count="9">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selected="0">
            <x v="47"/>
          </reference>
          <reference field="16" count="1">
            <x v="65"/>
          </reference>
        </references>
      </pivotArea>
    </format>
    <format dxfId="0">
      <pivotArea dataOnly="0" labelOnly="1" fieldPosition="0">
        <references count="9">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S268" headerRowCount="0" totalsRowShown="0" headerRowDxfId="2429" dataDxfId="2428">
  <tableColumns count="19">
    <tableColumn id="1" name="Column1" headerRowDxfId="2427" dataDxfId="2426"/>
    <tableColumn id="2" name="Column2" headerRowDxfId="2425" dataDxfId="2424"/>
    <tableColumn id="3" name="Column3" headerRowDxfId="2423" dataDxfId="2422">
      <calculatedColumnFormula>VLOOKUP(B2,'HECVAT - Full'!A:E,2,FALSE)</calculatedColumnFormula>
    </tableColumn>
    <tableColumn id="4" name="Column4" headerRowDxfId="2421" dataDxfId="2420">
      <calculatedColumnFormula>VLOOKUP(B2,'HECVAT - Full'!A:E,4,FALSE)</calculatedColumnFormula>
    </tableColumn>
    <tableColumn id="5" name="Column5" headerRowDxfId="2419" dataDxfId="2418"/>
    <tableColumn id="6" name="Column6" headerRowDxfId="2417" dataDxfId="2416"/>
    <tableColumn id="7" name="Column7" headerRowDxfId="2415" dataDxfId="2414"/>
    <tableColumn id="8" name="Column8" headerRowDxfId="2413" dataDxfId="2412"/>
    <tableColumn id="9" name="Column9" headerRowDxfId="2411" dataDxfId="2410">
      <calculatedColumnFormula>VLOOKUP(B2,'HECVAT - Full'!A:E,3,FALSE)</calculatedColumnFormula>
    </tableColumn>
    <tableColumn id="10" name="Column10" headerRowDxfId="2409" dataDxfId="2408"/>
    <tableColumn id="11" name="Column11" headerRowDxfId="2407" dataDxfId="2406"/>
    <tableColumn id="12" name="Column12" headerRowDxfId="2405" dataDxfId="2404">
      <calculatedColumnFormula>J2*K2</calculatedColumnFormula>
    </tableColumn>
    <tableColumn id="13" name="Column13" headerRowDxfId="2403" dataDxfId="2402">
      <calculatedColumnFormula>VLOOKUP($B2,'Standards Crosswalk'!$A:$H,3,FALSE)</calculatedColumnFormula>
    </tableColumn>
    <tableColumn id="14" name="Column14" headerRowDxfId="2401" dataDxfId="2400">
      <calculatedColumnFormula>VLOOKUP($B2,'Standards Crosswalk'!$A:$H,4,FALSE)</calculatedColumnFormula>
    </tableColumn>
    <tableColumn id="15" name="Column15" headerRowDxfId="2399" dataDxfId="2398">
      <calculatedColumnFormula>VLOOKUP($B2,'Standards Crosswalk'!$A:$H,5,FALSE)</calculatedColumnFormula>
    </tableColumn>
    <tableColumn id="16" name="Column16" headerRowDxfId="2397" dataDxfId="2396">
      <calculatedColumnFormula>VLOOKUP($B2,'Standards Crosswalk'!$A:$H,6,FALSE)</calculatedColumnFormula>
    </tableColumn>
    <tableColumn id="17" name="Column17" headerRowDxfId="2395" dataDxfId="2394">
      <calculatedColumnFormula>VLOOKUP($B2,'Standards Crosswalk'!$A:$H,7,FALSE)</calculatedColumnFormula>
    </tableColumn>
    <tableColumn id="18" name="Column18" headerRowDxfId="2393" dataDxfId="2392">
      <calculatedColumnFormula>VLOOKUP($B2,'Standards Crosswalk'!$A:$H,8,FALSE)</calculatedColumnFormula>
    </tableColumn>
    <tableColumn id="25" name="Column25" headerRowDxfId="2391" dataDxfId="239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5"/>
  <sheetViews>
    <sheetView showGridLines="0" tabSelected="1" workbookViewId="0">
      <selection activeCell="A100" sqref="A100"/>
    </sheetView>
  </sheetViews>
  <sheetFormatPr defaultColWidth="6.59765625" defaultRowHeight="12.75" x14ac:dyDescent="0.2"/>
  <cols>
    <col min="1" max="1" width="30.59765625" style="199" customWidth="1"/>
    <col min="2" max="2" width="60.59765625" style="199" customWidth="1"/>
    <col min="3" max="16384" width="6.59765625" style="199"/>
  </cols>
  <sheetData>
    <row r="1" spans="1:2" ht="42" customHeight="1" x14ac:dyDescent="0.2">
      <c r="A1" s="282"/>
      <c r="B1" s="283"/>
    </row>
    <row r="2" spans="1:2" x14ac:dyDescent="0.2">
      <c r="A2" s="200"/>
      <c r="B2" s="201"/>
    </row>
    <row r="3" spans="1:2" x14ac:dyDescent="0.2">
      <c r="A3" s="200"/>
      <c r="B3" s="201"/>
    </row>
    <row r="4" spans="1:2" x14ac:dyDescent="0.2">
      <c r="A4" s="200"/>
      <c r="B4" s="201"/>
    </row>
    <row r="5" spans="1:2" x14ac:dyDescent="0.2">
      <c r="A5" s="200"/>
      <c r="B5" s="201"/>
    </row>
    <row r="6" spans="1:2" x14ac:dyDescent="0.2">
      <c r="A6" s="200"/>
      <c r="B6" s="201"/>
    </row>
    <row r="7" spans="1:2" x14ac:dyDescent="0.2">
      <c r="A7" s="200"/>
      <c r="B7" s="201"/>
    </row>
    <row r="8" spans="1:2" x14ac:dyDescent="0.2">
      <c r="A8" s="200"/>
      <c r="B8" s="201"/>
    </row>
    <row r="9" spans="1:2" x14ac:dyDescent="0.2">
      <c r="A9" s="200"/>
      <c r="B9" s="201"/>
    </row>
    <row r="10" spans="1:2" x14ac:dyDescent="0.2">
      <c r="A10" s="200"/>
      <c r="B10" s="201"/>
    </row>
    <row r="11" spans="1:2" x14ac:dyDescent="0.2">
      <c r="A11" s="200"/>
      <c r="B11" s="201"/>
    </row>
    <row r="12" spans="1:2" x14ac:dyDescent="0.2">
      <c r="A12" s="200"/>
      <c r="B12" s="201"/>
    </row>
    <row r="13" spans="1:2" x14ac:dyDescent="0.2">
      <c r="A13" s="200"/>
      <c r="B13" s="201"/>
    </row>
    <row r="14" spans="1:2" x14ac:dyDescent="0.2">
      <c r="A14" s="200"/>
      <c r="B14" s="201"/>
    </row>
    <row r="15" spans="1:2" x14ac:dyDescent="0.2">
      <c r="A15" s="200"/>
      <c r="B15" s="201"/>
    </row>
    <row r="16" spans="1:2" x14ac:dyDescent="0.2">
      <c r="A16" s="200"/>
      <c r="B16" s="201"/>
    </row>
    <row r="17" spans="1:2" x14ac:dyDescent="0.2">
      <c r="A17" s="200"/>
      <c r="B17" s="201"/>
    </row>
    <row r="18" spans="1:2" x14ac:dyDescent="0.2">
      <c r="A18" s="200"/>
      <c r="B18" s="201"/>
    </row>
    <row r="19" spans="1:2" x14ac:dyDescent="0.2">
      <c r="A19" s="200"/>
      <c r="B19" s="201"/>
    </row>
    <row r="20" spans="1:2" x14ac:dyDescent="0.2">
      <c r="A20" s="200"/>
      <c r="B20" s="201"/>
    </row>
    <row r="21" spans="1:2" x14ac:dyDescent="0.2">
      <c r="A21" s="200"/>
      <c r="B21" s="201"/>
    </row>
    <row r="22" spans="1:2" x14ac:dyDescent="0.2">
      <c r="A22" s="200"/>
      <c r="B22" s="201"/>
    </row>
    <row r="23" spans="1:2" x14ac:dyDescent="0.2">
      <c r="A23" s="200"/>
      <c r="B23" s="201"/>
    </row>
    <row r="24" spans="1:2" x14ac:dyDescent="0.2">
      <c r="A24" s="200"/>
      <c r="B24" s="201"/>
    </row>
    <row r="25" spans="1:2" x14ac:dyDescent="0.2">
      <c r="A25" s="200"/>
      <c r="B25" s="201"/>
    </row>
    <row r="26" spans="1:2" x14ac:dyDescent="0.2">
      <c r="A26" s="200"/>
      <c r="B26" s="201"/>
    </row>
    <row r="27" spans="1:2" x14ac:dyDescent="0.2">
      <c r="A27" s="200"/>
      <c r="B27" s="201"/>
    </row>
    <row r="28" spans="1:2" x14ac:dyDescent="0.2">
      <c r="A28" s="200"/>
      <c r="B28" s="201"/>
    </row>
    <row r="29" spans="1:2" x14ac:dyDescent="0.2">
      <c r="A29" s="200"/>
      <c r="B29" s="201"/>
    </row>
    <row r="30" spans="1:2" x14ac:dyDescent="0.2">
      <c r="A30" s="200"/>
      <c r="B30" s="201"/>
    </row>
    <row r="31" spans="1:2" x14ac:dyDescent="0.2">
      <c r="A31" s="200"/>
      <c r="B31" s="201"/>
    </row>
    <row r="32" spans="1:2" x14ac:dyDescent="0.2">
      <c r="A32" s="200"/>
      <c r="B32" s="201"/>
    </row>
    <row r="33" spans="1:2" x14ac:dyDescent="0.2">
      <c r="A33" s="200"/>
      <c r="B33" s="201"/>
    </row>
    <row r="34" spans="1:2" x14ac:dyDescent="0.2">
      <c r="A34" s="200"/>
      <c r="B34" s="201"/>
    </row>
    <row r="35" spans="1:2" x14ac:dyDescent="0.2">
      <c r="A35" s="200"/>
      <c r="B35" s="201"/>
    </row>
    <row r="36" spans="1:2" x14ac:dyDescent="0.2">
      <c r="A36" s="200"/>
      <c r="B36" s="201"/>
    </row>
    <row r="37" spans="1:2" x14ac:dyDescent="0.2">
      <c r="A37" s="200"/>
      <c r="B37" s="201"/>
    </row>
    <row r="38" spans="1:2" x14ac:dyDescent="0.2">
      <c r="A38" s="200"/>
      <c r="B38" s="201"/>
    </row>
    <row r="39" spans="1:2" x14ac:dyDescent="0.2">
      <c r="A39" s="200"/>
      <c r="B39" s="201"/>
    </row>
    <row r="40" spans="1:2" x14ac:dyDescent="0.2">
      <c r="A40" s="200"/>
      <c r="B40" s="201"/>
    </row>
    <row r="41" spans="1:2" x14ac:dyDescent="0.2">
      <c r="A41" s="200"/>
      <c r="B41" s="201"/>
    </row>
    <row r="42" spans="1:2" x14ac:dyDescent="0.2">
      <c r="A42" s="200"/>
      <c r="B42" s="201"/>
    </row>
    <row r="43" spans="1:2" x14ac:dyDescent="0.2">
      <c r="A43" s="200"/>
      <c r="B43" s="201"/>
    </row>
    <row r="44" spans="1:2" x14ac:dyDescent="0.2">
      <c r="A44" s="200"/>
      <c r="B44" s="201"/>
    </row>
    <row r="45" spans="1:2" x14ac:dyDescent="0.2">
      <c r="A45" s="200"/>
      <c r="B45" s="201"/>
    </row>
    <row r="46" spans="1:2" x14ac:dyDescent="0.2">
      <c r="A46" s="200"/>
      <c r="B46" s="201"/>
    </row>
    <row r="47" spans="1:2" x14ac:dyDescent="0.2">
      <c r="A47" s="200"/>
      <c r="B47" s="201"/>
    </row>
    <row r="48" spans="1:2" x14ac:dyDescent="0.2">
      <c r="A48" s="200"/>
      <c r="B48" s="201"/>
    </row>
    <row r="49" spans="1:2" x14ac:dyDescent="0.2">
      <c r="A49" s="200"/>
      <c r="B49" s="201"/>
    </row>
    <row r="50" spans="1:2" x14ac:dyDescent="0.2">
      <c r="A50" s="200"/>
      <c r="B50" s="201"/>
    </row>
    <row r="51" spans="1:2" x14ac:dyDescent="0.2">
      <c r="A51" s="200"/>
      <c r="B51" s="201"/>
    </row>
    <row r="52" spans="1:2" x14ac:dyDescent="0.2">
      <c r="A52" s="200"/>
      <c r="B52" s="201"/>
    </row>
    <row r="53" spans="1:2" x14ac:dyDescent="0.2">
      <c r="A53" s="200"/>
      <c r="B53" s="201"/>
    </row>
    <row r="54" spans="1:2" ht="45" customHeight="1" x14ac:dyDescent="0.2">
      <c r="A54" s="202"/>
      <c r="B54" s="203"/>
    </row>
    <row r="55" spans="1:2" ht="36" customHeight="1" x14ac:dyDescent="0.2">
      <c r="A55" s="284" t="s">
        <v>2633</v>
      </c>
      <c r="B55" s="284"/>
    </row>
  </sheetData>
  <mergeCells count="2">
    <mergeCell ref="A1:B1"/>
    <mergeCell ref="A55:B55"/>
  </mergeCells>
  <pageMargins left="0.7" right="0.7" top="0.75" bottom="0.75" header="0.3" footer="0.3"/>
  <pageSetup scale="85"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1685"/>
  <sheetViews>
    <sheetView topLeftCell="A43" workbookViewId="0">
      <selection activeCell="C49" sqref="C49"/>
    </sheetView>
  </sheetViews>
  <sheetFormatPr defaultColWidth="8.59765625" defaultRowHeight="11.25" x14ac:dyDescent="0.2"/>
  <cols>
    <col min="1" max="1" width="10.09765625" style="93" bestFit="1" customWidth="1"/>
    <col min="2" max="2" width="8.5" style="93" customWidth="1"/>
    <col min="3" max="3" width="26.69921875" style="93" bestFit="1" customWidth="1"/>
    <col min="4" max="4" width="12.19921875" style="93" bestFit="1" customWidth="1"/>
    <col min="5" max="5" width="7.19921875" style="93" bestFit="1" customWidth="1"/>
    <col min="6" max="6" width="9.3984375" style="93" bestFit="1" customWidth="1"/>
    <col min="7" max="7" width="12" style="93" bestFit="1" customWidth="1"/>
    <col min="8" max="8" width="15.5" style="93" bestFit="1" customWidth="1"/>
    <col min="9" max="9" width="11.69921875" style="93" bestFit="1" customWidth="1"/>
    <col min="10" max="10" width="13.8984375" style="93" bestFit="1" customWidth="1"/>
    <col min="11" max="11" width="8.09765625" style="93" customWidth="1"/>
    <col min="12" max="16384" width="8.59765625" style="93"/>
  </cols>
  <sheetData>
    <row r="1" spans="1:12" ht="15" x14ac:dyDescent="0.2">
      <c r="A1" s="231" t="s">
        <v>2028</v>
      </c>
      <c r="B1" s="93" t="s">
        <v>2087</v>
      </c>
      <c r="L1"/>
    </row>
    <row r="2" spans="1:12" ht="15" x14ac:dyDescent="0.2">
      <c r="A2" s="231" t="s">
        <v>2056</v>
      </c>
      <c r="B2" s="232">
        <v>0</v>
      </c>
      <c r="L2"/>
    </row>
    <row r="3" spans="1:12" ht="15" x14ac:dyDescent="0.2">
      <c r="L3"/>
    </row>
    <row r="4" spans="1:12" ht="22.5" x14ac:dyDescent="0.2">
      <c r="A4" s="231" t="s">
        <v>2086</v>
      </c>
      <c r="B4" s="231" t="s">
        <v>2025</v>
      </c>
      <c r="C4" s="231" t="s">
        <v>2026</v>
      </c>
      <c r="D4" s="231" t="s">
        <v>2027</v>
      </c>
      <c r="E4" s="231" t="s">
        <v>2084</v>
      </c>
      <c r="F4" s="231" t="s">
        <v>562</v>
      </c>
      <c r="G4" s="231" t="s">
        <v>2085</v>
      </c>
      <c r="H4" s="231" t="s">
        <v>565</v>
      </c>
      <c r="I4" s="231" t="s">
        <v>564</v>
      </c>
      <c r="J4" s="231" t="s">
        <v>563</v>
      </c>
      <c r="K4" s="231" t="s">
        <v>2045</v>
      </c>
      <c r="L4"/>
    </row>
    <row r="5" spans="1:12" ht="45" x14ac:dyDescent="0.2">
      <c r="A5" s="232">
        <v>11</v>
      </c>
      <c r="B5" s="232" t="s">
        <v>174</v>
      </c>
      <c r="C5" s="232" t="s">
        <v>2634</v>
      </c>
      <c r="D5" s="233">
        <v>0</v>
      </c>
      <c r="E5" s="232">
        <v>0</v>
      </c>
      <c r="F5" s="232">
        <v>0</v>
      </c>
      <c r="G5" s="232" t="s">
        <v>616</v>
      </c>
      <c r="H5" s="232">
        <v>0</v>
      </c>
      <c r="I5" s="232">
        <v>0</v>
      </c>
      <c r="J5" s="232" t="s">
        <v>822</v>
      </c>
      <c r="K5" s="232" t="s">
        <v>2110</v>
      </c>
      <c r="L5"/>
    </row>
    <row r="6" spans="1:12" ht="22.5" x14ac:dyDescent="0.2">
      <c r="A6" s="232">
        <v>13</v>
      </c>
      <c r="B6" s="232" t="s">
        <v>176</v>
      </c>
      <c r="C6" s="232" t="s">
        <v>470</v>
      </c>
      <c r="D6" s="233">
        <v>0</v>
      </c>
      <c r="E6" s="232">
        <v>0</v>
      </c>
      <c r="F6" s="233" t="s">
        <v>599</v>
      </c>
      <c r="G6" s="233" t="s">
        <v>619</v>
      </c>
      <c r="H6" s="233" t="s">
        <v>697</v>
      </c>
      <c r="I6" s="233" t="s">
        <v>697</v>
      </c>
      <c r="J6" s="232" t="s">
        <v>822</v>
      </c>
      <c r="K6" s="232">
        <v>0</v>
      </c>
      <c r="L6"/>
    </row>
    <row r="7" spans="1:12" ht="101.25" x14ac:dyDescent="0.2">
      <c r="A7" s="232">
        <v>14</v>
      </c>
      <c r="B7" s="232" t="s">
        <v>183</v>
      </c>
      <c r="C7" s="232" t="s">
        <v>130</v>
      </c>
      <c r="D7" s="233">
        <v>0</v>
      </c>
      <c r="E7" s="232" t="s">
        <v>568</v>
      </c>
      <c r="F7" s="232">
        <v>0</v>
      </c>
      <c r="G7" s="232" t="s">
        <v>622</v>
      </c>
      <c r="H7" s="232" t="s">
        <v>768</v>
      </c>
      <c r="I7" s="232" t="s">
        <v>700</v>
      </c>
      <c r="J7" s="232" t="s">
        <v>825</v>
      </c>
      <c r="K7" s="232">
        <v>12.8</v>
      </c>
      <c r="L7"/>
    </row>
    <row r="8" spans="1:12" ht="33.75" x14ac:dyDescent="0.2">
      <c r="A8" s="232">
        <v>15</v>
      </c>
      <c r="B8" s="232" t="s">
        <v>184</v>
      </c>
      <c r="C8" s="232" t="s">
        <v>516</v>
      </c>
      <c r="D8" s="233">
        <v>0</v>
      </c>
      <c r="E8" s="232" t="s">
        <v>568</v>
      </c>
      <c r="F8" s="232">
        <v>0</v>
      </c>
      <c r="G8" s="232" t="s">
        <v>622</v>
      </c>
      <c r="H8" s="232" t="s">
        <v>768</v>
      </c>
      <c r="I8" s="232" t="s">
        <v>700</v>
      </c>
      <c r="J8" s="232">
        <v>0</v>
      </c>
      <c r="K8" s="232">
        <v>12.8</v>
      </c>
      <c r="L8"/>
    </row>
    <row r="9" spans="1:12" ht="45" x14ac:dyDescent="0.2">
      <c r="A9" s="232">
        <v>16</v>
      </c>
      <c r="B9" s="232" t="s">
        <v>185</v>
      </c>
      <c r="C9" s="232" t="s">
        <v>21</v>
      </c>
      <c r="D9" s="233">
        <v>0</v>
      </c>
      <c r="E9" s="232" t="s">
        <v>568</v>
      </c>
      <c r="F9" s="232">
        <v>0</v>
      </c>
      <c r="G9" s="232" t="s">
        <v>622</v>
      </c>
      <c r="H9" s="232" t="s">
        <v>697</v>
      </c>
      <c r="I9" s="232">
        <v>0</v>
      </c>
      <c r="J9" s="232" t="s">
        <v>826</v>
      </c>
      <c r="K9" s="232">
        <v>12.8</v>
      </c>
      <c r="L9"/>
    </row>
    <row r="10" spans="1:12" ht="67.5" x14ac:dyDescent="0.2">
      <c r="A10" s="232">
        <v>17</v>
      </c>
      <c r="B10" s="232" t="s">
        <v>429</v>
      </c>
      <c r="C10" s="232" t="s">
        <v>441</v>
      </c>
      <c r="D10" s="233">
        <v>0</v>
      </c>
      <c r="E10" s="232">
        <v>0</v>
      </c>
      <c r="F10" s="232">
        <v>0</v>
      </c>
      <c r="G10" s="232" t="s">
        <v>622</v>
      </c>
      <c r="H10" s="232" t="s">
        <v>698</v>
      </c>
      <c r="I10" s="232">
        <v>0</v>
      </c>
      <c r="J10" s="232" t="s">
        <v>827</v>
      </c>
      <c r="K10" s="232">
        <v>12.8</v>
      </c>
      <c r="L10"/>
    </row>
    <row r="11" spans="1:12" ht="33.75" x14ac:dyDescent="0.2">
      <c r="A11" s="232">
        <v>20</v>
      </c>
      <c r="B11" s="232" t="s">
        <v>188</v>
      </c>
      <c r="C11" s="232" t="s">
        <v>536</v>
      </c>
      <c r="D11" s="233">
        <v>0</v>
      </c>
      <c r="E11" s="232" t="s">
        <v>571</v>
      </c>
      <c r="F11" s="232">
        <v>0</v>
      </c>
      <c r="G11" s="232" t="s">
        <v>624</v>
      </c>
      <c r="H11" s="232" t="s">
        <v>698</v>
      </c>
      <c r="I11" s="232" t="s">
        <v>702</v>
      </c>
      <c r="J11" s="232">
        <v>0</v>
      </c>
      <c r="K11" s="232">
        <v>0</v>
      </c>
      <c r="L11"/>
    </row>
    <row r="12" spans="1:12" ht="22.5" x14ac:dyDescent="0.2">
      <c r="A12" s="232">
        <v>23</v>
      </c>
      <c r="B12" s="232" t="s">
        <v>191</v>
      </c>
      <c r="C12" s="232" t="s">
        <v>471</v>
      </c>
      <c r="D12" s="233">
        <v>0</v>
      </c>
      <c r="E12" s="232" t="s">
        <v>568</v>
      </c>
      <c r="F12" s="232">
        <v>0</v>
      </c>
      <c r="G12" s="232" t="s">
        <v>637</v>
      </c>
      <c r="H12" s="232" t="s">
        <v>698</v>
      </c>
      <c r="I12" s="232" t="s">
        <v>700</v>
      </c>
      <c r="J12" s="232" t="s">
        <v>829</v>
      </c>
      <c r="K12" s="232">
        <v>0</v>
      </c>
      <c r="L12"/>
    </row>
    <row r="13" spans="1:12" ht="22.5" x14ac:dyDescent="0.2">
      <c r="A13" s="232">
        <v>25</v>
      </c>
      <c r="B13" s="232" t="s">
        <v>193</v>
      </c>
      <c r="C13" s="232" t="s">
        <v>538</v>
      </c>
      <c r="D13" s="233">
        <v>0</v>
      </c>
      <c r="E13" s="232" t="s">
        <v>571</v>
      </c>
      <c r="F13" s="232">
        <v>0</v>
      </c>
      <c r="G13" s="232" t="s">
        <v>637</v>
      </c>
      <c r="H13" s="232" t="s">
        <v>698</v>
      </c>
      <c r="I13" s="232">
        <v>0</v>
      </c>
      <c r="J13" s="232">
        <v>0</v>
      </c>
      <c r="K13" s="232">
        <v>0</v>
      </c>
      <c r="L13"/>
    </row>
    <row r="14" spans="1:12" ht="22.5" x14ac:dyDescent="0.2">
      <c r="A14" s="232">
        <v>27</v>
      </c>
      <c r="B14" s="232" t="s">
        <v>195</v>
      </c>
      <c r="C14" s="232" t="s">
        <v>896</v>
      </c>
      <c r="D14" s="233">
        <v>0</v>
      </c>
      <c r="E14" s="232" t="s">
        <v>569</v>
      </c>
      <c r="F14" s="232">
        <v>0</v>
      </c>
      <c r="G14" s="232">
        <v>0</v>
      </c>
      <c r="H14" s="232" t="s">
        <v>769</v>
      </c>
      <c r="I14" s="232">
        <v>0</v>
      </c>
      <c r="J14" s="232">
        <v>0</v>
      </c>
      <c r="K14" s="232">
        <v>0</v>
      </c>
      <c r="L14"/>
    </row>
    <row r="15" spans="1:12" ht="33.75" x14ac:dyDescent="0.2">
      <c r="A15" s="232">
        <v>28</v>
      </c>
      <c r="B15" s="232" t="s">
        <v>196</v>
      </c>
      <c r="C15" s="232" t="s">
        <v>897</v>
      </c>
      <c r="D15" s="233">
        <v>0</v>
      </c>
      <c r="E15" s="232" t="s">
        <v>578</v>
      </c>
      <c r="F15" s="232">
        <v>0</v>
      </c>
      <c r="G15" s="232" t="s">
        <v>625</v>
      </c>
      <c r="H15" s="232" t="s">
        <v>769</v>
      </c>
      <c r="I15" s="232">
        <v>0</v>
      </c>
      <c r="J15" s="232">
        <v>0</v>
      </c>
      <c r="K15" s="232">
        <v>0</v>
      </c>
      <c r="L15"/>
    </row>
    <row r="16" spans="1:12" ht="56.25" x14ac:dyDescent="0.2">
      <c r="A16" s="232">
        <v>32</v>
      </c>
      <c r="B16" s="232" t="s">
        <v>199</v>
      </c>
      <c r="C16" s="232" t="s">
        <v>900</v>
      </c>
      <c r="D16" s="233">
        <v>0</v>
      </c>
      <c r="E16" s="232" t="s">
        <v>573</v>
      </c>
      <c r="F16" s="232">
        <v>0</v>
      </c>
      <c r="G16" s="232">
        <v>6.2</v>
      </c>
      <c r="H16" s="232" t="s">
        <v>773</v>
      </c>
      <c r="I16" s="232" t="s">
        <v>706</v>
      </c>
      <c r="J16" s="232" t="s">
        <v>833</v>
      </c>
      <c r="K16" s="232">
        <v>0</v>
      </c>
      <c r="L16"/>
    </row>
    <row r="17" spans="1:12" ht="45" x14ac:dyDescent="0.2">
      <c r="A17" s="232">
        <v>34</v>
      </c>
      <c r="B17" s="232" t="s">
        <v>201</v>
      </c>
      <c r="C17" s="232" t="s">
        <v>517</v>
      </c>
      <c r="D17" s="233">
        <v>0</v>
      </c>
      <c r="E17" s="232">
        <v>0</v>
      </c>
      <c r="F17" s="232">
        <v>0</v>
      </c>
      <c r="G17" s="232">
        <v>16</v>
      </c>
      <c r="H17" s="232">
        <v>0</v>
      </c>
      <c r="I17" s="232">
        <v>0</v>
      </c>
      <c r="J17" s="232">
        <v>0</v>
      </c>
      <c r="K17" s="232" t="s">
        <v>2113</v>
      </c>
      <c r="L17"/>
    </row>
    <row r="18" spans="1:12" ht="67.5" x14ac:dyDescent="0.2">
      <c r="A18" s="232">
        <v>36</v>
      </c>
      <c r="B18" s="232" t="s">
        <v>203</v>
      </c>
      <c r="C18" s="232" t="s">
        <v>443</v>
      </c>
      <c r="D18" s="233">
        <v>0</v>
      </c>
      <c r="E18" s="232" t="s">
        <v>574</v>
      </c>
      <c r="F18" s="232">
        <v>0</v>
      </c>
      <c r="G18" s="232" t="s">
        <v>629</v>
      </c>
      <c r="H18" s="232" t="s">
        <v>775</v>
      </c>
      <c r="I18" s="232">
        <v>0</v>
      </c>
      <c r="J18" s="232" t="s">
        <v>834</v>
      </c>
      <c r="K18" s="232">
        <v>2.4</v>
      </c>
      <c r="L18"/>
    </row>
    <row r="19" spans="1:12" ht="33.75" x14ac:dyDescent="0.2">
      <c r="A19" s="232">
        <v>37</v>
      </c>
      <c r="B19" s="232" t="s">
        <v>204</v>
      </c>
      <c r="C19" s="232" t="s">
        <v>502</v>
      </c>
      <c r="D19" s="233">
        <v>0</v>
      </c>
      <c r="E19" s="232" t="s">
        <v>568</v>
      </c>
      <c r="F19" s="232">
        <v>0</v>
      </c>
      <c r="G19" s="232" t="s">
        <v>630</v>
      </c>
      <c r="H19" s="232">
        <v>0</v>
      </c>
      <c r="I19" s="232">
        <v>0</v>
      </c>
      <c r="J19" s="232">
        <v>0</v>
      </c>
      <c r="K19" s="232">
        <v>0</v>
      </c>
    </row>
    <row r="20" spans="1:12" ht="33.75" x14ac:dyDescent="0.2">
      <c r="A20" s="232">
        <v>40</v>
      </c>
      <c r="B20" s="232" t="s">
        <v>207</v>
      </c>
      <c r="C20" s="232" t="s">
        <v>113</v>
      </c>
      <c r="D20" s="233">
        <v>0</v>
      </c>
      <c r="E20" s="232" t="s">
        <v>574</v>
      </c>
      <c r="F20" s="232">
        <v>0</v>
      </c>
      <c r="G20" s="232">
        <v>0</v>
      </c>
      <c r="H20" s="232">
        <v>0</v>
      </c>
      <c r="I20" s="232">
        <v>0</v>
      </c>
      <c r="J20" s="232">
        <v>0</v>
      </c>
      <c r="K20" s="232">
        <v>0</v>
      </c>
    </row>
    <row r="21" spans="1:12" ht="56.25" x14ac:dyDescent="0.2">
      <c r="A21" s="232">
        <v>41</v>
      </c>
      <c r="B21" s="232" t="s">
        <v>540</v>
      </c>
      <c r="C21" s="232" t="s">
        <v>445</v>
      </c>
      <c r="D21" s="233">
        <v>0</v>
      </c>
      <c r="E21" s="232" t="s">
        <v>571</v>
      </c>
      <c r="F21" s="232">
        <v>0</v>
      </c>
      <c r="G21" s="232" t="s">
        <v>632</v>
      </c>
      <c r="H21" s="232" t="s">
        <v>771</v>
      </c>
      <c r="I21" s="232" t="s">
        <v>707</v>
      </c>
      <c r="J21" s="232" t="s">
        <v>835</v>
      </c>
      <c r="K21" s="232" t="s">
        <v>2114</v>
      </c>
    </row>
    <row r="22" spans="1:12" ht="45" x14ac:dyDescent="0.2">
      <c r="A22" s="232">
        <v>42</v>
      </c>
      <c r="B22" s="232" t="s">
        <v>208</v>
      </c>
      <c r="C22" s="232" t="s">
        <v>503</v>
      </c>
      <c r="D22" s="233">
        <v>0</v>
      </c>
      <c r="E22" s="232" t="s">
        <v>576</v>
      </c>
      <c r="F22" s="232">
        <v>0</v>
      </c>
      <c r="G22" s="232">
        <v>9.1999999999999993</v>
      </c>
      <c r="H22" s="232" t="s">
        <v>771</v>
      </c>
      <c r="I22" s="232" t="s">
        <v>708</v>
      </c>
      <c r="J22" s="232" t="s">
        <v>836</v>
      </c>
      <c r="K22" s="232" t="s">
        <v>2115</v>
      </c>
    </row>
    <row r="23" spans="1:12" ht="22.5" x14ac:dyDescent="0.2">
      <c r="A23" s="232">
        <v>44</v>
      </c>
      <c r="B23" s="232" t="s">
        <v>211</v>
      </c>
      <c r="C23" s="232" t="s">
        <v>34</v>
      </c>
      <c r="D23" s="233">
        <v>0</v>
      </c>
      <c r="E23" s="232" t="s">
        <v>577</v>
      </c>
      <c r="F23" s="232">
        <v>0</v>
      </c>
      <c r="G23" s="232" t="s">
        <v>635</v>
      </c>
      <c r="H23" s="232" t="s">
        <v>777</v>
      </c>
      <c r="I23" s="232" t="s">
        <v>709</v>
      </c>
      <c r="J23" s="232" t="s">
        <v>837</v>
      </c>
      <c r="K23" s="232" t="s">
        <v>2117</v>
      </c>
    </row>
    <row r="24" spans="1:12" ht="33.75" x14ac:dyDescent="0.2">
      <c r="A24" s="232">
        <v>45</v>
      </c>
      <c r="B24" s="232" t="s">
        <v>212</v>
      </c>
      <c r="C24" s="232" t="s">
        <v>518</v>
      </c>
      <c r="D24" s="233">
        <v>0</v>
      </c>
      <c r="E24" s="232" t="s">
        <v>577</v>
      </c>
      <c r="F24" s="232">
        <v>0</v>
      </c>
      <c r="G24" s="232" t="s">
        <v>635</v>
      </c>
      <c r="H24" s="232" t="s">
        <v>777</v>
      </c>
      <c r="I24" s="232" t="s">
        <v>710</v>
      </c>
      <c r="J24" s="232" t="s">
        <v>838</v>
      </c>
      <c r="K24" s="232" t="s">
        <v>2117</v>
      </c>
    </row>
    <row r="25" spans="1:12" ht="33.75" x14ac:dyDescent="0.2">
      <c r="A25" s="232">
        <v>46</v>
      </c>
      <c r="B25" s="232" t="s">
        <v>213</v>
      </c>
      <c r="C25" s="232" t="s">
        <v>2066</v>
      </c>
      <c r="D25" s="233">
        <v>0</v>
      </c>
      <c r="E25" s="232" t="s">
        <v>577</v>
      </c>
      <c r="F25" s="232">
        <v>0</v>
      </c>
      <c r="G25" s="232" t="s">
        <v>635</v>
      </c>
      <c r="H25" s="232" t="s">
        <v>777</v>
      </c>
      <c r="I25" s="232">
        <v>0</v>
      </c>
      <c r="J25" s="232">
        <v>0</v>
      </c>
      <c r="K25" s="232" t="s">
        <v>2117</v>
      </c>
    </row>
    <row r="26" spans="1:12" ht="33.75" x14ac:dyDescent="0.2">
      <c r="A26" s="232">
        <v>48</v>
      </c>
      <c r="B26" s="232" t="s">
        <v>215</v>
      </c>
      <c r="C26" s="232" t="s">
        <v>2657</v>
      </c>
      <c r="D26" s="233">
        <v>0</v>
      </c>
      <c r="E26" s="232" t="s">
        <v>577</v>
      </c>
      <c r="F26" s="232">
        <v>0</v>
      </c>
      <c r="G26" s="232" t="s">
        <v>636</v>
      </c>
      <c r="H26" s="232" t="s">
        <v>777</v>
      </c>
      <c r="I26" s="232" t="s">
        <v>712</v>
      </c>
      <c r="J26" s="232" t="s">
        <v>839</v>
      </c>
      <c r="K26" s="232" t="s">
        <v>2117</v>
      </c>
    </row>
    <row r="27" spans="1:12" ht="33.75" x14ac:dyDescent="0.2">
      <c r="A27" s="232">
        <v>49</v>
      </c>
      <c r="B27" s="232" t="s">
        <v>216</v>
      </c>
      <c r="C27" s="232" t="s">
        <v>2564</v>
      </c>
      <c r="D27" s="233">
        <v>0</v>
      </c>
      <c r="E27" s="232" t="s">
        <v>577</v>
      </c>
      <c r="F27" s="232">
        <v>0</v>
      </c>
      <c r="G27" s="232" t="s">
        <v>637</v>
      </c>
      <c r="H27" s="232">
        <v>0</v>
      </c>
      <c r="I27" s="232">
        <v>0</v>
      </c>
      <c r="J27" s="232">
        <v>0</v>
      </c>
      <c r="K27" s="232" t="s">
        <v>2118</v>
      </c>
    </row>
    <row r="28" spans="1:12" ht="33.75" x14ac:dyDescent="0.2">
      <c r="A28" s="232">
        <v>50</v>
      </c>
      <c r="B28" s="232" t="s">
        <v>217</v>
      </c>
      <c r="C28" s="232" t="s">
        <v>35</v>
      </c>
      <c r="D28" s="233">
        <v>0</v>
      </c>
      <c r="E28" s="232" t="s">
        <v>577</v>
      </c>
      <c r="F28" s="232">
        <v>0</v>
      </c>
      <c r="G28" s="232" t="s">
        <v>637</v>
      </c>
      <c r="H28" s="232" t="s">
        <v>777</v>
      </c>
      <c r="I28" s="232">
        <v>0</v>
      </c>
      <c r="J28" s="232">
        <v>0</v>
      </c>
      <c r="K28" s="232" t="s">
        <v>2117</v>
      </c>
    </row>
    <row r="29" spans="1:12" ht="33.75" x14ac:dyDescent="0.2">
      <c r="A29" s="232">
        <v>51</v>
      </c>
      <c r="B29" s="232" t="s">
        <v>218</v>
      </c>
      <c r="C29" s="232" t="s">
        <v>36</v>
      </c>
      <c r="D29" s="233">
        <v>0</v>
      </c>
      <c r="E29" s="232" t="s">
        <v>577</v>
      </c>
      <c r="F29" s="232">
        <v>0</v>
      </c>
      <c r="G29" s="232" t="s">
        <v>637</v>
      </c>
      <c r="H29" s="232" t="s">
        <v>777</v>
      </c>
      <c r="I29" s="232" t="s">
        <v>713</v>
      </c>
      <c r="J29" s="232" t="s">
        <v>838</v>
      </c>
      <c r="K29" s="232" t="s">
        <v>2117</v>
      </c>
    </row>
    <row r="30" spans="1:12" ht="45" x14ac:dyDescent="0.2">
      <c r="A30" s="232">
        <v>54</v>
      </c>
      <c r="B30" s="232" t="s">
        <v>221</v>
      </c>
      <c r="C30" s="232" t="s">
        <v>519</v>
      </c>
      <c r="D30" s="233">
        <v>0</v>
      </c>
      <c r="E30" s="232" t="s">
        <v>577</v>
      </c>
      <c r="F30" s="232">
        <v>0</v>
      </c>
      <c r="G30" s="232" t="s">
        <v>637</v>
      </c>
      <c r="H30" s="232" t="s">
        <v>778</v>
      </c>
      <c r="I30" s="232">
        <v>0</v>
      </c>
      <c r="J30" s="232">
        <v>0</v>
      </c>
      <c r="K30" s="232" t="s">
        <v>2117</v>
      </c>
    </row>
    <row r="31" spans="1:12" ht="33.75" x14ac:dyDescent="0.2">
      <c r="A31" s="232">
        <v>56</v>
      </c>
      <c r="B31" s="232" t="s">
        <v>223</v>
      </c>
      <c r="C31" s="232" t="s">
        <v>94</v>
      </c>
      <c r="D31" s="233">
        <v>0</v>
      </c>
      <c r="E31" s="232" t="s">
        <v>577</v>
      </c>
      <c r="F31" s="232">
        <v>0</v>
      </c>
      <c r="G31" s="232">
        <v>0</v>
      </c>
      <c r="H31" s="232" t="s">
        <v>778</v>
      </c>
      <c r="I31" s="232">
        <v>0</v>
      </c>
      <c r="J31" s="232">
        <v>0</v>
      </c>
      <c r="K31" s="232">
        <v>0</v>
      </c>
    </row>
    <row r="32" spans="1:12" ht="33.75" x14ac:dyDescent="0.2">
      <c r="A32" s="232">
        <v>57</v>
      </c>
      <c r="B32" s="232" t="s">
        <v>224</v>
      </c>
      <c r="C32" s="232" t="s">
        <v>520</v>
      </c>
      <c r="D32" s="233">
        <v>0</v>
      </c>
      <c r="E32" s="232" t="s">
        <v>577</v>
      </c>
      <c r="F32" s="232">
        <v>0</v>
      </c>
      <c r="G32" s="232">
        <v>0</v>
      </c>
      <c r="H32" s="232" t="s">
        <v>778</v>
      </c>
      <c r="I32" s="232" t="s">
        <v>715</v>
      </c>
      <c r="J32" s="232">
        <v>0</v>
      </c>
      <c r="K32" s="232" t="s">
        <v>2117</v>
      </c>
    </row>
    <row r="33" spans="1:11" ht="45" x14ac:dyDescent="0.2">
      <c r="A33" s="232">
        <v>58</v>
      </c>
      <c r="B33" s="232" t="s">
        <v>225</v>
      </c>
      <c r="C33" s="232" t="s">
        <v>541</v>
      </c>
      <c r="D33" s="233">
        <v>0</v>
      </c>
      <c r="E33" s="232" t="s">
        <v>579</v>
      </c>
      <c r="F33" s="232">
        <v>0</v>
      </c>
      <c r="G33" s="232" t="s">
        <v>634</v>
      </c>
      <c r="H33" s="232" t="s">
        <v>779</v>
      </c>
      <c r="I33" s="232" t="s">
        <v>716</v>
      </c>
      <c r="J33" s="232" t="s">
        <v>841</v>
      </c>
      <c r="K33" s="232" t="s">
        <v>2119</v>
      </c>
    </row>
    <row r="34" spans="1:11" ht="123.75" x14ac:dyDescent="0.2">
      <c r="A34" s="232">
        <v>59</v>
      </c>
      <c r="B34" s="232" t="s">
        <v>226</v>
      </c>
      <c r="C34" s="232" t="s">
        <v>2097</v>
      </c>
      <c r="D34" s="233">
        <v>0</v>
      </c>
      <c r="E34" s="232" t="s">
        <v>579</v>
      </c>
      <c r="F34" s="232">
        <v>0</v>
      </c>
      <c r="G34" s="232" t="s">
        <v>634</v>
      </c>
      <c r="H34" s="232" t="s">
        <v>779</v>
      </c>
      <c r="I34" s="232" t="s">
        <v>717</v>
      </c>
      <c r="J34" s="232" t="s">
        <v>842</v>
      </c>
      <c r="K34" s="232" t="s">
        <v>2120</v>
      </c>
    </row>
    <row r="35" spans="1:11" ht="33.75" x14ac:dyDescent="0.2">
      <c r="A35" s="232">
        <v>61</v>
      </c>
      <c r="B35" s="232" t="s">
        <v>210</v>
      </c>
      <c r="C35" s="232" t="s">
        <v>542</v>
      </c>
      <c r="D35" s="233">
        <v>0</v>
      </c>
      <c r="E35" s="232" t="s">
        <v>570</v>
      </c>
      <c r="F35" s="232">
        <v>0</v>
      </c>
      <c r="G35" s="232" t="s">
        <v>640</v>
      </c>
      <c r="H35" s="232" t="s">
        <v>699</v>
      </c>
      <c r="I35" s="232" t="s">
        <v>719</v>
      </c>
      <c r="J35" s="232" t="s">
        <v>844</v>
      </c>
      <c r="K35" s="232">
        <v>0</v>
      </c>
    </row>
    <row r="36" spans="1:11" ht="33.75" x14ac:dyDescent="0.2">
      <c r="A36" s="232">
        <v>66</v>
      </c>
      <c r="B36" s="232" t="s">
        <v>232</v>
      </c>
      <c r="C36" s="232" t="s">
        <v>543</v>
      </c>
      <c r="D36" s="233">
        <v>0</v>
      </c>
      <c r="E36" s="232" t="s">
        <v>570</v>
      </c>
      <c r="F36" s="232">
        <v>0</v>
      </c>
      <c r="G36" s="232" t="s">
        <v>617</v>
      </c>
      <c r="H36" s="232" t="s">
        <v>699</v>
      </c>
      <c r="I36" s="232" t="s">
        <v>719</v>
      </c>
      <c r="J36" s="232" t="s">
        <v>844</v>
      </c>
      <c r="K36" s="232">
        <v>0</v>
      </c>
    </row>
    <row r="37" spans="1:11" ht="33.75" x14ac:dyDescent="0.2">
      <c r="A37" s="232">
        <v>67</v>
      </c>
      <c r="B37" s="232" t="s">
        <v>233</v>
      </c>
      <c r="C37" s="232" t="s">
        <v>2069</v>
      </c>
      <c r="D37" s="233">
        <v>0</v>
      </c>
      <c r="E37" s="232" t="s">
        <v>570</v>
      </c>
      <c r="F37" s="232">
        <v>0</v>
      </c>
      <c r="G37" s="232" t="s">
        <v>641</v>
      </c>
      <c r="H37" s="232" t="s">
        <v>699</v>
      </c>
      <c r="I37" s="232" t="s">
        <v>719</v>
      </c>
      <c r="J37" s="232" t="s">
        <v>844</v>
      </c>
      <c r="K37" s="232">
        <v>0</v>
      </c>
    </row>
    <row r="38" spans="1:11" ht="33.75" x14ac:dyDescent="0.2">
      <c r="A38" s="232">
        <v>73</v>
      </c>
      <c r="B38" s="232" t="s">
        <v>239</v>
      </c>
      <c r="C38" s="232" t="s">
        <v>101</v>
      </c>
      <c r="D38" s="233">
        <v>0</v>
      </c>
      <c r="E38" s="232" t="s">
        <v>570</v>
      </c>
      <c r="F38" s="232">
        <v>0</v>
      </c>
      <c r="G38" s="232" t="s">
        <v>646</v>
      </c>
      <c r="H38" s="232" t="s">
        <v>780</v>
      </c>
      <c r="I38" s="232" t="s">
        <v>721</v>
      </c>
      <c r="J38" s="232" t="s">
        <v>847</v>
      </c>
      <c r="K38" s="232" t="s">
        <v>2122</v>
      </c>
    </row>
    <row r="39" spans="1:11" ht="56.25" x14ac:dyDescent="0.2">
      <c r="A39" s="232">
        <v>77</v>
      </c>
      <c r="B39" s="232" t="s">
        <v>243</v>
      </c>
      <c r="C39" s="232" t="s">
        <v>450</v>
      </c>
      <c r="D39" s="233">
        <v>0</v>
      </c>
      <c r="E39" s="232" t="s">
        <v>574</v>
      </c>
      <c r="F39" s="232">
        <v>0</v>
      </c>
      <c r="G39" s="232">
        <v>0</v>
      </c>
      <c r="H39" s="232">
        <v>0</v>
      </c>
      <c r="I39" s="232">
        <v>0</v>
      </c>
      <c r="J39" s="232" t="s">
        <v>847</v>
      </c>
      <c r="K39" s="232" t="s">
        <v>2124</v>
      </c>
    </row>
    <row r="40" spans="1:11" ht="101.25" x14ac:dyDescent="0.2">
      <c r="A40" s="232">
        <v>80</v>
      </c>
      <c r="B40" s="232" t="s">
        <v>246</v>
      </c>
      <c r="C40" s="232" t="s">
        <v>2149</v>
      </c>
      <c r="D40" s="233">
        <v>0</v>
      </c>
      <c r="E40" s="232" t="s">
        <v>574</v>
      </c>
      <c r="F40" s="232">
        <v>0</v>
      </c>
      <c r="G40" s="232" t="s">
        <v>629</v>
      </c>
      <c r="H40" s="232" t="s">
        <v>776</v>
      </c>
      <c r="I40" s="232" t="s">
        <v>723</v>
      </c>
      <c r="J40" s="232" t="s">
        <v>847</v>
      </c>
      <c r="K40" s="232">
        <v>12.1</v>
      </c>
    </row>
    <row r="41" spans="1:11" ht="33.75" x14ac:dyDescent="0.2">
      <c r="A41" s="232">
        <v>88</v>
      </c>
      <c r="B41" s="232" t="s">
        <v>254</v>
      </c>
      <c r="C41" s="232" t="s">
        <v>2082</v>
      </c>
      <c r="D41" s="233">
        <v>0</v>
      </c>
      <c r="E41" s="232" t="s">
        <v>573</v>
      </c>
      <c r="F41" s="232">
        <v>0</v>
      </c>
      <c r="G41" s="232">
        <v>0</v>
      </c>
      <c r="H41" s="232" t="s">
        <v>783</v>
      </c>
      <c r="I41" s="232" t="s">
        <v>725</v>
      </c>
      <c r="J41" s="232" t="s">
        <v>848</v>
      </c>
      <c r="K41" s="232">
        <v>12.8</v>
      </c>
    </row>
    <row r="42" spans="1:11" ht="22.5" x14ac:dyDescent="0.2">
      <c r="A42" s="232">
        <v>90</v>
      </c>
      <c r="B42" s="232" t="s">
        <v>256</v>
      </c>
      <c r="C42" s="232" t="s">
        <v>2575</v>
      </c>
      <c r="D42" s="233">
        <v>0</v>
      </c>
      <c r="E42" s="232" t="s">
        <v>568</v>
      </c>
      <c r="F42" s="232">
        <v>0</v>
      </c>
      <c r="G42" s="232" t="s">
        <v>649</v>
      </c>
      <c r="H42" s="232" t="s">
        <v>784</v>
      </c>
      <c r="I42" s="232">
        <v>0</v>
      </c>
      <c r="J42" s="232">
        <v>0</v>
      </c>
      <c r="K42" s="232" t="s">
        <v>2130</v>
      </c>
    </row>
    <row r="43" spans="1:11" ht="22.5" x14ac:dyDescent="0.2">
      <c r="A43" s="232">
        <v>91</v>
      </c>
      <c r="B43" s="232" t="s">
        <v>257</v>
      </c>
      <c r="C43" s="232" t="s">
        <v>473</v>
      </c>
      <c r="D43" s="233">
        <v>0</v>
      </c>
      <c r="E43" s="232" t="s">
        <v>568</v>
      </c>
      <c r="F43" s="232">
        <v>0</v>
      </c>
      <c r="G43" s="232" t="s">
        <v>650</v>
      </c>
      <c r="H43" s="232" t="s">
        <v>785</v>
      </c>
      <c r="I43" s="232" t="s">
        <v>727</v>
      </c>
      <c r="J43" s="232" t="s">
        <v>850</v>
      </c>
      <c r="K43" s="232">
        <v>12.8</v>
      </c>
    </row>
    <row r="44" spans="1:11" ht="45" x14ac:dyDescent="0.2">
      <c r="A44" s="232">
        <v>92</v>
      </c>
      <c r="B44" s="232" t="s">
        <v>258</v>
      </c>
      <c r="C44" s="232" t="s">
        <v>452</v>
      </c>
      <c r="D44" s="233">
        <v>0</v>
      </c>
      <c r="E44" s="232" t="s">
        <v>568</v>
      </c>
      <c r="F44" s="232">
        <v>0</v>
      </c>
      <c r="G44" s="232" t="s">
        <v>650</v>
      </c>
      <c r="H44" s="232">
        <v>0</v>
      </c>
      <c r="I44" s="232" t="s">
        <v>736</v>
      </c>
      <c r="J44" s="232">
        <v>0</v>
      </c>
      <c r="K44" s="232">
        <v>12.1</v>
      </c>
    </row>
    <row r="45" spans="1:11" ht="67.5" x14ac:dyDescent="0.2">
      <c r="A45" s="232">
        <v>93</v>
      </c>
      <c r="B45" s="232" t="s">
        <v>259</v>
      </c>
      <c r="C45" s="232" t="s">
        <v>2576</v>
      </c>
      <c r="D45" s="233">
        <v>0</v>
      </c>
      <c r="E45" s="232" t="s">
        <v>568</v>
      </c>
      <c r="F45" s="232">
        <v>0</v>
      </c>
      <c r="G45" s="232" t="s">
        <v>656</v>
      </c>
      <c r="H45" s="232" t="s">
        <v>784</v>
      </c>
      <c r="I45" s="232">
        <v>0</v>
      </c>
      <c r="J45" s="232" t="s">
        <v>851</v>
      </c>
      <c r="K45" s="232" t="s">
        <v>2130</v>
      </c>
    </row>
    <row r="46" spans="1:11" ht="22.5" x14ac:dyDescent="0.2">
      <c r="A46" s="232">
        <v>95</v>
      </c>
      <c r="B46" s="232" t="s">
        <v>261</v>
      </c>
      <c r="C46" s="232" t="s">
        <v>522</v>
      </c>
      <c r="D46" s="233">
        <v>0</v>
      </c>
      <c r="E46" s="232" t="s">
        <v>568</v>
      </c>
      <c r="F46" s="232">
        <v>0</v>
      </c>
      <c r="G46" s="232" t="s">
        <v>651</v>
      </c>
      <c r="H46" s="232">
        <v>0</v>
      </c>
      <c r="I46" s="232" t="s">
        <v>728</v>
      </c>
      <c r="J46" s="232" t="s">
        <v>829</v>
      </c>
      <c r="K46" s="232">
        <v>12.8</v>
      </c>
    </row>
    <row r="47" spans="1:11" ht="33.75" x14ac:dyDescent="0.2">
      <c r="A47" s="232">
        <v>98</v>
      </c>
      <c r="B47" s="232" t="s">
        <v>264</v>
      </c>
      <c r="C47" s="232" t="s">
        <v>2578</v>
      </c>
      <c r="D47" s="233">
        <v>0</v>
      </c>
      <c r="E47" s="232" t="s">
        <v>568</v>
      </c>
      <c r="F47" s="232">
        <v>0</v>
      </c>
      <c r="G47" s="232" t="s">
        <v>653</v>
      </c>
      <c r="H47" s="232">
        <v>0</v>
      </c>
      <c r="I47" s="232" t="s">
        <v>728</v>
      </c>
      <c r="J47" s="232">
        <v>0</v>
      </c>
      <c r="K47" s="232">
        <v>12.8</v>
      </c>
    </row>
    <row r="48" spans="1:11" x14ac:dyDescent="0.2">
      <c r="A48" s="232">
        <v>104</v>
      </c>
      <c r="B48" s="232" t="s">
        <v>270</v>
      </c>
      <c r="C48" s="232" t="s">
        <v>545</v>
      </c>
      <c r="D48" s="233">
        <v>0</v>
      </c>
      <c r="E48" s="232" t="s">
        <v>570</v>
      </c>
      <c r="F48" s="232">
        <v>0</v>
      </c>
      <c r="G48" s="232" t="s">
        <v>652</v>
      </c>
      <c r="H48" s="232" t="s">
        <v>787</v>
      </c>
      <c r="I48" s="232" t="s">
        <v>729</v>
      </c>
      <c r="J48" s="232" t="s">
        <v>852</v>
      </c>
      <c r="K48" s="232">
        <v>0</v>
      </c>
    </row>
    <row r="49" spans="1:11" ht="56.25" x14ac:dyDescent="0.2">
      <c r="A49" s="232">
        <v>109</v>
      </c>
      <c r="B49" s="232" t="s">
        <v>276</v>
      </c>
      <c r="C49" s="232" t="s">
        <v>2650</v>
      </c>
      <c r="D49" s="233">
        <v>0</v>
      </c>
      <c r="E49" s="232" t="s">
        <v>568</v>
      </c>
      <c r="F49" s="232">
        <v>0</v>
      </c>
      <c r="G49" s="232" t="s">
        <v>655</v>
      </c>
      <c r="H49" s="232" t="s">
        <v>789</v>
      </c>
      <c r="I49" s="232" t="s">
        <v>733</v>
      </c>
      <c r="J49" s="232" t="s">
        <v>853</v>
      </c>
      <c r="K49" s="232" t="s">
        <v>2131</v>
      </c>
    </row>
    <row r="50" spans="1:11" ht="22.5" x14ac:dyDescent="0.2">
      <c r="A50" s="232">
        <v>114</v>
      </c>
      <c r="B50" s="232" t="s">
        <v>281</v>
      </c>
      <c r="C50" s="232" t="s">
        <v>524</v>
      </c>
      <c r="D50" s="233">
        <v>0</v>
      </c>
      <c r="E50" s="232" t="s">
        <v>582</v>
      </c>
      <c r="F50" s="232">
        <v>0</v>
      </c>
      <c r="G50" s="232" t="s">
        <v>631</v>
      </c>
      <c r="H50" s="232" t="s">
        <v>770</v>
      </c>
      <c r="I50" s="232">
        <v>0</v>
      </c>
      <c r="J50" s="232">
        <v>0</v>
      </c>
      <c r="K50" s="232">
        <v>0</v>
      </c>
    </row>
    <row r="51" spans="1:11" ht="22.5" x14ac:dyDescent="0.2">
      <c r="A51" s="232">
        <v>115</v>
      </c>
      <c r="B51" s="232" t="s">
        <v>282</v>
      </c>
      <c r="C51" s="232" t="s">
        <v>25</v>
      </c>
      <c r="D51" s="233">
        <v>0</v>
      </c>
      <c r="E51" s="232" t="s">
        <v>568</v>
      </c>
      <c r="F51" s="232">
        <v>0</v>
      </c>
      <c r="G51" s="232" t="s">
        <v>649</v>
      </c>
      <c r="H51" s="232" t="s">
        <v>785</v>
      </c>
      <c r="I51" s="232">
        <v>0</v>
      </c>
      <c r="J51" s="232">
        <v>0</v>
      </c>
      <c r="K51" s="232">
        <v>0</v>
      </c>
    </row>
    <row r="52" spans="1:11" ht="22.5" x14ac:dyDescent="0.2">
      <c r="A52" s="232">
        <v>116</v>
      </c>
      <c r="B52" s="232" t="s">
        <v>283</v>
      </c>
      <c r="C52" s="232" t="s">
        <v>559</v>
      </c>
      <c r="D52" s="233">
        <v>0</v>
      </c>
      <c r="E52" s="232" t="s">
        <v>568</v>
      </c>
      <c r="F52" s="232">
        <v>0</v>
      </c>
      <c r="G52" s="232" t="s">
        <v>649</v>
      </c>
      <c r="H52" s="232" t="s">
        <v>791</v>
      </c>
      <c r="I52" s="232">
        <v>0</v>
      </c>
      <c r="J52" s="232">
        <v>0</v>
      </c>
      <c r="K52" s="232">
        <v>0</v>
      </c>
    </row>
    <row r="53" spans="1:11" ht="22.5" x14ac:dyDescent="0.2">
      <c r="A53" s="232">
        <v>120</v>
      </c>
      <c r="B53" s="232" t="s">
        <v>287</v>
      </c>
      <c r="C53" s="232" t="s">
        <v>26</v>
      </c>
      <c r="D53" s="233">
        <v>0</v>
      </c>
      <c r="E53" s="232" t="s">
        <v>585</v>
      </c>
      <c r="F53" s="232">
        <v>0</v>
      </c>
      <c r="G53" s="232">
        <v>0</v>
      </c>
      <c r="H53" s="232">
        <v>0</v>
      </c>
      <c r="I53" s="232">
        <v>0</v>
      </c>
      <c r="J53" s="232" t="s">
        <v>828</v>
      </c>
      <c r="K53" s="232">
        <v>12.8</v>
      </c>
    </row>
    <row r="54" spans="1:11" ht="22.5" x14ac:dyDescent="0.2">
      <c r="A54" s="232">
        <v>125</v>
      </c>
      <c r="B54" s="232" t="s">
        <v>292</v>
      </c>
      <c r="C54" s="232" t="s">
        <v>2610</v>
      </c>
      <c r="D54" s="233">
        <v>0</v>
      </c>
      <c r="E54" s="232" t="s">
        <v>573</v>
      </c>
      <c r="F54" s="232">
        <v>0</v>
      </c>
      <c r="G54" s="232" t="s">
        <v>616</v>
      </c>
      <c r="H54" s="232">
        <v>0</v>
      </c>
      <c r="I54" s="232">
        <v>0</v>
      </c>
      <c r="J54" s="232">
        <v>0</v>
      </c>
      <c r="K54" s="232">
        <v>12.9</v>
      </c>
    </row>
    <row r="55" spans="1:11" ht="22.5" x14ac:dyDescent="0.2">
      <c r="A55" s="232">
        <v>136</v>
      </c>
      <c r="B55" s="232" t="s">
        <v>303</v>
      </c>
      <c r="C55" s="232" t="s">
        <v>551</v>
      </c>
      <c r="D55" s="233">
        <v>0</v>
      </c>
      <c r="E55" s="232" t="s">
        <v>570</v>
      </c>
      <c r="F55" s="232">
        <v>0</v>
      </c>
      <c r="G55" s="232" t="s">
        <v>640</v>
      </c>
      <c r="H55" s="232" t="s">
        <v>699</v>
      </c>
      <c r="I55" s="232" t="s">
        <v>719</v>
      </c>
      <c r="J55" s="232" t="s">
        <v>845</v>
      </c>
      <c r="K55" s="232">
        <v>12.8</v>
      </c>
    </row>
    <row r="56" spans="1:11" ht="33.75" x14ac:dyDescent="0.2">
      <c r="A56" s="232">
        <v>142</v>
      </c>
      <c r="B56" s="232" t="s">
        <v>309</v>
      </c>
      <c r="C56" s="232" t="s">
        <v>121</v>
      </c>
      <c r="D56" s="233">
        <v>0</v>
      </c>
      <c r="E56" s="232" t="s">
        <v>570</v>
      </c>
      <c r="F56" s="232">
        <v>0</v>
      </c>
      <c r="G56" s="232">
        <v>0</v>
      </c>
      <c r="H56" s="232" t="s">
        <v>699</v>
      </c>
      <c r="I56" s="232" t="s">
        <v>719</v>
      </c>
      <c r="J56" s="232" t="s">
        <v>845</v>
      </c>
      <c r="K56" s="232">
        <v>12.8</v>
      </c>
    </row>
    <row r="57" spans="1:11" ht="22.5" x14ac:dyDescent="0.2">
      <c r="A57" s="232">
        <v>149</v>
      </c>
      <c r="B57" s="232" t="s">
        <v>316</v>
      </c>
      <c r="C57" s="232" t="s">
        <v>32</v>
      </c>
      <c r="D57" s="233">
        <v>0</v>
      </c>
      <c r="E57" s="232" t="s">
        <v>584</v>
      </c>
      <c r="F57" s="232">
        <v>0</v>
      </c>
      <c r="G57" s="232" t="s">
        <v>665</v>
      </c>
      <c r="H57" s="232" t="s">
        <v>795</v>
      </c>
      <c r="I57" s="232">
        <v>0</v>
      </c>
      <c r="J57" s="232">
        <v>0</v>
      </c>
      <c r="K57" s="232">
        <v>1.1000000000000001</v>
      </c>
    </row>
    <row r="58" spans="1:11" ht="22.5" x14ac:dyDescent="0.2">
      <c r="A58" s="232">
        <v>150</v>
      </c>
      <c r="B58" s="232" t="s">
        <v>317</v>
      </c>
      <c r="C58" s="232" t="s">
        <v>33</v>
      </c>
      <c r="D58" s="233">
        <v>0</v>
      </c>
      <c r="E58" s="232" t="s">
        <v>584</v>
      </c>
      <c r="F58" s="232">
        <v>0</v>
      </c>
      <c r="G58" s="232" t="s">
        <v>665</v>
      </c>
      <c r="H58" s="232" t="s">
        <v>795</v>
      </c>
      <c r="I58" s="232">
        <v>0</v>
      </c>
      <c r="J58" s="232">
        <v>0</v>
      </c>
      <c r="K58" s="232">
        <v>1.1000000000000001</v>
      </c>
    </row>
    <row r="59" spans="1:11" ht="22.5" x14ac:dyDescent="0.2">
      <c r="A59" s="232">
        <v>152</v>
      </c>
      <c r="B59" s="232" t="s">
        <v>319</v>
      </c>
      <c r="C59" s="232" t="s">
        <v>508</v>
      </c>
      <c r="D59" s="233">
        <v>0</v>
      </c>
      <c r="E59" s="232" t="s">
        <v>584</v>
      </c>
      <c r="F59" s="232">
        <v>0</v>
      </c>
      <c r="G59" s="232" t="s">
        <v>646</v>
      </c>
      <c r="H59" s="232" t="s">
        <v>793</v>
      </c>
      <c r="I59" s="232">
        <v>0</v>
      </c>
      <c r="J59" s="232">
        <v>0</v>
      </c>
      <c r="K59" s="232">
        <v>1.1000000000000001</v>
      </c>
    </row>
    <row r="60" spans="1:11" ht="22.5" x14ac:dyDescent="0.2">
      <c r="A60" s="232">
        <v>153</v>
      </c>
      <c r="B60" s="232" t="s">
        <v>320</v>
      </c>
      <c r="C60" s="232" t="s">
        <v>108</v>
      </c>
      <c r="D60" s="233">
        <v>0</v>
      </c>
      <c r="E60" s="232" t="s">
        <v>587</v>
      </c>
      <c r="F60" s="232">
        <v>0</v>
      </c>
      <c r="G60" s="232" t="s">
        <v>659</v>
      </c>
      <c r="H60" s="232" t="s">
        <v>796</v>
      </c>
      <c r="I60" s="232" t="s">
        <v>739</v>
      </c>
      <c r="J60" s="232" t="s">
        <v>860</v>
      </c>
      <c r="K60" s="232">
        <v>11.4</v>
      </c>
    </row>
    <row r="61" spans="1:11" ht="22.5" x14ac:dyDescent="0.2">
      <c r="A61" s="232">
        <v>155</v>
      </c>
      <c r="B61" s="232" t="s">
        <v>322</v>
      </c>
      <c r="C61" s="232" t="s">
        <v>127</v>
      </c>
      <c r="D61" s="233">
        <v>0</v>
      </c>
      <c r="E61" s="232" t="s">
        <v>587</v>
      </c>
      <c r="F61" s="232">
        <v>0</v>
      </c>
      <c r="G61" s="232" t="s">
        <v>659</v>
      </c>
      <c r="H61" s="232" t="s">
        <v>796</v>
      </c>
      <c r="I61" s="232" t="s">
        <v>739</v>
      </c>
      <c r="J61" s="232" t="s">
        <v>860</v>
      </c>
      <c r="K61" s="232">
        <v>11.4</v>
      </c>
    </row>
    <row r="62" spans="1:11" ht="33.75" x14ac:dyDescent="0.2">
      <c r="A62" s="232">
        <v>160</v>
      </c>
      <c r="B62" s="232" t="s">
        <v>327</v>
      </c>
      <c r="C62" s="232" t="s">
        <v>2589</v>
      </c>
      <c r="D62" s="233">
        <v>0</v>
      </c>
      <c r="E62" s="232" t="s">
        <v>579</v>
      </c>
      <c r="F62" s="232">
        <v>0</v>
      </c>
      <c r="G62" s="232" t="s">
        <v>666</v>
      </c>
      <c r="H62" s="232" t="s">
        <v>798</v>
      </c>
      <c r="I62" s="232" t="s">
        <v>740</v>
      </c>
      <c r="J62" s="232" t="s">
        <v>863</v>
      </c>
      <c r="K62" s="232" t="s">
        <v>2133</v>
      </c>
    </row>
    <row r="63" spans="1:11" ht="33.75" x14ac:dyDescent="0.2">
      <c r="A63" s="232">
        <v>163</v>
      </c>
      <c r="B63" s="232" t="s">
        <v>330</v>
      </c>
      <c r="C63" s="232" t="s">
        <v>52</v>
      </c>
      <c r="D63" s="233">
        <v>0</v>
      </c>
      <c r="E63" s="232" t="s">
        <v>569</v>
      </c>
      <c r="F63" s="232">
        <v>0</v>
      </c>
      <c r="G63" s="232">
        <v>0</v>
      </c>
      <c r="H63" s="232" t="s">
        <v>799</v>
      </c>
      <c r="I63" s="232">
        <v>0</v>
      </c>
      <c r="J63" s="232">
        <v>0</v>
      </c>
      <c r="K63" s="232">
        <v>0</v>
      </c>
    </row>
    <row r="64" spans="1:11" ht="22.5" x14ac:dyDescent="0.2">
      <c r="A64" s="232">
        <v>165</v>
      </c>
      <c r="B64" s="232" t="s">
        <v>332</v>
      </c>
      <c r="C64" s="232" t="s">
        <v>2593</v>
      </c>
      <c r="D64" s="233">
        <v>0</v>
      </c>
      <c r="E64" s="232" t="s">
        <v>568</v>
      </c>
      <c r="F64" s="232">
        <v>0</v>
      </c>
      <c r="G64" s="232" t="s">
        <v>668</v>
      </c>
      <c r="H64" s="232" t="s">
        <v>800</v>
      </c>
      <c r="I64" s="232" t="s">
        <v>741</v>
      </c>
      <c r="J64" s="232" t="s">
        <v>864</v>
      </c>
      <c r="K64" s="232">
        <v>4.0999999999999996</v>
      </c>
    </row>
    <row r="65" spans="1:11" ht="22.5" x14ac:dyDescent="0.2">
      <c r="A65" s="232">
        <v>166</v>
      </c>
      <c r="B65" s="232" t="s">
        <v>333</v>
      </c>
      <c r="C65" s="232" t="s">
        <v>2594</v>
      </c>
      <c r="D65" s="233">
        <v>0</v>
      </c>
      <c r="E65" s="232" t="s">
        <v>571</v>
      </c>
      <c r="F65" s="232">
        <v>0</v>
      </c>
      <c r="G65" s="232" t="s">
        <v>668</v>
      </c>
      <c r="H65" s="232" t="s">
        <v>801</v>
      </c>
      <c r="I65" s="232">
        <v>0</v>
      </c>
      <c r="J65" s="232">
        <v>0</v>
      </c>
      <c r="K65" s="232">
        <v>0</v>
      </c>
    </row>
    <row r="66" spans="1:11" ht="33.75" x14ac:dyDescent="0.2">
      <c r="A66" s="232">
        <v>167</v>
      </c>
      <c r="B66" s="232" t="s">
        <v>334</v>
      </c>
      <c r="C66" s="232" t="s">
        <v>54</v>
      </c>
      <c r="D66" s="233">
        <v>0</v>
      </c>
      <c r="E66" s="232" t="s">
        <v>577</v>
      </c>
      <c r="F66" s="232">
        <v>0</v>
      </c>
      <c r="G66" s="232" t="s">
        <v>669</v>
      </c>
      <c r="H66" s="232">
        <v>0</v>
      </c>
      <c r="I66" s="232">
        <v>0</v>
      </c>
      <c r="J66" s="232">
        <v>0</v>
      </c>
      <c r="K66" s="232">
        <v>0</v>
      </c>
    </row>
    <row r="67" spans="1:11" ht="22.5" x14ac:dyDescent="0.2">
      <c r="A67" s="232">
        <v>169</v>
      </c>
      <c r="B67" s="232" t="s">
        <v>336</v>
      </c>
      <c r="C67" s="232" t="s">
        <v>2595</v>
      </c>
      <c r="D67" s="233">
        <v>0</v>
      </c>
      <c r="E67" s="232" t="s">
        <v>569</v>
      </c>
      <c r="F67" s="232">
        <v>0</v>
      </c>
      <c r="G67" s="232" t="s">
        <v>621</v>
      </c>
      <c r="H67" s="232" t="s">
        <v>799</v>
      </c>
      <c r="I67" s="232">
        <v>0</v>
      </c>
      <c r="J67" s="232">
        <v>0</v>
      </c>
      <c r="K67" s="232">
        <v>0</v>
      </c>
    </row>
    <row r="68" spans="1:11" ht="22.5" x14ac:dyDescent="0.2">
      <c r="A68" s="232">
        <v>170</v>
      </c>
      <c r="B68" s="232" t="s">
        <v>337</v>
      </c>
      <c r="C68" s="232" t="s">
        <v>55</v>
      </c>
      <c r="D68" s="233">
        <v>0</v>
      </c>
      <c r="E68" s="232" t="s">
        <v>569</v>
      </c>
      <c r="F68" s="232">
        <v>0</v>
      </c>
      <c r="G68" s="232" t="s">
        <v>670</v>
      </c>
      <c r="H68" s="232" t="s">
        <v>802</v>
      </c>
      <c r="I68" s="232">
        <v>0</v>
      </c>
      <c r="J68" s="232">
        <v>0</v>
      </c>
      <c r="K68" s="232">
        <v>0</v>
      </c>
    </row>
    <row r="69" spans="1:11" ht="33.75" x14ac:dyDescent="0.2">
      <c r="A69" s="232">
        <v>171</v>
      </c>
      <c r="B69" s="232" t="s">
        <v>555</v>
      </c>
      <c r="C69" s="232" t="s">
        <v>2628</v>
      </c>
      <c r="D69" s="233">
        <v>0</v>
      </c>
      <c r="E69" s="232" t="s">
        <v>569</v>
      </c>
      <c r="F69" s="232">
        <v>0</v>
      </c>
      <c r="G69" s="232" t="s">
        <v>670</v>
      </c>
      <c r="H69" s="232" t="s">
        <v>802</v>
      </c>
      <c r="I69" s="232">
        <v>0</v>
      </c>
      <c r="J69" s="232">
        <v>0</v>
      </c>
      <c r="K69" s="232">
        <v>0</v>
      </c>
    </row>
    <row r="70" spans="1:11" ht="33.75" x14ac:dyDescent="0.2">
      <c r="A70" s="232">
        <v>173</v>
      </c>
      <c r="B70" s="232" t="s">
        <v>339</v>
      </c>
      <c r="C70" s="232" t="s">
        <v>556</v>
      </c>
      <c r="D70" s="233">
        <v>0</v>
      </c>
      <c r="E70" s="232" t="s">
        <v>568</v>
      </c>
      <c r="F70" s="232">
        <v>0</v>
      </c>
      <c r="G70" s="232" t="s">
        <v>668</v>
      </c>
      <c r="H70" s="232" t="s">
        <v>804</v>
      </c>
      <c r="I70" s="232" t="s">
        <v>744</v>
      </c>
      <c r="J70" s="232" t="s">
        <v>866</v>
      </c>
      <c r="K70" s="232" t="s">
        <v>2134</v>
      </c>
    </row>
    <row r="71" spans="1:11" ht="22.5" x14ac:dyDescent="0.2">
      <c r="A71" s="232">
        <v>178</v>
      </c>
      <c r="B71" s="232" t="s">
        <v>344</v>
      </c>
      <c r="C71" s="232" t="s">
        <v>38</v>
      </c>
      <c r="D71" s="233">
        <v>0</v>
      </c>
      <c r="E71" s="232" t="s">
        <v>590</v>
      </c>
      <c r="F71" s="232">
        <v>0</v>
      </c>
      <c r="G71" s="232" t="s">
        <v>647</v>
      </c>
      <c r="H71" s="232" t="s">
        <v>807</v>
      </c>
      <c r="I71" s="232">
        <v>0</v>
      </c>
      <c r="J71" s="232" t="s">
        <v>869</v>
      </c>
      <c r="K71" s="232" t="s">
        <v>2136</v>
      </c>
    </row>
    <row r="72" spans="1:11" ht="22.5" x14ac:dyDescent="0.2">
      <c r="A72" s="232">
        <v>180</v>
      </c>
      <c r="B72" s="232" t="s">
        <v>346</v>
      </c>
      <c r="C72" s="232" t="s">
        <v>40</v>
      </c>
      <c r="D72" s="233">
        <v>0</v>
      </c>
      <c r="E72" s="232" t="s">
        <v>592</v>
      </c>
      <c r="F72" s="232">
        <v>0</v>
      </c>
      <c r="G72" s="232" t="s">
        <v>621</v>
      </c>
      <c r="H72" s="232">
        <v>0</v>
      </c>
      <c r="I72" s="232">
        <v>0</v>
      </c>
      <c r="J72" s="232" t="s">
        <v>869</v>
      </c>
      <c r="K72" s="232" t="s">
        <v>2137</v>
      </c>
    </row>
    <row r="73" spans="1:11" ht="33.75" x14ac:dyDescent="0.2">
      <c r="A73" s="232">
        <v>182</v>
      </c>
      <c r="B73" s="232" t="s">
        <v>348</v>
      </c>
      <c r="C73" s="232" t="s">
        <v>2603</v>
      </c>
      <c r="D73" s="233">
        <v>0</v>
      </c>
      <c r="E73" s="232" t="s">
        <v>590</v>
      </c>
      <c r="F73" s="232">
        <v>0</v>
      </c>
      <c r="G73" s="232" t="s">
        <v>683</v>
      </c>
      <c r="H73" s="232" t="s">
        <v>808</v>
      </c>
      <c r="I73" s="232">
        <v>0</v>
      </c>
      <c r="J73" s="232" t="s">
        <v>869</v>
      </c>
      <c r="K73" s="232" t="s">
        <v>2138</v>
      </c>
    </row>
    <row r="74" spans="1:11" ht="22.5" x14ac:dyDescent="0.2">
      <c r="A74" s="232">
        <v>186</v>
      </c>
      <c r="B74" s="232" t="s">
        <v>352</v>
      </c>
      <c r="C74" s="232" t="s">
        <v>44</v>
      </c>
      <c r="D74" s="233">
        <v>0</v>
      </c>
      <c r="E74" s="232" t="s">
        <v>587</v>
      </c>
      <c r="F74" s="232">
        <v>0</v>
      </c>
      <c r="G74" s="232" t="s">
        <v>676</v>
      </c>
      <c r="H74" s="232" t="s">
        <v>699</v>
      </c>
      <c r="I74" s="232" t="s">
        <v>748</v>
      </c>
      <c r="J74" s="232" t="s">
        <v>871</v>
      </c>
      <c r="K74" s="232" t="s">
        <v>2141</v>
      </c>
    </row>
    <row r="75" spans="1:11" ht="33.75" x14ac:dyDescent="0.2">
      <c r="A75" s="232">
        <v>187</v>
      </c>
      <c r="B75" s="232" t="s">
        <v>353</v>
      </c>
      <c r="C75" s="232" t="s">
        <v>2605</v>
      </c>
      <c r="D75" s="233">
        <v>0</v>
      </c>
      <c r="E75" s="232" t="s">
        <v>587</v>
      </c>
      <c r="F75" s="232">
        <v>0</v>
      </c>
      <c r="G75" s="232" t="s">
        <v>616</v>
      </c>
      <c r="H75" s="232" t="s">
        <v>697</v>
      </c>
      <c r="I75" s="232" t="s">
        <v>749</v>
      </c>
      <c r="J75" s="232" t="s">
        <v>872</v>
      </c>
      <c r="K75" s="232">
        <v>12.8</v>
      </c>
    </row>
    <row r="76" spans="1:11" ht="22.5" x14ac:dyDescent="0.2">
      <c r="A76" s="232">
        <v>192</v>
      </c>
      <c r="B76" s="232" t="s">
        <v>358</v>
      </c>
      <c r="C76" s="232" t="s">
        <v>2606</v>
      </c>
      <c r="D76" s="233">
        <v>0</v>
      </c>
      <c r="E76" s="232" t="s">
        <v>591</v>
      </c>
      <c r="F76" s="232" t="s">
        <v>599</v>
      </c>
      <c r="G76" s="232" t="s">
        <v>674</v>
      </c>
      <c r="H76" s="232" t="s">
        <v>697</v>
      </c>
      <c r="I76" s="232">
        <v>0</v>
      </c>
      <c r="J76" s="232" t="s">
        <v>869</v>
      </c>
      <c r="K76" s="232" t="s">
        <v>2144</v>
      </c>
    </row>
    <row r="77" spans="1:11" ht="22.5" x14ac:dyDescent="0.2">
      <c r="A77" s="232">
        <v>193</v>
      </c>
      <c r="B77" s="232" t="s">
        <v>359</v>
      </c>
      <c r="C77" s="232" t="s">
        <v>46</v>
      </c>
      <c r="D77" s="233">
        <v>0</v>
      </c>
      <c r="E77" s="232" t="s">
        <v>591</v>
      </c>
      <c r="F77" s="232" t="s">
        <v>601</v>
      </c>
      <c r="G77" s="232" t="s">
        <v>679</v>
      </c>
      <c r="H77" s="232" t="s">
        <v>812</v>
      </c>
      <c r="I77" s="232" t="s">
        <v>751</v>
      </c>
      <c r="J77" s="232" t="s">
        <v>875</v>
      </c>
      <c r="K77" s="232">
        <v>12.6</v>
      </c>
    </row>
    <row r="78" spans="1:11" ht="33.75" x14ac:dyDescent="0.2">
      <c r="A78" s="232">
        <v>204</v>
      </c>
      <c r="B78" s="232" t="s">
        <v>370</v>
      </c>
      <c r="C78" s="232" t="s">
        <v>161</v>
      </c>
      <c r="D78" s="233">
        <v>0</v>
      </c>
      <c r="E78" s="232" t="s">
        <v>573</v>
      </c>
      <c r="F78" s="232">
        <v>0</v>
      </c>
      <c r="G78" s="232" t="s">
        <v>665</v>
      </c>
      <c r="H78" s="232" t="s">
        <v>813</v>
      </c>
      <c r="I78" s="232" t="s">
        <v>737</v>
      </c>
      <c r="J78" s="232" t="s">
        <v>828</v>
      </c>
      <c r="K78" s="232">
        <v>0</v>
      </c>
    </row>
    <row r="79" spans="1:11" ht="22.5" x14ac:dyDescent="0.2">
      <c r="A79" s="232">
        <v>208</v>
      </c>
      <c r="B79" s="232" t="s">
        <v>374</v>
      </c>
      <c r="C79" s="232" t="s">
        <v>2098</v>
      </c>
      <c r="D79" s="233">
        <v>0</v>
      </c>
      <c r="E79" s="232" t="s">
        <v>590</v>
      </c>
      <c r="F79" s="232">
        <v>0</v>
      </c>
      <c r="G79" s="232" t="s">
        <v>647</v>
      </c>
      <c r="H79" s="232" t="s">
        <v>816</v>
      </c>
      <c r="I79" s="232" t="s">
        <v>757</v>
      </c>
      <c r="J79" s="232" t="s">
        <v>880</v>
      </c>
      <c r="K79" s="232">
        <v>11.2</v>
      </c>
    </row>
    <row r="80" spans="1:11" ht="22.5" x14ac:dyDescent="0.2">
      <c r="A80" s="232">
        <v>211</v>
      </c>
      <c r="B80" s="232" t="s">
        <v>377</v>
      </c>
      <c r="C80" s="232" t="s">
        <v>2099</v>
      </c>
      <c r="D80" s="233">
        <v>0</v>
      </c>
      <c r="E80" s="232" t="s">
        <v>590</v>
      </c>
      <c r="F80" s="232">
        <v>0</v>
      </c>
      <c r="G80" s="232">
        <v>0</v>
      </c>
      <c r="H80" s="232" t="s">
        <v>816</v>
      </c>
      <c r="I80" s="232" t="s">
        <v>757</v>
      </c>
      <c r="J80" s="232" t="s">
        <v>880</v>
      </c>
      <c r="K80" s="232">
        <v>11.2</v>
      </c>
    </row>
    <row r="81" spans="1:11" ht="33.75" x14ac:dyDescent="0.2">
      <c r="A81" s="232">
        <v>212</v>
      </c>
      <c r="B81" s="232" t="s">
        <v>378</v>
      </c>
      <c r="C81" s="232" t="s">
        <v>2630</v>
      </c>
      <c r="D81" s="233">
        <v>0</v>
      </c>
      <c r="E81" s="232" t="s">
        <v>590</v>
      </c>
      <c r="F81" s="232">
        <v>0</v>
      </c>
      <c r="G81" s="232">
        <v>0</v>
      </c>
      <c r="H81" s="232" t="s">
        <v>816</v>
      </c>
      <c r="I81" s="232">
        <v>0</v>
      </c>
      <c r="J81" s="232" t="s">
        <v>880</v>
      </c>
      <c r="K81" s="232">
        <v>11.2</v>
      </c>
    </row>
    <row r="82" spans="1:11" ht="56.25" x14ac:dyDescent="0.2">
      <c r="A82" s="232">
        <v>216</v>
      </c>
      <c r="B82" s="232" t="s">
        <v>382</v>
      </c>
      <c r="C82" s="232" t="s">
        <v>529</v>
      </c>
      <c r="D82" s="233">
        <v>0</v>
      </c>
      <c r="E82" s="232" t="s">
        <v>593</v>
      </c>
      <c r="F82" s="232">
        <v>0</v>
      </c>
      <c r="G82" s="232" t="s">
        <v>685</v>
      </c>
      <c r="H82" s="232" t="s">
        <v>816</v>
      </c>
      <c r="I82" s="232" t="s">
        <v>757</v>
      </c>
      <c r="J82" s="232" t="s">
        <v>880</v>
      </c>
      <c r="K82" s="232" t="s">
        <v>2147</v>
      </c>
    </row>
    <row r="83" spans="1:11" ht="33.75" x14ac:dyDescent="0.2">
      <c r="A83" s="232">
        <v>219</v>
      </c>
      <c r="B83" s="232" t="s">
        <v>385</v>
      </c>
      <c r="C83" s="232" t="s">
        <v>135</v>
      </c>
      <c r="D83" s="233">
        <v>0</v>
      </c>
      <c r="E83" s="232" t="s">
        <v>591</v>
      </c>
      <c r="F83" s="232" t="s">
        <v>603</v>
      </c>
      <c r="G83" s="232" t="s">
        <v>616</v>
      </c>
      <c r="H83" s="232" t="s">
        <v>697</v>
      </c>
      <c r="I83" s="232">
        <v>0</v>
      </c>
      <c r="J83" s="232">
        <v>0</v>
      </c>
      <c r="K83" s="232">
        <v>0</v>
      </c>
    </row>
    <row r="84" spans="1:11" ht="45" x14ac:dyDescent="0.2">
      <c r="A84" s="232">
        <v>220</v>
      </c>
      <c r="B84" s="232" t="s">
        <v>386</v>
      </c>
      <c r="C84" s="232" t="s">
        <v>136</v>
      </c>
      <c r="D84" s="233">
        <v>0</v>
      </c>
      <c r="E84" s="232" t="s">
        <v>568</v>
      </c>
      <c r="F84" s="232">
        <v>0</v>
      </c>
      <c r="G84" s="232" t="s">
        <v>616</v>
      </c>
      <c r="H84" s="232" t="s">
        <v>697</v>
      </c>
      <c r="I84" s="232">
        <v>0</v>
      </c>
      <c r="J84" s="232">
        <v>0</v>
      </c>
      <c r="K84" s="232">
        <v>0</v>
      </c>
    </row>
    <row r="85" spans="1:11" ht="33.75" x14ac:dyDescent="0.2">
      <c r="A85" s="232">
        <v>222</v>
      </c>
      <c r="B85" s="232" t="s">
        <v>388</v>
      </c>
      <c r="C85" s="232" t="s">
        <v>138</v>
      </c>
      <c r="D85" s="233">
        <v>0</v>
      </c>
      <c r="E85" s="232" t="s">
        <v>587</v>
      </c>
      <c r="F85" s="232" t="s">
        <v>690</v>
      </c>
      <c r="G85" s="232" t="s">
        <v>689</v>
      </c>
      <c r="H85" s="232" t="s">
        <v>697</v>
      </c>
      <c r="I85" s="232" t="s">
        <v>761</v>
      </c>
      <c r="J85" s="232" t="s">
        <v>883</v>
      </c>
      <c r="K85" s="232">
        <v>12.8</v>
      </c>
    </row>
    <row r="86" spans="1:11" ht="22.5" x14ac:dyDescent="0.2">
      <c r="A86" s="232">
        <v>223</v>
      </c>
      <c r="B86" s="232" t="s">
        <v>389</v>
      </c>
      <c r="C86" s="232" t="s">
        <v>139</v>
      </c>
      <c r="D86" s="233">
        <v>0</v>
      </c>
      <c r="E86" s="232" t="s">
        <v>568</v>
      </c>
      <c r="F86" s="232" t="s">
        <v>599</v>
      </c>
      <c r="G86" s="232">
        <v>0</v>
      </c>
      <c r="H86" s="232" t="s">
        <v>697</v>
      </c>
      <c r="I86" s="232">
        <v>0</v>
      </c>
      <c r="J86" s="232">
        <v>0</v>
      </c>
      <c r="K86" s="232">
        <v>12.2</v>
      </c>
    </row>
    <row r="87" spans="1:11" ht="45" x14ac:dyDescent="0.2">
      <c r="A87" s="232">
        <v>230</v>
      </c>
      <c r="B87" s="232" t="s">
        <v>396</v>
      </c>
      <c r="C87" s="232" t="s">
        <v>60</v>
      </c>
      <c r="D87" s="233">
        <v>0</v>
      </c>
      <c r="E87" s="232" t="s">
        <v>577</v>
      </c>
      <c r="F87" s="232" t="s">
        <v>696</v>
      </c>
      <c r="G87" s="232" t="s">
        <v>633</v>
      </c>
      <c r="H87" s="232" t="s">
        <v>697</v>
      </c>
      <c r="I87" s="232" t="s">
        <v>713</v>
      </c>
      <c r="J87" s="232" t="s">
        <v>838</v>
      </c>
      <c r="K87" s="232" t="s">
        <v>2117</v>
      </c>
    </row>
    <row r="88" spans="1:11" ht="33.75" x14ac:dyDescent="0.2">
      <c r="A88" s="232">
        <v>250</v>
      </c>
      <c r="B88" s="232" t="s">
        <v>416</v>
      </c>
      <c r="C88" s="232" t="s">
        <v>72</v>
      </c>
      <c r="D88" s="233">
        <v>0</v>
      </c>
      <c r="E88" s="232" t="s">
        <v>570</v>
      </c>
      <c r="F88" s="232">
        <v>0</v>
      </c>
      <c r="G88" s="232" t="s">
        <v>616</v>
      </c>
      <c r="H88" s="232" t="s">
        <v>697</v>
      </c>
      <c r="I88" s="232">
        <v>0</v>
      </c>
      <c r="J88" s="232">
        <v>0</v>
      </c>
      <c r="K88" s="232">
        <v>12.8</v>
      </c>
    </row>
    <row r="89" spans="1:11" ht="22.5" x14ac:dyDescent="0.2">
      <c r="A89" s="232">
        <v>253</v>
      </c>
      <c r="B89" s="232" t="s">
        <v>419</v>
      </c>
      <c r="C89" s="232" t="s">
        <v>75</v>
      </c>
      <c r="D89" s="233">
        <v>0</v>
      </c>
      <c r="E89" s="232">
        <v>0</v>
      </c>
      <c r="F89" s="232">
        <v>0</v>
      </c>
      <c r="G89" s="232">
        <v>0</v>
      </c>
      <c r="H89" s="232" t="s">
        <v>697</v>
      </c>
      <c r="I89" s="232">
        <v>0</v>
      </c>
      <c r="J89" s="232">
        <v>0</v>
      </c>
      <c r="K89" s="232">
        <v>12.8</v>
      </c>
    </row>
    <row r="90" spans="1:11" ht="22.5" x14ac:dyDescent="0.2">
      <c r="A90" s="232">
        <v>256</v>
      </c>
      <c r="B90" s="232" t="s">
        <v>422</v>
      </c>
      <c r="C90" s="232" t="s">
        <v>78</v>
      </c>
      <c r="D90" s="233">
        <v>0</v>
      </c>
      <c r="E90" s="232" t="s">
        <v>570</v>
      </c>
      <c r="F90" s="232">
        <v>0</v>
      </c>
      <c r="G90" s="232">
        <v>0</v>
      </c>
      <c r="H90" s="232" t="s">
        <v>697</v>
      </c>
      <c r="I90" s="232">
        <v>0</v>
      </c>
      <c r="J90" s="232">
        <v>0</v>
      </c>
      <c r="K90" s="232">
        <v>12.8</v>
      </c>
    </row>
    <row r="91" spans="1:11" ht="22.5" x14ac:dyDescent="0.2">
      <c r="A91" s="232">
        <v>263</v>
      </c>
      <c r="B91" s="232" t="s">
        <v>180</v>
      </c>
      <c r="C91" s="232" t="s">
        <v>893</v>
      </c>
      <c r="D91" s="233">
        <v>0</v>
      </c>
      <c r="E91" s="232">
        <v>0</v>
      </c>
      <c r="F91" s="232">
        <v>0</v>
      </c>
      <c r="G91" s="232">
        <v>0</v>
      </c>
      <c r="H91" s="232">
        <v>0</v>
      </c>
      <c r="I91" s="232">
        <v>0</v>
      </c>
      <c r="J91" s="232">
        <v>0</v>
      </c>
      <c r="K91" s="232">
        <v>0</v>
      </c>
    </row>
    <row r="92" spans="1:11" ht="22.5" x14ac:dyDescent="0.2">
      <c r="A92" s="232">
        <v>264</v>
      </c>
      <c r="B92" s="232" t="s">
        <v>181</v>
      </c>
      <c r="C92" s="232" t="s">
        <v>894</v>
      </c>
      <c r="D92" s="233">
        <v>0</v>
      </c>
      <c r="E92" s="232">
        <v>0</v>
      </c>
      <c r="F92" s="232">
        <v>0</v>
      </c>
      <c r="G92" s="232" t="s">
        <v>618</v>
      </c>
      <c r="H92" s="232">
        <v>0</v>
      </c>
      <c r="I92" s="232">
        <v>0</v>
      </c>
      <c r="J92" s="232">
        <v>0</v>
      </c>
      <c r="K92" s="232" t="s">
        <v>2111</v>
      </c>
    </row>
    <row r="93" spans="1:11" ht="45" x14ac:dyDescent="0.2">
      <c r="A93" s="232">
        <v>266</v>
      </c>
      <c r="B93" s="232" t="s">
        <v>430</v>
      </c>
      <c r="C93" s="232" t="s">
        <v>895</v>
      </c>
      <c r="D93" s="233">
        <v>0</v>
      </c>
      <c r="E93" s="232">
        <v>0</v>
      </c>
      <c r="F93" s="232">
        <v>0</v>
      </c>
      <c r="G93" s="232" t="s">
        <v>618</v>
      </c>
      <c r="H93" s="232">
        <v>0</v>
      </c>
      <c r="I93" s="232">
        <v>0</v>
      </c>
      <c r="J93" s="232">
        <v>0</v>
      </c>
      <c r="K93" s="232">
        <v>12.8</v>
      </c>
    </row>
    <row r="94" spans="1:11" ht="15" x14ac:dyDescent="0.2">
      <c r="A94"/>
      <c r="B94"/>
      <c r="C94"/>
      <c r="D94"/>
      <c r="E94"/>
      <c r="F94"/>
      <c r="G94"/>
      <c r="H94"/>
      <c r="I94"/>
      <c r="J94"/>
      <c r="K94"/>
    </row>
    <row r="95" spans="1:11" ht="15" x14ac:dyDescent="0.2">
      <c r="A95"/>
      <c r="B95"/>
      <c r="C95"/>
      <c r="D95"/>
      <c r="E95"/>
      <c r="F95"/>
      <c r="G95"/>
      <c r="H95"/>
      <c r="I95"/>
      <c r="J95"/>
      <c r="K95"/>
    </row>
    <row r="96" spans="1:11" ht="15" x14ac:dyDescent="0.2">
      <c r="A96"/>
      <c r="B96"/>
      <c r="C96"/>
      <c r="D96"/>
      <c r="E96"/>
      <c r="F96"/>
      <c r="G96"/>
      <c r="H96"/>
      <c r="I96"/>
      <c r="J96"/>
      <c r="K96"/>
    </row>
    <row r="97" spans="1:11" ht="15" x14ac:dyDescent="0.2">
      <c r="A97"/>
      <c r="B97"/>
      <c r="C97"/>
      <c r="D97"/>
      <c r="E97"/>
      <c r="F97"/>
      <c r="G97"/>
      <c r="H97"/>
      <c r="I97"/>
      <c r="J97"/>
      <c r="K97"/>
    </row>
    <row r="98" spans="1:11" ht="15" x14ac:dyDescent="0.2">
      <c r="A98"/>
      <c r="B98"/>
      <c r="C98"/>
      <c r="D98"/>
      <c r="E98"/>
      <c r="F98"/>
      <c r="G98"/>
      <c r="H98"/>
      <c r="I98"/>
      <c r="J98"/>
      <c r="K98"/>
    </row>
    <row r="99" spans="1:11" ht="15" x14ac:dyDescent="0.2">
      <c r="A99"/>
      <c r="B99"/>
      <c r="C99"/>
      <c r="D99"/>
      <c r="E99"/>
      <c r="F99"/>
      <c r="G99"/>
      <c r="H99"/>
      <c r="I99"/>
      <c r="J99"/>
      <c r="K99"/>
    </row>
    <row r="100" spans="1:11" ht="15" x14ac:dyDescent="0.2">
      <c r="A100"/>
      <c r="B100"/>
      <c r="C100"/>
      <c r="D100"/>
      <c r="E100"/>
      <c r="F100"/>
      <c r="G100"/>
      <c r="H100"/>
      <c r="I100"/>
      <c r="J100"/>
      <c r="K100"/>
    </row>
    <row r="101" spans="1:11" ht="15" x14ac:dyDescent="0.2">
      <c r="A101"/>
      <c r="B101"/>
      <c r="C101"/>
      <c r="D101"/>
      <c r="E101"/>
      <c r="F101"/>
      <c r="G101"/>
      <c r="H101"/>
      <c r="I101"/>
      <c r="J101"/>
      <c r="K101"/>
    </row>
    <row r="102" spans="1:11" ht="15" x14ac:dyDescent="0.2">
      <c r="A102"/>
      <c r="B102"/>
      <c r="C102"/>
      <c r="D102"/>
      <c r="E102"/>
      <c r="F102"/>
      <c r="G102"/>
      <c r="H102"/>
      <c r="I102"/>
      <c r="J102"/>
      <c r="K102"/>
    </row>
    <row r="103" spans="1:11" ht="15" x14ac:dyDescent="0.2">
      <c r="A103"/>
      <c r="B103"/>
      <c r="C103"/>
      <c r="D103"/>
      <c r="E103"/>
      <c r="F103"/>
      <c r="G103"/>
      <c r="H103"/>
      <c r="I103"/>
      <c r="J103"/>
      <c r="K103"/>
    </row>
    <row r="104" spans="1:11" ht="15" x14ac:dyDescent="0.2">
      <c r="A104"/>
      <c r="B104"/>
      <c r="C104"/>
      <c r="D104"/>
      <c r="E104"/>
      <c r="F104"/>
      <c r="G104"/>
      <c r="H104"/>
      <c r="I104"/>
      <c r="J104"/>
      <c r="K104"/>
    </row>
    <row r="105" spans="1:11" ht="15" x14ac:dyDescent="0.2">
      <c r="A105"/>
      <c r="B105"/>
      <c r="C105"/>
      <c r="D105"/>
      <c r="E105"/>
      <c r="F105"/>
      <c r="G105"/>
      <c r="H105"/>
      <c r="I105"/>
      <c r="J105"/>
      <c r="K105"/>
    </row>
    <row r="106" spans="1:11" ht="15" x14ac:dyDescent="0.2">
      <c r="A106"/>
      <c r="B106"/>
      <c r="C106"/>
      <c r="D106"/>
      <c r="E106"/>
      <c r="F106"/>
      <c r="G106"/>
      <c r="H106"/>
      <c r="I106"/>
      <c r="J106"/>
      <c r="K106"/>
    </row>
    <row r="107" spans="1:11" ht="15" x14ac:dyDescent="0.2">
      <c r="A107"/>
      <c r="B107"/>
      <c r="C107"/>
      <c r="D107"/>
      <c r="E107"/>
      <c r="F107"/>
      <c r="G107"/>
      <c r="H107"/>
      <c r="I107"/>
      <c r="J107"/>
      <c r="K107"/>
    </row>
    <row r="108" spans="1:11" ht="15" x14ac:dyDescent="0.2">
      <c r="A108"/>
      <c r="B108"/>
      <c r="C108"/>
      <c r="D108"/>
      <c r="E108"/>
      <c r="F108"/>
      <c r="G108"/>
      <c r="H108"/>
      <c r="I108"/>
      <c r="J108"/>
      <c r="K108"/>
    </row>
    <row r="109" spans="1:11" ht="15" x14ac:dyDescent="0.2">
      <c r="A109"/>
      <c r="B109"/>
      <c r="C109"/>
      <c r="D109"/>
      <c r="E109"/>
      <c r="F109"/>
      <c r="G109"/>
      <c r="H109"/>
      <c r="I109"/>
      <c r="J109"/>
      <c r="K109"/>
    </row>
    <row r="110" spans="1:11" ht="15" x14ac:dyDescent="0.2">
      <c r="A110"/>
      <c r="B110"/>
      <c r="C110"/>
      <c r="D110"/>
      <c r="E110"/>
      <c r="F110"/>
      <c r="G110"/>
      <c r="H110"/>
      <c r="I110"/>
      <c r="J110"/>
      <c r="K110"/>
    </row>
    <row r="111" spans="1:11" ht="15" x14ac:dyDescent="0.2">
      <c r="A111"/>
      <c r="B111"/>
      <c r="C111"/>
      <c r="D111"/>
      <c r="E111"/>
      <c r="F111"/>
      <c r="G111"/>
      <c r="H111"/>
      <c r="I111"/>
      <c r="J111"/>
      <c r="K111"/>
    </row>
    <row r="112" spans="1:11" ht="15" x14ac:dyDescent="0.2">
      <c r="A112"/>
      <c r="B112"/>
      <c r="C112"/>
      <c r="D112"/>
      <c r="E112"/>
      <c r="F112"/>
      <c r="G112"/>
      <c r="H112"/>
      <c r="I112"/>
      <c r="J112"/>
      <c r="K112"/>
    </row>
    <row r="113" spans="1:11" ht="15" x14ac:dyDescent="0.2">
      <c r="A113"/>
      <c r="B113"/>
      <c r="C113"/>
      <c r="D113"/>
      <c r="E113"/>
      <c r="F113"/>
      <c r="G113"/>
      <c r="H113"/>
      <c r="I113"/>
      <c r="J113"/>
      <c r="K113"/>
    </row>
    <row r="114" spans="1:11" ht="15" x14ac:dyDescent="0.2">
      <c r="A114"/>
      <c r="B114"/>
      <c r="C114"/>
      <c r="D114"/>
      <c r="E114"/>
      <c r="F114"/>
      <c r="G114"/>
      <c r="H114"/>
      <c r="I114"/>
      <c r="J114"/>
      <c r="K114"/>
    </row>
    <row r="115" spans="1:11" ht="15" x14ac:dyDescent="0.2">
      <c r="A115"/>
      <c r="B115"/>
      <c r="C115"/>
      <c r="D115"/>
      <c r="E115"/>
      <c r="F115"/>
      <c r="G115"/>
      <c r="H115"/>
      <c r="I115"/>
      <c r="J115"/>
      <c r="K115"/>
    </row>
    <row r="116" spans="1:11" ht="15" x14ac:dyDescent="0.2">
      <c r="A116"/>
      <c r="B116"/>
      <c r="C116"/>
      <c r="D116"/>
      <c r="E116"/>
      <c r="F116"/>
      <c r="G116"/>
      <c r="H116"/>
      <c r="I116"/>
      <c r="J116"/>
      <c r="K116"/>
    </row>
    <row r="117" spans="1:11" ht="15" x14ac:dyDescent="0.2">
      <c r="A117"/>
      <c r="B117"/>
      <c r="C117"/>
      <c r="D117"/>
      <c r="E117"/>
      <c r="F117"/>
      <c r="G117"/>
      <c r="H117"/>
      <c r="I117"/>
      <c r="J117"/>
      <c r="K117"/>
    </row>
    <row r="118" spans="1:11" ht="15" x14ac:dyDescent="0.2">
      <c r="A118"/>
      <c r="B118"/>
      <c r="C118"/>
      <c r="D118"/>
      <c r="E118"/>
      <c r="F118"/>
      <c r="G118"/>
      <c r="H118"/>
      <c r="I118"/>
      <c r="J118"/>
      <c r="K118"/>
    </row>
    <row r="119" spans="1:11" ht="15" x14ac:dyDescent="0.2">
      <c r="A119"/>
      <c r="B119"/>
      <c r="C119"/>
      <c r="D119"/>
      <c r="E119"/>
      <c r="F119"/>
      <c r="G119"/>
      <c r="H119"/>
      <c r="I119"/>
      <c r="J119"/>
      <c r="K119"/>
    </row>
    <row r="120" spans="1:11" ht="15" x14ac:dyDescent="0.2">
      <c r="A120"/>
      <c r="B120"/>
      <c r="C120"/>
      <c r="D120"/>
      <c r="E120"/>
      <c r="F120"/>
      <c r="G120"/>
      <c r="H120"/>
      <c r="I120"/>
      <c r="J120"/>
      <c r="K120"/>
    </row>
    <row r="121" spans="1:11" ht="15" x14ac:dyDescent="0.2">
      <c r="A121"/>
      <c r="B121"/>
      <c r="C121"/>
      <c r="D121"/>
      <c r="E121"/>
      <c r="F121"/>
      <c r="G121"/>
      <c r="H121"/>
      <c r="I121"/>
      <c r="J121"/>
      <c r="K121"/>
    </row>
    <row r="122" spans="1:11" ht="15" x14ac:dyDescent="0.2">
      <c r="A122"/>
      <c r="B122"/>
      <c r="C122"/>
      <c r="D122"/>
      <c r="E122"/>
      <c r="F122"/>
      <c r="G122"/>
      <c r="H122"/>
      <c r="I122"/>
      <c r="J122"/>
      <c r="K122"/>
    </row>
    <row r="123" spans="1:11" ht="15" x14ac:dyDescent="0.2">
      <c r="A123"/>
      <c r="B123"/>
      <c r="C123"/>
      <c r="D123"/>
      <c r="E123"/>
      <c r="F123"/>
      <c r="G123"/>
      <c r="H123"/>
      <c r="I123"/>
      <c r="J123"/>
      <c r="K123"/>
    </row>
    <row r="124" spans="1:11" ht="15" x14ac:dyDescent="0.2">
      <c r="A124"/>
      <c r="B124"/>
      <c r="C124"/>
      <c r="D124"/>
      <c r="E124"/>
      <c r="F124"/>
      <c r="G124"/>
      <c r="H124"/>
      <c r="I124"/>
      <c r="J124"/>
      <c r="K124"/>
    </row>
    <row r="125" spans="1:11" ht="15" x14ac:dyDescent="0.2">
      <c r="A125"/>
      <c r="B125"/>
      <c r="C125"/>
      <c r="D125"/>
      <c r="E125"/>
      <c r="F125"/>
      <c r="G125"/>
      <c r="H125"/>
      <c r="I125"/>
      <c r="J125"/>
      <c r="K125"/>
    </row>
    <row r="126" spans="1:11" ht="15" x14ac:dyDescent="0.2">
      <c r="A126"/>
      <c r="B126"/>
      <c r="C126"/>
      <c r="D126"/>
      <c r="E126"/>
      <c r="F126"/>
      <c r="G126"/>
      <c r="H126"/>
      <c r="I126"/>
      <c r="J126"/>
      <c r="K126"/>
    </row>
    <row r="127" spans="1:11" ht="15" x14ac:dyDescent="0.2">
      <c r="A127"/>
      <c r="B127"/>
      <c r="C127"/>
      <c r="D127"/>
      <c r="E127"/>
      <c r="F127"/>
      <c r="G127"/>
      <c r="H127"/>
      <c r="I127"/>
      <c r="J127"/>
      <c r="K127"/>
    </row>
    <row r="128" spans="1:11" ht="15" x14ac:dyDescent="0.2">
      <c r="A128"/>
      <c r="B128"/>
      <c r="C128"/>
      <c r="D128"/>
      <c r="E128"/>
      <c r="F128"/>
      <c r="G128"/>
      <c r="H128"/>
      <c r="I128"/>
      <c r="J128"/>
      <c r="K128"/>
    </row>
    <row r="129" spans="1:11" ht="15" x14ac:dyDescent="0.2">
      <c r="A129"/>
      <c r="B129"/>
      <c r="C129"/>
      <c r="D129"/>
      <c r="E129"/>
      <c r="F129"/>
      <c r="G129"/>
      <c r="H129"/>
      <c r="I129"/>
      <c r="J129"/>
      <c r="K129"/>
    </row>
    <row r="130" spans="1:11" ht="15" x14ac:dyDescent="0.2">
      <c r="A130"/>
      <c r="B130"/>
      <c r="C130"/>
      <c r="D130"/>
      <c r="E130"/>
      <c r="F130"/>
      <c r="G130"/>
      <c r="H130"/>
      <c r="I130"/>
      <c r="J130"/>
      <c r="K130"/>
    </row>
    <row r="131" spans="1:11" ht="15" x14ac:dyDescent="0.2">
      <c r="A131"/>
      <c r="B131"/>
      <c r="C131"/>
      <c r="D131"/>
      <c r="E131"/>
      <c r="F131"/>
      <c r="G131"/>
      <c r="H131"/>
      <c r="I131"/>
      <c r="J131"/>
      <c r="K131"/>
    </row>
    <row r="132" spans="1:11" ht="15" x14ac:dyDescent="0.2">
      <c r="A132"/>
      <c r="B132"/>
      <c r="C132"/>
      <c r="D132"/>
      <c r="E132"/>
      <c r="F132"/>
      <c r="G132"/>
      <c r="H132"/>
      <c r="I132"/>
      <c r="J132"/>
      <c r="K132"/>
    </row>
    <row r="133" spans="1:11" ht="15" x14ac:dyDescent="0.2">
      <c r="A133"/>
      <c r="B133"/>
      <c r="C133"/>
      <c r="D133"/>
      <c r="E133"/>
      <c r="F133"/>
      <c r="G133"/>
      <c r="H133"/>
      <c r="I133"/>
      <c r="J133"/>
      <c r="K133"/>
    </row>
    <row r="134" spans="1:11" ht="15" x14ac:dyDescent="0.2">
      <c r="A134"/>
      <c r="B134"/>
      <c r="C134"/>
      <c r="D134"/>
      <c r="E134"/>
      <c r="F134"/>
      <c r="G134"/>
      <c r="H134"/>
      <c r="I134"/>
      <c r="J134"/>
      <c r="K134"/>
    </row>
    <row r="135" spans="1:11" ht="15" x14ac:dyDescent="0.2">
      <c r="A135"/>
      <c r="B135"/>
      <c r="C135"/>
      <c r="D135"/>
      <c r="E135"/>
      <c r="F135"/>
      <c r="G135"/>
      <c r="H135"/>
      <c r="I135"/>
      <c r="J135"/>
      <c r="K135"/>
    </row>
    <row r="136" spans="1:11" ht="15" x14ac:dyDescent="0.2">
      <c r="A136"/>
      <c r="B136"/>
      <c r="C136"/>
      <c r="D136"/>
      <c r="E136"/>
      <c r="F136"/>
      <c r="G136"/>
      <c r="H136"/>
      <c r="I136"/>
      <c r="J136"/>
      <c r="K136"/>
    </row>
    <row r="137" spans="1:11" ht="15" x14ac:dyDescent="0.2">
      <c r="A137"/>
      <c r="B137"/>
      <c r="C137"/>
      <c r="D137"/>
      <c r="E137"/>
      <c r="F137"/>
      <c r="G137"/>
      <c r="H137"/>
      <c r="I137"/>
      <c r="J137"/>
      <c r="K137"/>
    </row>
    <row r="138" spans="1:11" ht="15" x14ac:dyDescent="0.2">
      <c r="A138"/>
      <c r="B138"/>
      <c r="C138"/>
      <c r="D138"/>
      <c r="E138"/>
      <c r="F138"/>
      <c r="G138"/>
      <c r="H138"/>
      <c r="I138"/>
      <c r="J138"/>
      <c r="K138"/>
    </row>
    <row r="139" spans="1:11" ht="15" x14ac:dyDescent="0.2">
      <c r="A139"/>
      <c r="B139"/>
      <c r="C139"/>
      <c r="D139"/>
      <c r="E139"/>
      <c r="F139"/>
      <c r="G139"/>
      <c r="H139"/>
      <c r="I139"/>
      <c r="J139"/>
      <c r="K139"/>
    </row>
    <row r="140" spans="1:11" ht="15" x14ac:dyDescent="0.2">
      <c r="A140"/>
      <c r="B140"/>
      <c r="C140"/>
      <c r="D140"/>
      <c r="E140"/>
      <c r="F140"/>
      <c r="G140"/>
      <c r="H140"/>
      <c r="I140"/>
      <c r="J140"/>
      <c r="K140"/>
    </row>
    <row r="141" spans="1:11" ht="15" x14ac:dyDescent="0.2">
      <c r="A141"/>
      <c r="B141"/>
      <c r="C141"/>
      <c r="D141"/>
      <c r="E141"/>
      <c r="F141"/>
      <c r="G141"/>
      <c r="H141"/>
      <c r="I141"/>
      <c r="J141"/>
      <c r="K141"/>
    </row>
    <row r="142" spans="1:11" ht="15" x14ac:dyDescent="0.2">
      <c r="A142"/>
      <c r="B142"/>
      <c r="C142"/>
      <c r="D142"/>
      <c r="E142"/>
      <c r="F142"/>
      <c r="G142"/>
      <c r="H142"/>
      <c r="I142"/>
      <c r="J142"/>
      <c r="K142"/>
    </row>
    <row r="143" spans="1:11" ht="15" x14ac:dyDescent="0.2">
      <c r="A143"/>
      <c r="B143"/>
      <c r="C143"/>
      <c r="D143"/>
      <c r="E143"/>
      <c r="F143"/>
      <c r="G143"/>
      <c r="H143"/>
      <c r="I143"/>
      <c r="J143"/>
      <c r="K143"/>
    </row>
    <row r="144" spans="1:11" ht="15" x14ac:dyDescent="0.2">
      <c r="A144"/>
      <c r="B144"/>
      <c r="C144"/>
      <c r="D144"/>
      <c r="E144"/>
      <c r="F144"/>
      <c r="G144"/>
      <c r="H144"/>
      <c r="I144"/>
      <c r="J144"/>
      <c r="K144"/>
    </row>
    <row r="145" spans="1:11" ht="15" x14ac:dyDescent="0.2">
      <c r="A145"/>
      <c r="B145"/>
      <c r="C145"/>
      <c r="D145"/>
      <c r="E145"/>
      <c r="F145"/>
      <c r="G145"/>
      <c r="H145"/>
      <c r="I145"/>
      <c r="J145"/>
      <c r="K145"/>
    </row>
    <row r="146" spans="1:11" ht="15" x14ac:dyDescent="0.2">
      <c r="A146"/>
      <c r="B146"/>
      <c r="C146"/>
      <c r="D146"/>
      <c r="E146"/>
      <c r="F146"/>
      <c r="G146"/>
      <c r="H146"/>
      <c r="I146"/>
      <c r="J146"/>
      <c r="K146"/>
    </row>
    <row r="147" spans="1:11" ht="15" x14ac:dyDescent="0.2">
      <c r="A147"/>
      <c r="B147"/>
      <c r="C147"/>
      <c r="D147"/>
      <c r="E147"/>
      <c r="F147"/>
      <c r="G147"/>
      <c r="H147"/>
      <c r="I147"/>
      <c r="J147"/>
      <c r="K147"/>
    </row>
    <row r="148" spans="1:11" ht="15" x14ac:dyDescent="0.2">
      <c r="A148"/>
      <c r="B148"/>
      <c r="C148"/>
      <c r="D148"/>
      <c r="E148"/>
      <c r="F148"/>
      <c r="G148"/>
      <c r="H148"/>
      <c r="I148"/>
      <c r="J148"/>
      <c r="K148"/>
    </row>
    <row r="149" spans="1:11" ht="15" x14ac:dyDescent="0.2">
      <c r="A149"/>
      <c r="B149"/>
      <c r="C149"/>
      <c r="D149"/>
      <c r="E149"/>
      <c r="F149"/>
      <c r="G149"/>
      <c r="H149"/>
      <c r="I149"/>
      <c r="J149"/>
      <c r="K149"/>
    </row>
    <row r="150" spans="1:11" ht="15" x14ac:dyDescent="0.2">
      <c r="A150"/>
      <c r="B150"/>
      <c r="C150"/>
      <c r="D150"/>
      <c r="E150"/>
      <c r="F150"/>
      <c r="G150"/>
      <c r="H150"/>
      <c r="I150"/>
      <c r="J150"/>
      <c r="K150"/>
    </row>
    <row r="151" spans="1:11" ht="15" x14ac:dyDescent="0.2">
      <c r="A151"/>
      <c r="B151"/>
      <c r="C151"/>
      <c r="D151"/>
      <c r="E151"/>
      <c r="F151"/>
      <c r="G151"/>
      <c r="H151"/>
      <c r="I151"/>
      <c r="J151"/>
      <c r="K151"/>
    </row>
    <row r="152" spans="1:11" ht="15" x14ac:dyDescent="0.2">
      <c r="A152"/>
      <c r="B152"/>
      <c r="C152"/>
      <c r="D152"/>
      <c r="E152"/>
      <c r="F152"/>
      <c r="G152"/>
      <c r="H152"/>
      <c r="I152"/>
      <c r="J152"/>
      <c r="K152"/>
    </row>
    <row r="153" spans="1:11" ht="15" x14ac:dyDescent="0.2">
      <c r="A153"/>
      <c r="B153"/>
      <c r="C153"/>
      <c r="D153"/>
      <c r="E153"/>
      <c r="F153"/>
      <c r="G153"/>
      <c r="H153"/>
      <c r="I153"/>
      <c r="J153"/>
      <c r="K153"/>
    </row>
    <row r="154" spans="1:11" ht="15" x14ac:dyDescent="0.2">
      <c r="A154"/>
      <c r="B154"/>
      <c r="C154"/>
      <c r="D154"/>
      <c r="E154"/>
      <c r="F154"/>
      <c r="G154"/>
      <c r="H154"/>
      <c r="I154"/>
      <c r="J154"/>
      <c r="K154"/>
    </row>
    <row r="155" spans="1:11" ht="15" x14ac:dyDescent="0.2">
      <c r="A155"/>
      <c r="B155"/>
      <c r="C155"/>
      <c r="D155"/>
      <c r="E155"/>
      <c r="F155"/>
      <c r="G155"/>
      <c r="H155"/>
      <c r="I155"/>
      <c r="J155"/>
      <c r="K155"/>
    </row>
    <row r="156" spans="1:11" ht="15" x14ac:dyDescent="0.2">
      <c r="A156"/>
      <c r="B156"/>
      <c r="C156"/>
      <c r="D156"/>
      <c r="E156"/>
      <c r="F156"/>
      <c r="G156"/>
      <c r="H156"/>
      <c r="I156"/>
      <c r="J156"/>
      <c r="K156"/>
    </row>
    <row r="157" spans="1:11" ht="15" x14ac:dyDescent="0.2">
      <c r="A157"/>
      <c r="B157"/>
      <c r="C157"/>
      <c r="D157"/>
      <c r="E157"/>
      <c r="F157"/>
      <c r="G157"/>
      <c r="H157"/>
      <c r="I157"/>
      <c r="J157"/>
      <c r="K157"/>
    </row>
    <row r="158" spans="1:11" ht="15" x14ac:dyDescent="0.2">
      <c r="A158"/>
      <c r="B158"/>
      <c r="C158"/>
      <c r="D158"/>
      <c r="E158"/>
      <c r="F158"/>
      <c r="G158"/>
      <c r="H158"/>
      <c r="I158"/>
      <c r="J158"/>
      <c r="K158"/>
    </row>
    <row r="159" spans="1:11" ht="15" x14ac:dyDescent="0.2">
      <c r="A159"/>
      <c r="B159"/>
      <c r="C159"/>
      <c r="D159"/>
      <c r="E159"/>
      <c r="F159"/>
      <c r="G159"/>
      <c r="H159"/>
      <c r="I159"/>
      <c r="J159"/>
      <c r="K159"/>
    </row>
    <row r="160" spans="1:11" ht="15" x14ac:dyDescent="0.2">
      <c r="A160"/>
      <c r="B160"/>
      <c r="C160"/>
      <c r="D160"/>
      <c r="E160"/>
      <c r="F160"/>
      <c r="G160"/>
      <c r="H160"/>
      <c r="I160"/>
      <c r="J160"/>
      <c r="K160"/>
    </row>
    <row r="161" spans="1:11" ht="15" x14ac:dyDescent="0.2">
      <c r="A161"/>
      <c r="B161"/>
      <c r="C161"/>
      <c r="D161"/>
      <c r="E161"/>
      <c r="F161"/>
      <c r="G161"/>
      <c r="H161"/>
      <c r="I161"/>
      <c r="J161"/>
      <c r="K161"/>
    </row>
    <row r="162" spans="1:11" ht="15" x14ac:dyDescent="0.2">
      <c r="A162"/>
      <c r="B162"/>
      <c r="C162"/>
      <c r="D162"/>
      <c r="E162"/>
      <c r="F162"/>
      <c r="G162"/>
      <c r="H162"/>
      <c r="I162"/>
      <c r="J162"/>
      <c r="K162"/>
    </row>
    <row r="163" spans="1:11" ht="15" x14ac:dyDescent="0.2">
      <c r="A163"/>
      <c r="B163"/>
      <c r="C163"/>
      <c r="D163"/>
      <c r="E163"/>
      <c r="F163"/>
      <c r="G163"/>
      <c r="H163"/>
      <c r="I163"/>
      <c r="J163"/>
      <c r="K163"/>
    </row>
    <row r="164" spans="1:11" ht="15" x14ac:dyDescent="0.2">
      <c r="A164"/>
      <c r="B164"/>
      <c r="C164"/>
      <c r="D164"/>
      <c r="E164"/>
      <c r="F164"/>
      <c r="G164"/>
      <c r="H164"/>
      <c r="I164"/>
      <c r="J164"/>
      <c r="K164"/>
    </row>
    <row r="165" spans="1:11" ht="15" x14ac:dyDescent="0.2">
      <c r="A165"/>
      <c r="B165"/>
      <c r="C165"/>
      <c r="D165"/>
      <c r="E165"/>
      <c r="F165"/>
      <c r="G165"/>
      <c r="H165"/>
      <c r="I165"/>
      <c r="J165"/>
      <c r="K165"/>
    </row>
    <row r="166" spans="1:11" ht="15" x14ac:dyDescent="0.2">
      <c r="A166"/>
      <c r="B166"/>
      <c r="C166"/>
      <c r="D166"/>
      <c r="E166"/>
      <c r="F166"/>
      <c r="G166"/>
      <c r="H166"/>
      <c r="I166"/>
      <c r="J166"/>
      <c r="K166"/>
    </row>
    <row r="167" spans="1:11" ht="15" x14ac:dyDescent="0.2">
      <c r="A167"/>
      <c r="B167"/>
      <c r="C167"/>
      <c r="D167"/>
      <c r="E167"/>
      <c r="F167"/>
      <c r="G167"/>
      <c r="H167"/>
      <c r="I167"/>
      <c r="J167"/>
      <c r="K167"/>
    </row>
    <row r="168" spans="1:11" ht="15" x14ac:dyDescent="0.2">
      <c r="A168"/>
      <c r="B168"/>
      <c r="C168"/>
      <c r="D168"/>
      <c r="E168"/>
      <c r="F168"/>
      <c r="G168"/>
      <c r="H168"/>
      <c r="I168"/>
      <c r="J168"/>
      <c r="K168"/>
    </row>
    <row r="169" spans="1:11" ht="15" x14ac:dyDescent="0.2">
      <c r="A169"/>
      <c r="B169"/>
      <c r="C169"/>
      <c r="D169"/>
      <c r="E169"/>
      <c r="F169"/>
      <c r="G169"/>
      <c r="H169"/>
      <c r="I169"/>
      <c r="J169"/>
      <c r="K169"/>
    </row>
    <row r="170" spans="1:11" ht="15" x14ac:dyDescent="0.2">
      <c r="A170"/>
      <c r="B170"/>
      <c r="C170"/>
      <c r="D170"/>
      <c r="E170"/>
      <c r="F170"/>
      <c r="G170"/>
      <c r="H170"/>
      <c r="I170"/>
      <c r="J170"/>
      <c r="K170"/>
    </row>
    <row r="171" spans="1:11" ht="15" x14ac:dyDescent="0.2">
      <c r="A171"/>
      <c r="B171"/>
      <c r="C171"/>
      <c r="D171"/>
      <c r="E171"/>
      <c r="F171"/>
      <c r="G171"/>
      <c r="H171"/>
      <c r="I171"/>
      <c r="J171"/>
      <c r="K171"/>
    </row>
    <row r="172" spans="1:11" ht="15" x14ac:dyDescent="0.2">
      <c r="A172"/>
      <c r="B172"/>
      <c r="C172"/>
      <c r="D172"/>
      <c r="E172"/>
      <c r="F172"/>
      <c r="G172"/>
      <c r="H172"/>
      <c r="I172"/>
      <c r="J172"/>
      <c r="K172"/>
    </row>
    <row r="173" spans="1:11" ht="15" x14ac:dyDescent="0.2">
      <c r="A173"/>
      <c r="B173"/>
      <c r="C173"/>
      <c r="D173"/>
      <c r="E173"/>
      <c r="F173"/>
      <c r="G173"/>
      <c r="H173"/>
      <c r="I173"/>
      <c r="J173"/>
      <c r="K173"/>
    </row>
    <row r="174" spans="1:11" ht="15" x14ac:dyDescent="0.2">
      <c r="A174"/>
      <c r="B174"/>
      <c r="C174"/>
      <c r="D174"/>
      <c r="E174"/>
      <c r="F174"/>
      <c r="G174"/>
      <c r="H174"/>
      <c r="I174"/>
      <c r="J174"/>
      <c r="K174"/>
    </row>
    <row r="175" spans="1:11" ht="15" x14ac:dyDescent="0.2">
      <c r="A175"/>
      <c r="B175"/>
      <c r="C175"/>
      <c r="D175"/>
      <c r="E175"/>
      <c r="F175"/>
      <c r="G175"/>
      <c r="H175"/>
      <c r="I175"/>
      <c r="J175"/>
      <c r="K175"/>
    </row>
    <row r="176" spans="1:11" ht="15" x14ac:dyDescent="0.2">
      <c r="A176"/>
      <c r="B176"/>
      <c r="C176"/>
      <c r="D176"/>
      <c r="E176"/>
      <c r="F176"/>
      <c r="G176"/>
      <c r="H176"/>
      <c r="I176"/>
      <c r="J176"/>
      <c r="K176"/>
    </row>
    <row r="177" spans="1:11" ht="15" x14ac:dyDescent="0.2">
      <c r="A177"/>
      <c r="B177"/>
      <c r="C177"/>
      <c r="D177"/>
      <c r="E177"/>
      <c r="F177"/>
      <c r="G177"/>
      <c r="H177"/>
      <c r="I177"/>
      <c r="J177"/>
      <c r="K177"/>
    </row>
    <row r="178" spans="1:11" ht="15" x14ac:dyDescent="0.2">
      <c r="A178"/>
      <c r="B178"/>
      <c r="C178"/>
      <c r="D178"/>
      <c r="E178"/>
      <c r="F178"/>
      <c r="G178"/>
      <c r="H178"/>
      <c r="I178"/>
      <c r="J178"/>
      <c r="K178"/>
    </row>
    <row r="179" spans="1:11" ht="15" x14ac:dyDescent="0.2">
      <c r="A179"/>
      <c r="B179"/>
      <c r="C179"/>
      <c r="D179"/>
      <c r="E179"/>
      <c r="F179"/>
      <c r="G179"/>
      <c r="H179"/>
      <c r="I179"/>
      <c r="J179"/>
      <c r="K179"/>
    </row>
    <row r="180" spans="1:11" ht="15" x14ac:dyDescent="0.2">
      <c r="A180"/>
      <c r="B180"/>
      <c r="C180"/>
      <c r="D180"/>
      <c r="E180"/>
      <c r="F180"/>
      <c r="G180"/>
      <c r="H180"/>
      <c r="I180"/>
      <c r="J180"/>
      <c r="K180"/>
    </row>
    <row r="181" spans="1:11" ht="15" x14ac:dyDescent="0.2">
      <c r="A181"/>
      <c r="B181"/>
      <c r="C181"/>
      <c r="D181"/>
      <c r="E181"/>
      <c r="F181"/>
      <c r="G181"/>
      <c r="H181"/>
      <c r="I181"/>
      <c r="J181"/>
      <c r="K181"/>
    </row>
    <row r="182" spans="1:11" ht="15" x14ac:dyDescent="0.2">
      <c r="A182"/>
      <c r="B182"/>
      <c r="C182"/>
      <c r="D182"/>
      <c r="E182"/>
      <c r="F182"/>
      <c r="G182"/>
      <c r="H182"/>
      <c r="I182"/>
      <c r="J182"/>
      <c r="K182"/>
    </row>
    <row r="183" spans="1:11" ht="15" x14ac:dyDescent="0.2">
      <c r="A183"/>
      <c r="B183"/>
      <c r="C183"/>
      <c r="D183"/>
      <c r="E183"/>
      <c r="F183"/>
      <c r="G183"/>
      <c r="H183"/>
      <c r="I183"/>
      <c r="J183"/>
      <c r="K183"/>
    </row>
    <row r="184" spans="1:11" ht="15" x14ac:dyDescent="0.2">
      <c r="A184"/>
      <c r="B184"/>
      <c r="C184"/>
      <c r="D184"/>
      <c r="E184"/>
      <c r="F184"/>
      <c r="G184"/>
      <c r="H184"/>
      <c r="I184"/>
      <c r="J184"/>
      <c r="K184"/>
    </row>
    <row r="185" spans="1:11" ht="15" x14ac:dyDescent="0.2">
      <c r="A185"/>
      <c r="B185"/>
      <c r="C185"/>
      <c r="D185"/>
      <c r="E185"/>
      <c r="F185"/>
      <c r="G185"/>
      <c r="H185"/>
      <c r="I185"/>
      <c r="J185"/>
      <c r="K185"/>
    </row>
    <row r="186" spans="1:11" ht="15" x14ac:dyDescent="0.2">
      <c r="A186"/>
      <c r="B186"/>
      <c r="C186"/>
      <c r="D186"/>
      <c r="E186"/>
      <c r="F186"/>
      <c r="G186"/>
      <c r="H186"/>
      <c r="I186"/>
      <c r="J186"/>
      <c r="K186"/>
    </row>
    <row r="187" spans="1:11" ht="15" x14ac:dyDescent="0.2">
      <c r="A187"/>
      <c r="B187"/>
      <c r="C187"/>
      <c r="D187"/>
      <c r="E187"/>
      <c r="F187"/>
      <c r="G187"/>
      <c r="H187"/>
      <c r="I187"/>
      <c r="J187"/>
      <c r="K187"/>
    </row>
    <row r="188" spans="1:11" ht="15" x14ac:dyDescent="0.2">
      <c r="A188"/>
      <c r="B188"/>
      <c r="C188"/>
      <c r="D188"/>
      <c r="E188"/>
      <c r="F188"/>
      <c r="G188"/>
      <c r="H188"/>
      <c r="I188"/>
      <c r="J188"/>
      <c r="K188"/>
    </row>
    <row r="189" spans="1:11" ht="15" x14ac:dyDescent="0.2">
      <c r="A189"/>
      <c r="B189"/>
      <c r="C189"/>
      <c r="D189"/>
      <c r="E189"/>
      <c r="F189"/>
      <c r="G189"/>
      <c r="H189"/>
      <c r="I189"/>
      <c r="J189"/>
      <c r="K189"/>
    </row>
    <row r="190" spans="1:11" ht="15" x14ac:dyDescent="0.2">
      <c r="A190"/>
      <c r="B190"/>
      <c r="C190"/>
      <c r="D190"/>
      <c r="E190"/>
      <c r="F190"/>
      <c r="G190"/>
      <c r="H190"/>
      <c r="I190"/>
      <c r="J190"/>
      <c r="K190"/>
    </row>
    <row r="191" spans="1:11" ht="15" x14ac:dyDescent="0.2">
      <c r="A191"/>
      <c r="B191"/>
      <c r="C191"/>
      <c r="D191"/>
      <c r="E191"/>
      <c r="F191"/>
      <c r="G191"/>
      <c r="H191"/>
      <c r="I191"/>
      <c r="J191"/>
      <c r="K191"/>
    </row>
    <row r="192" spans="1:11" ht="15" x14ac:dyDescent="0.2">
      <c r="A192"/>
      <c r="B192"/>
      <c r="C192"/>
      <c r="D192"/>
      <c r="E192"/>
      <c r="F192"/>
      <c r="G192"/>
      <c r="H192"/>
      <c r="I192"/>
      <c r="J192"/>
      <c r="K192"/>
    </row>
    <row r="193" spans="1:11" ht="15" x14ac:dyDescent="0.2">
      <c r="A193"/>
      <c r="B193"/>
      <c r="C193"/>
      <c r="D193"/>
      <c r="E193"/>
      <c r="F193"/>
      <c r="G193"/>
      <c r="H193"/>
      <c r="I193"/>
      <c r="J193"/>
      <c r="K193"/>
    </row>
    <row r="194" spans="1:11" ht="15" x14ac:dyDescent="0.2">
      <c r="A194"/>
      <c r="B194"/>
      <c r="C194"/>
      <c r="D194"/>
      <c r="E194"/>
      <c r="F194"/>
      <c r="G194"/>
      <c r="H194"/>
      <c r="I194"/>
      <c r="J194"/>
      <c r="K194"/>
    </row>
    <row r="195" spans="1:11" ht="15" x14ac:dyDescent="0.2">
      <c r="A195"/>
      <c r="B195"/>
      <c r="C195"/>
      <c r="D195"/>
      <c r="E195"/>
      <c r="F195"/>
      <c r="G195"/>
      <c r="H195"/>
      <c r="I195"/>
      <c r="J195"/>
      <c r="K195"/>
    </row>
    <row r="196" spans="1:11" ht="15" x14ac:dyDescent="0.2">
      <c r="A196"/>
      <c r="B196"/>
      <c r="C196"/>
      <c r="D196"/>
      <c r="E196"/>
      <c r="F196"/>
      <c r="G196"/>
      <c r="H196"/>
      <c r="I196"/>
      <c r="J196"/>
      <c r="K196"/>
    </row>
    <row r="197" spans="1:11" ht="15" x14ac:dyDescent="0.2">
      <c r="A197"/>
      <c r="B197"/>
      <c r="C197"/>
      <c r="D197"/>
      <c r="E197"/>
      <c r="F197"/>
      <c r="G197"/>
      <c r="H197"/>
      <c r="I197"/>
      <c r="J197"/>
      <c r="K197"/>
    </row>
    <row r="198" spans="1:11" ht="15" x14ac:dyDescent="0.2">
      <c r="A198"/>
      <c r="B198"/>
      <c r="C198"/>
      <c r="D198"/>
      <c r="E198"/>
      <c r="F198"/>
      <c r="G198"/>
      <c r="H198"/>
      <c r="I198"/>
      <c r="J198"/>
      <c r="K198"/>
    </row>
    <row r="199" spans="1:11" ht="15" x14ac:dyDescent="0.2">
      <c r="A199"/>
      <c r="B199"/>
      <c r="C199"/>
      <c r="D199"/>
      <c r="E199"/>
      <c r="F199"/>
      <c r="G199"/>
      <c r="H199"/>
      <c r="I199"/>
      <c r="J199"/>
      <c r="K199"/>
    </row>
    <row r="200" spans="1:11" ht="15" x14ac:dyDescent="0.2">
      <c r="A200"/>
      <c r="B200"/>
      <c r="C200"/>
      <c r="D200"/>
      <c r="E200"/>
      <c r="F200"/>
      <c r="G200"/>
      <c r="H200"/>
      <c r="I200"/>
      <c r="J200"/>
      <c r="K200"/>
    </row>
    <row r="201" spans="1:11" ht="15" x14ac:dyDescent="0.2">
      <c r="A201"/>
      <c r="B201"/>
      <c r="C201"/>
      <c r="D201"/>
      <c r="E201"/>
      <c r="F201"/>
      <c r="G201"/>
      <c r="H201"/>
      <c r="I201"/>
      <c r="J201"/>
      <c r="K201"/>
    </row>
    <row r="202" spans="1:11" ht="15" x14ac:dyDescent="0.2">
      <c r="A202"/>
      <c r="B202"/>
      <c r="C202"/>
      <c r="D202"/>
      <c r="E202"/>
      <c r="F202"/>
      <c r="G202"/>
      <c r="H202"/>
      <c r="I202"/>
      <c r="J202"/>
      <c r="K202"/>
    </row>
    <row r="203" spans="1:11" ht="15" x14ac:dyDescent="0.2">
      <c r="A203"/>
      <c r="B203"/>
      <c r="C203"/>
      <c r="D203"/>
      <c r="E203"/>
      <c r="F203"/>
      <c r="G203"/>
      <c r="H203"/>
      <c r="I203"/>
      <c r="J203"/>
      <c r="K203"/>
    </row>
    <row r="204" spans="1:11" ht="15" x14ac:dyDescent="0.2">
      <c r="A204"/>
      <c r="B204"/>
      <c r="C204"/>
      <c r="D204"/>
      <c r="E204"/>
      <c r="F204"/>
      <c r="G204"/>
      <c r="H204"/>
      <c r="I204"/>
      <c r="J204"/>
      <c r="K204"/>
    </row>
    <row r="205" spans="1:11" ht="15" x14ac:dyDescent="0.2">
      <c r="A205"/>
      <c r="B205"/>
      <c r="C205"/>
      <c r="D205"/>
      <c r="E205"/>
      <c r="F205"/>
      <c r="G205"/>
      <c r="H205"/>
      <c r="I205"/>
      <c r="J205"/>
      <c r="K205"/>
    </row>
    <row r="206" spans="1:11" ht="15" x14ac:dyDescent="0.2">
      <c r="A206"/>
      <c r="B206"/>
      <c r="C206"/>
      <c r="D206"/>
      <c r="E206"/>
      <c r="F206"/>
      <c r="G206"/>
      <c r="H206"/>
      <c r="I206"/>
      <c r="J206"/>
      <c r="K206"/>
    </row>
    <row r="207" spans="1:11" ht="15" x14ac:dyDescent="0.2">
      <c r="A207"/>
      <c r="B207"/>
      <c r="C207"/>
      <c r="D207"/>
      <c r="E207"/>
      <c r="F207"/>
      <c r="G207"/>
      <c r="H207"/>
      <c r="I207"/>
      <c r="J207"/>
      <c r="K207"/>
    </row>
    <row r="208" spans="1:11" ht="15" x14ac:dyDescent="0.2">
      <c r="A208"/>
      <c r="B208"/>
      <c r="C208"/>
      <c r="D208"/>
      <c r="E208"/>
      <c r="F208"/>
      <c r="G208"/>
      <c r="H208"/>
      <c r="I208"/>
      <c r="J208"/>
      <c r="K208"/>
    </row>
    <row r="209" spans="1:11" ht="15" x14ac:dyDescent="0.2">
      <c r="A209"/>
      <c r="B209"/>
      <c r="C209"/>
      <c r="D209"/>
      <c r="E209"/>
      <c r="F209"/>
      <c r="G209"/>
      <c r="H209"/>
      <c r="I209"/>
      <c r="J209"/>
      <c r="K209"/>
    </row>
    <row r="210" spans="1:11" ht="15" x14ac:dyDescent="0.2">
      <c r="A210"/>
      <c r="B210"/>
      <c r="C210"/>
      <c r="D210"/>
      <c r="E210"/>
      <c r="F210"/>
      <c r="G210"/>
      <c r="H210"/>
      <c r="I210"/>
      <c r="J210"/>
      <c r="K210"/>
    </row>
    <row r="211" spans="1:11" ht="15" x14ac:dyDescent="0.2">
      <c r="A211"/>
      <c r="B211"/>
      <c r="C211"/>
      <c r="D211"/>
      <c r="E211"/>
      <c r="F211"/>
      <c r="G211"/>
      <c r="H211"/>
      <c r="I211"/>
      <c r="J211"/>
      <c r="K211"/>
    </row>
    <row r="212" spans="1:11" ht="15" x14ac:dyDescent="0.2">
      <c r="A212"/>
      <c r="B212"/>
      <c r="C212"/>
      <c r="D212"/>
      <c r="E212"/>
      <c r="F212"/>
      <c r="G212"/>
      <c r="H212"/>
      <c r="I212"/>
      <c r="J212"/>
      <c r="K212"/>
    </row>
    <row r="213" spans="1:11" ht="15" x14ac:dyDescent="0.2">
      <c r="A213"/>
      <c r="B213"/>
      <c r="C213"/>
      <c r="D213"/>
      <c r="E213"/>
      <c r="F213"/>
      <c r="G213"/>
      <c r="H213"/>
      <c r="I213"/>
      <c r="J213"/>
      <c r="K213"/>
    </row>
    <row r="214" spans="1:11" ht="15" x14ac:dyDescent="0.2">
      <c r="A214"/>
      <c r="B214"/>
      <c r="C214"/>
      <c r="D214"/>
      <c r="E214"/>
      <c r="F214"/>
      <c r="G214"/>
      <c r="H214"/>
      <c r="I214"/>
      <c r="J214"/>
      <c r="K214"/>
    </row>
    <row r="215" spans="1:11" ht="15" x14ac:dyDescent="0.2">
      <c r="A215"/>
      <c r="B215"/>
      <c r="C215"/>
      <c r="D215"/>
      <c r="E215"/>
      <c r="F215"/>
      <c r="G215"/>
      <c r="H215"/>
      <c r="I215"/>
      <c r="J215"/>
      <c r="K215"/>
    </row>
    <row r="216" spans="1:11" ht="15" x14ac:dyDescent="0.2">
      <c r="A216"/>
      <c r="B216"/>
      <c r="C216"/>
      <c r="D216"/>
      <c r="E216"/>
      <c r="F216"/>
      <c r="G216"/>
      <c r="H216"/>
      <c r="I216"/>
      <c r="J216"/>
      <c r="K216"/>
    </row>
    <row r="217" spans="1:11" ht="15" x14ac:dyDescent="0.2">
      <c r="A217"/>
      <c r="B217"/>
      <c r="C217"/>
      <c r="D217"/>
      <c r="E217"/>
      <c r="F217"/>
      <c r="G217"/>
      <c r="H217"/>
      <c r="I217"/>
      <c r="J217"/>
      <c r="K217"/>
    </row>
    <row r="218" spans="1:11" ht="15" x14ac:dyDescent="0.2">
      <c r="A218"/>
      <c r="B218"/>
      <c r="C218"/>
      <c r="D218"/>
      <c r="E218"/>
      <c r="F218"/>
      <c r="G218"/>
      <c r="H218"/>
      <c r="I218"/>
      <c r="J218"/>
      <c r="K218"/>
    </row>
    <row r="219" spans="1:11" ht="15" x14ac:dyDescent="0.2">
      <c r="A219"/>
      <c r="B219"/>
      <c r="C219"/>
      <c r="D219"/>
      <c r="E219"/>
      <c r="F219"/>
      <c r="G219"/>
      <c r="H219"/>
      <c r="I219"/>
      <c r="J219"/>
      <c r="K219"/>
    </row>
    <row r="220" spans="1:11" ht="15" x14ac:dyDescent="0.2">
      <c r="A220"/>
      <c r="B220"/>
      <c r="C220"/>
      <c r="D220"/>
      <c r="E220"/>
      <c r="F220"/>
      <c r="G220"/>
      <c r="H220"/>
      <c r="I220"/>
      <c r="J220"/>
      <c r="K220"/>
    </row>
    <row r="221" spans="1:11" ht="15" x14ac:dyDescent="0.2">
      <c r="A221"/>
      <c r="B221"/>
      <c r="C221"/>
      <c r="D221"/>
      <c r="E221"/>
      <c r="F221"/>
      <c r="G221"/>
      <c r="H221"/>
      <c r="I221"/>
      <c r="J221"/>
      <c r="K221"/>
    </row>
    <row r="222" spans="1:11" ht="15" x14ac:dyDescent="0.2">
      <c r="A222"/>
      <c r="B222"/>
      <c r="C222"/>
      <c r="D222"/>
      <c r="E222"/>
      <c r="F222"/>
      <c r="G222"/>
      <c r="H222"/>
      <c r="I222"/>
      <c r="J222"/>
      <c r="K222"/>
    </row>
    <row r="223" spans="1:11" ht="15" x14ac:dyDescent="0.2">
      <c r="A223"/>
      <c r="B223"/>
      <c r="C223"/>
      <c r="D223"/>
      <c r="E223"/>
      <c r="F223"/>
      <c r="G223"/>
      <c r="H223"/>
      <c r="I223"/>
      <c r="J223"/>
      <c r="K223"/>
    </row>
    <row r="224" spans="1:11" ht="15" x14ac:dyDescent="0.2">
      <c r="A224"/>
      <c r="B224"/>
      <c r="C224"/>
      <c r="D224"/>
      <c r="E224"/>
      <c r="F224"/>
      <c r="G224"/>
      <c r="H224"/>
      <c r="I224"/>
      <c r="J224"/>
      <c r="K224"/>
    </row>
    <row r="225" spans="1:11" ht="15" x14ac:dyDescent="0.2">
      <c r="A225"/>
      <c r="B225"/>
      <c r="C225"/>
      <c r="D225"/>
      <c r="E225"/>
      <c r="F225"/>
      <c r="G225"/>
      <c r="H225"/>
      <c r="I225"/>
      <c r="J225"/>
      <c r="K225"/>
    </row>
    <row r="226" spans="1:11" ht="15" x14ac:dyDescent="0.2">
      <c r="A226"/>
      <c r="B226"/>
      <c r="C226"/>
      <c r="D226"/>
      <c r="E226"/>
      <c r="F226"/>
      <c r="G226"/>
      <c r="H226"/>
      <c r="I226"/>
      <c r="J226"/>
      <c r="K226"/>
    </row>
    <row r="227" spans="1:11" ht="15" x14ac:dyDescent="0.2">
      <c r="A227"/>
      <c r="B227"/>
      <c r="C227"/>
      <c r="D227"/>
      <c r="E227"/>
      <c r="F227"/>
      <c r="G227"/>
      <c r="H227"/>
      <c r="I227"/>
      <c r="J227"/>
      <c r="K227"/>
    </row>
    <row r="228" spans="1:11" ht="15" x14ac:dyDescent="0.2">
      <c r="A228"/>
      <c r="B228"/>
      <c r="C228"/>
      <c r="D228"/>
      <c r="E228"/>
      <c r="F228"/>
      <c r="G228"/>
      <c r="H228"/>
      <c r="I228"/>
      <c r="J228"/>
      <c r="K228"/>
    </row>
    <row r="229" spans="1:11" ht="15" x14ac:dyDescent="0.2">
      <c r="A229"/>
      <c r="B229"/>
      <c r="C229"/>
      <c r="D229"/>
      <c r="E229"/>
      <c r="F229"/>
      <c r="G229"/>
      <c r="H229"/>
      <c r="I229"/>
      <c r="J229"/>
      <c r="K229"/>
    </row>
    <row r="230" spans="1:11" ht="15" x14ac:dyDescent="0.2">
      <c r="A230"/>
      <c r="B230"/>
      <c r="C230"/>
      <c r="D230"/>
      <c r="E230"/>
      <c r="F230"/>
      <c r="G230"/>
      <c r="H230"/>
      <c r="I230"/>
      <c r="J230"/>
      <c r="K230"/>
    </row>
    <row r="231" spans="1:11" ht="15" x14ac:dyDescent="0.2">
      <c r="A231"/>
      <c r="B231"/>
      <c r="C231"/>
      <c r="D231"/>
      <c r="E231"/>
      <c r="F231"/>
      <c r="G231"/>
      <c r="H231"/>
      <c r="I231"/>
      <c r="J231"/>
      <c r="K231"/>
    </row>
    <row r="232" spans="1:11" ht="15" x14ac:dyDescent="0.2">
      <c r="A232"/>
      <c r="B232"/>
      <c r="C232"/>
      <c r="D232"/>
      <c r="E232"/>
      <c r="F232"/>
      <c r="G232"/>
      <c r="H232"/>
      <c r="I232"/>
      <c r="J232"/>
      <c r="K232"/>
    </row>
    <row r="233" spans="1:11" ht="15" x14ac:dyDescent="0.2">
      <c r="A233"/>
      <c r="B233"/>
      <c r="C233"/>
      <c r="D233"/>
      <c r="E233"/>
      <c r="F233"/>
      <c r="G233"/>
      <c r="H233"/>
      <c r="I233"/>
      <c r="J233"/>
      <c r="K233"/>
    </row>
    <row r="234" spans="1:11" ht="15" x14ac:dyDescent="0.2">
      <c r="A234"/>
      <c r="B234"/>
      <c r="C234"/>
      <c r="D234"/>
      <c r="E234"/>
      <c r="F234"/>
      <c r="G234"/>
      <c r="H234"/>
      <c r="I234"/>
      <c r="J234"/>
      <c r="K234"/>
    </row>
    <row r="235" spans="1:11" ht="15" x14ac:dyDescent="0.2">
      <c r="A235"/>
      <c r="B235"/>
      <c r="C235"/>
      <c r="D235"/>
      <c r="E235"/>
      <c r="F235"/>
      <c r="G235"/>
      <c r="H235"/>
      <c r="I235"/>
      <c r="J235"/>
      <c r="K235"/>
    </row>
    <row r="236" spans="1:11" ht="15" x14ac:dyDescent="0.2">
      <c r="A236"/>
      <c r="B236"/>
      <c r="C236"/>
      <c r="D236"/>
      <c r="E236"/>
      <c r="F236"/>
      <c r="G236"/>
      <c r="H236"/>
      <c r="I236"/>
      <c r="J236"/>
      <c r="K236"/>
    </row>
    <row r="237" spans="1:11" ht="15" x14ac:dyDescent="0.2">
      <c r="A237"/>
      <c r="B237"/>
      <c r="C237"/>
      <c r="D237"/>
      <c r="E237"/>
      <c r="F237"/>
      <c r="G237"/>
      <c r="H237"/>
      <c r="I237"/>
      <c r="J237"/>
      <c r="K237"/>
    </row>
    <row r="238" spans="1:11" ht="15" x14ac:dyDescent="0.2">
      <c r="A238"/>
      <c r="B238"/>
      <c r="C238"/>
      <c r="D238"/>
      <c r="E238"/>
      <c r="F238"/>
      <c r="G238"/>
      <c r="H238"/>
      <c r="I238"/>
      <c r="J238"/>
      <c r="K238"/>
    </row>
    <row r="239" spans="1:11" ht="15" x14ac:dyDescent="0.2">
      <c r="A239"/>
      <c r="B239"/>
      <c r="C239"/>
      <c r="D239"/>
      <c r="E239"/>
      <c r="F239"/>
      <c r="G239"/>
      <c r="H239"/>
      <c r="I239"/>
      <c r="J239"/>
      <c r="K239"/>
    </row>
    <row r="240" spans="1:11" ht="15" x14ac:dyDescent="0.2">
      <c r="A240"/>
      <c r="B240"/>
      <c r="C240"/>
      <c r="D240"/>
      <c r="E240"/>
      <c r="F240"/>
      <c r="G240"/>
      <c r="H240"/>
      <c r="I240"/>
      <c r="J240"/>
      <c r="K240"/>
    </row>
    <row r="241" spans="1:11" ht="15" x14ac:dyDescent="0.2">
      <c r="A241"/>
      <c r="B241"/>
      <c r="C241"/>
      <c r="D241"/>
      <c r="E241"/>
      <c r="F241"/>
      <c r="G241"/>
      <c r="H241"/>
      <c r="I241"/>
      <c r="J241"/>
      <c r="K241"/>
    </row>
    <row r="242" spans="1:11" ht="15" x14ac:dyDescent="0.2">
      <c r="A242"/>
      <c r="B242"/>
      <c r="C242"/>
      <c r="D242"/>
      <c r="E242"/>
      <c r="F242"/>
      <c r="G242"/>
      <c r="H242"/>
      <c r="I242"/>
      <c r="J242"/>
      <c r="K242"/>
    </row>
    <row r="243" spans="1:11" ht="15" x14ac:dyDescent="0.2">
      <c r="A243"/>
      <c r="B243"/>
      <c r="C243"/>
      <c r="D243"/>
      <c r="E243"/>
      <c r="F243"/>
      <c r="G243"/>
      <c r="H243"/>
      <c r="I243"/>
      <c r="J243"/>
      <c r="K243"/>
    </row>
    <row r="244" spans="1:11" ht="15" x14ac:dyDescent="0.2">
      <c r="A244"/>
      <c r="B244"/>
      <c r="C244"/>
      <c r="D244"/>
      <c r="E244"/>
      <c r="F244"/>
      <c r="G244"/>
      <c r="H244"/>
      <c r="I244"/>
      <c r="J244"/>
      <c r="K244"/>
    </row>
    <row r="245" spans="1:11" ht="15" x14ac:dyDescent="0.2">
      <c r="A245"/>
      <c r="B245"/>
      <c r="C245"/>
      <c r="D245"/>
      <c r="E245"/>
      <c r="F245"/>
      <c r="G245"/>
      <c r="H245"/>
      <c r="I245"/>
      <c r="J245"/>
      <c r="K245"/>
    </row>
    <row r="246" spans="1:11" ht="15" x14ac:dyDescent="0.2">
      <c r="A246"/>
      <c r="B246"/>
      <c r="C246"/>
      <c r="D246"/>
      <c r="E246"/>
      <c r="F246"/>
      <c r="G246"/>
      <c r="H246"/>
      <c r="I246"/>
      <c r="J246"/>
      <c r="K246"/>
    </row>
    <row r="247" spans="1:11" ht="15" x14ac:dyDescent="0.2">
      <c r="A247"/>
      <c r="B247"/>
      <c r="C247"/>
      <c r="D247"/>
      <c r="E247"/>
      <c r="F247"/>
      <c r="G247"/>
      <c r="H247"/>
      <c r="I247"/>
      <c r="J247"/>
      <c r="K247"/>
    </row>
    <row r="248" spans="1:11" ht="15" x14ac:dyDescent="0.2">
      <c r="A248"/>
      <c r="B248"/>
      <c r="C248"/>
      <c r="D248"/>
      <c r="E248"/>
      <c r="F248"/>
      <c r="G248"/>
      <c r="H248"/>
      <c r="I248"/>
      <c r="J248"/>
      <c r="K248"/>
    </row>
    <row r="249" spans="1:11" ht="15" x14ac:dyDescent="0.2">
      <c r="A249"/>
      <c r="B249"/>
      <c r="C249"/>
      <c r="D249"/>
      <c r="E249"/>
      <c r="F249"/>
      <c r="G249"/>
      <c r="H249"/>
      <c r="I249"/>
      <c r="J249"/>
      <c r="K249"/>
    </row>
    <row r="250" spans="1:11" ht="15" x14ac:dyDescent="0.2">
      <c r="A250"/>
      <c r="B250"/>
      <c r="C250"/>
      <c r="D250"/>
      <c r="E250"/>
      <c r="F250"/>
      <c r="G250"/>
      <c r="H250"/>
      <c r="I250"/>
      <c r="J250"/>
      <c r="K250"/>
    </row>
    <row r="251" spans="1:11" ht="15" x14ac:dyDescent="0.2">
      <c r="A251"/>
      <c r="B251"/>
      <c r="C251"/>
      <c r="D251"/>
      <c r="E251"/>
      <c r="F251"/>
      <c r="G251"/>
      <c r="H251"/>
      <c r="I251"/>
      <c r="J251"/>
      <c r="K251"/>
    </row>
    <row r="252" spans="1:11" ht="15" x14ac:dyDescent="0.2">
      <c r="A252"/>
      <c r="B252"/>
      <c r="C252"/>
      <c r="D252"/>
      <c r="E252"/>
      <c r="F252"/>
      <c r="G252"/>
      <c r="H252"/>
      <c r="I252"/>
      <c r="J252"/>
      <c r="K252"/>
    </row>
    <row r="253" spans="1:11" ht="15" x14ac:dyDescent="0.2">
      <c r="A253"/>
      <c r="B253"/>
      <c r="C253"/>
      <c r="D253"/>
      <c r="E253"/>
      <c r="F253"/>
      <c r="G253"/>
      <c r="H253"/>
      <c r="I253"/>
      <c r="J253"/>
      <c r="K253"/>
    </row>
    <row r="254" spans="1:11" ht="15" x14ac:dyDescent="0.2">
      <c r="A254"/>
      <c r="B254"/>
      <c r="C254"/>
      <c r="D254"/>
      <c r="E254"/>
      <c r="F254"/>
      <c r="G254"/>
      <c r="H254"/>
      <c r="I254"/>
      <c r="J254"/>
      <c r="K254"/>
    </row>
    <row r="255" spans="1:11" ht="15" x14ac:dyDescent="0.2">
      <c r="A255"/>
      <c r="B255"/>
      <c r="C255"/>
      <c r="D255"/>
      <c r="E255"/>
      <c r="F255"/>
      <c r="G255"/>
      <c r="H255"/>
      <c r="I255"/>
      <c r="J255"/>
      <c r="K255"/>
    </row>
    <row r="256" spans="1:11" ht="15" x14ac:dyDescent="0.2">
      <c r="A256"/>
      <c r="B256"/>
      <c r="C256"/>
      <c r="D256"/>
      <c r="E256"/>
      <c r="F256"/>
      <c r="G256"/>
      <c r="H256"/>
      <c r="I256"/>
      <c r="J256"/>
      <c r="K256"/>
    </row>
    <row r="257" spans="1:11" ht="15" x14ac:dyDescent="0.2">
      <c r="A257"/>
      <c r="B257"/>
      <c r="C257"/>
      <c r="D257"/>
      <c r="E257"/>
      <c r="F257"/>
      <c r="G257"/>
      <c r="H257"/>
      <c r="I257"/>
      <c r="J257"/>
      <c r="K257"/>
    </row>
    <row r="258" spans="1:11" ht="15" x14ac:dyDescent="0.2">
      <c r="A258"/>
      <c r="B258"/>
      <c r="C258"/>
      <c r="D258"/>
      <c r="E258"/>
      <c r="F258"/>
      <c r="G258"/>
      <c r="H258"/>
      <c r="I258"/>
      <c r="J258"/>
      <c r="K258"/>
    </row>
    <row r="259" spans="1:11" ht="15" x14ac:dyDescent="0.2">
      <c r="A259"/>
      <c r="B259"/>
      <c r="C259"/>
      <c r="D259"/>
      <c r="E259"/>
      <c r="F259"/>
      <c r="G259"/>
      <c r="H259"/>
      <c r="I259"/>
      <c r="J259"/>
      <c r="K259"/>
    </row>
    <row r="260" spans="1:11" ht="15" x14ac:dyDescent="0.2">
      <c r="A260"/>
      <c r="B260"/>
      <c r="C260"/>
      <c r="D260"/>
      <c r="E260"/>
      <c r="F260"/>
      <c r="G260"/>
      <c r="H260"/>
      <c r="I260"/>
      <c r="J260"/>
      <c r="K260"/>
    </row>
    <row r="261" spans="1:11" ht="15" x14ac:dyDescent="0.2">
      <c r="A261"/>
      <c r="B261"/>
      <c r="C261"/>
      <c r="D261"/>
      <c r="E261"/>
      <c r="F261"/>
      <c r="G261"/>
      <c r="H261"/>
      <c r="I261"/>
      <c r="J261"/>
      <c r="K261"/>
    </row>
    <row r="262" spans="1:11" ht="15" x14ac:dyDescent="0.2">
      <c r="A262"/>
      <c r="B262"/>
      <c r="C262"/>
      <c r="D262"/>
      <c r="E262"/>
      <c r="F262"/>
      <c r="G262"/>
      <c r="H262"/>
      <c r="I262"/>
      <c r="J262"/>
      <c r="K262"/>
    </row>
    <row r="263" spans="1:11" ht="15" x14ac:dyDescent="0.2">
      <c r="A263"/>
      <c r="B263"/>
      <c r="C263"/>
      <c r="D263"/>
      <c r="E263"/>
      <c r="F263"/>
      <c r="G263"/>
      <c r="H263"/>
      <c r="I263"/>
      <c r="J263"/>
      <c r="K263"/>
    </row>
    <row r="264" spans="1:11" ht="15" x14ac:dyDescent="0.2">
      <c r="A264"/>
      <c r="B264"/>
      <c r="C264"/>
      <c r="D264"/>
      <c r="E264"/>
      <c r="F264"/>
      <c r="G264"/>
      <c r="H264"/>
      <c r="I264"/>
      <c r="J264"/>
      <c r="K264"/>
    </row>
    <row r="265" spans="1:11" ht="15" x14ac:dyDescent="0.2">
      <c r="A265"/>
      <c r="B265"/>
      <c r="C265"/>
      <c r="D265"/>
      <c r="E265"/>
      <c r="F265"/>
      <c r="G265"/>
      <c r="H265"/>
      <c r="I265"/>
      <c r="J265"/>
      <c r="K265"/>
    </row>
    <row r="266" spans="1:11" ht="15" x14ac:dyDescent="0.2">
      <c r="A266"/>
      <c r="B266"/>
      <c r="C266"/>
      <c r="D266"/>
      <c r="E266"/>
      <c r="F266"/>
      <c r="G266"/>
      <c r="H266"/>
      <c r="I266"/>
      <c r="J266"/>
      <c r="K266"/>
    </row>
    <row r="267" spans="1:11" ht="15" x14ac:dyDescent="0.2">
      <c r="A267"/>
      <c r="B267"/>
      <c r="C267"/>
      <c r="D267"/>
      <c r="E267"/>
      <c r="F267"/>
      <c r="G267"/>
      <c r="H267"/>
      <c r="I267"/>
      <c r="J267"/>
      <c r="K267"/>
    </row>
    <row r="268" spans="1:11" ht="15" x14ac:dyDescent="0.2">
      <c r="A268"/>
      <c r="B268"/>
      <c r="C268"/>
      <c r="D268"/>
      <c r="E268"/>
      <c r="F268"/>
      <c r="G268"/>
      <c r="H268"/>
      <c r="I268"/>
      <c r="J268"/>
      <c r="K268"/>
    </row>
    <row r="269" spans="1:11" ht="15" x14ac:dyDescent="0.2">
      <c r="A269"/>
      <c r="B269"/>
      <c r="C269"/>
      <c r="D269"/>
      <c r="E269"/>
      <c r="F269"/>
      <c r="G269"/>
      <c r="H269"/>
      <c r="I269"/>
      <c r="J269"/>
      <c r="K269"/>
    </row>
    <row r="270" spans="1:11" ht="15" x14ac:dyDescent="0.2">
      <c r="A270"/>
      <c r="B270"/>
      <c r="C270"/>
      <c r="D270"/>
      <c r="E270"/>
      <c r="F270"/>
      <c r="G270"/>
      <c r="H270"/>
      <c r="I270"/>
      <c r="J270"/>
      <c r="K270"/>
    </row>
    <row r="271" spans="1:11" ht="15" x14ac:dyDescent="0.2">
      <c r="A271"/>
      <c r="B271"/>
      <c r="C271"/>
      <c r="D271"/>
      <c r="E271"/>
      <c r="F271"/>
      <c r="G271"/>
      <c r="H271"/>
      <c r="I271"/>
      <c r="J271"/>
      <c r="K271"/>
    </row>
    <row r="272" spans="1:11" ht="15" x14ac:dyDescent="0.2">
      <c r="A272"/>
      <c r="B272"/>
      <c r="C272"/>
      <c r="D272"/>
      <c r="E272"/>
      <c r="F272"/>
      <c r="G272"/>
      <c r="H272"/>
      <c r="I272"/>
      <c r="J272"/>
      <c r="K272"/>
    </row>
    <row r="273" spans="1:11" ht="15" x14ac:dyDescent="0.2">
      <c r="A273"/>
      <c r="B273"/>
      <c r="C273"/>
      <c r="D273"/>
      <c r="E273"/>
      <c r="F273"/>
      <c r="G273"/>
      <c r="H273"/>
      <c r="I273"/>
      <c r="J273"/>
      <c r="K273"/>
    </row>
    <row r="274" spans="1:11" ht="15" x14ac:dyDescent="0.2">
      <c r="A274"/>
      <c r="B274"/>
      <c r="C274"/>
      <c r="D274"/>
      <c r="E274"/>
      <c r="F274"/>
      <c r="G274"/>
      <c r="H274"/>
      <c r="I274"/>
      <c r="J274"/>
      <c r="K274"/>
    </row>
    <row r="275" spans="1:11" ht="15" x14ac:dyDescent="0.2">
      <c r="A275"/>
      <c r="B275"/>
      <c r="C275"/>
      <c r="D275"/>
      <c r="E275"/>
      <c r="F275"/>
      <c r="G275"/>
      <c r="H275"/>
      <c r="I275"/>
      <c r="J275"/>
      <c r="K275"/>
    </row>
    <row r="276" spans="1:11" ht="15" x14ac:dyDescent="0.2">
      <c r="A276"/>
      <c r="B276"/>
      <c r="C276"/>
      <c r="D276"/>
      <c r="E276"/>
      <c r="F276"/>
      <c r="G276"/>
      <c r="H276"/>
      <c r="I276"/>
      <c r="J276"/>
      <c r="K276"/>
    </row>
    <row r="277" spans="1:11" ht="15" x14ac:dyDescent="0.2">
      <c r="A277"/>
      <c r="B277"/>
      <c r="C277"/>
      <c r="D277"/>
      <c r="E277"/>
      <c r="F277"/>
      <c r="G277"/>
      <c r="H277"/>
      <c r="I277"/>
      <c r="J277"/>
      <c r="K277"/>
    </row>
    <row r="278" spans="1:11" ht="15" x14ac:dyDescent="0.2">
      <c r="A278"/>
      <c r="B278"/>
      <c r="C278"/>
      <c r="D278"/>
      <c r="E278"/>
      <c r="F278"/>
      <c r="G278"/>
      <c r="H278"/>
      <c r="I278"/>
      <c r="J278"/>
      <c r="K278"/>
    </row>
    <row r="279" spans="1:11" ht="15" x14ac:dyDescent="0.2">
      <c r="A279"/>
      <c r="B279"/>
      <c r="C279"/>
      <c r="D279"/>
      <c r="E279"/>
      <c r="F279"/>
      <c r="G279"/>
      <c r="H279"/>
      <c r="I279"/>
      <c r="J279"/>
      <c r="K279"/>
    </row>
    <row r="280" spans="1:11" ht="15" x14ac:dyDescent="0.2">
      <c r="A280"/>
      <c r="B280"/>
      <c r="C280"/>
      <c r="D280"/>
      <c r="E280"/>
      <c r="F280"/>
      <c r="G280"/>
      <c r="H280"/>
      <c r="I280"/>
      <c r="J280"/>
      <c r="K280"/>
    </row>
    <row r="281" spans="1:11" ht="15" x14ac:dyDescent="0.2">
      <c r="A281"/>
      <c r="B281"/>
      <c r="C281"/>
      <c r="D281"/>
      <c r="E281"/>
      <c r="F281"/>
      <c r="G281"/>
      <c r="H281"/>
      <c r="I281"/>
      <c r="J281"/>
      <c r="K281"/>
    </row>
    <row r="282" spans="1:11" ht="15" x14ac:dyDescent="0.2">
      <c r="A282"/>
      <c r="B282"/>
      <c r="C282"/>
      <c r="D282"/>
      <c r="E282"/>
      <c r="F282"/>
      <c r="G282"/>
      <c r="H282"/>
      <c r="I282"/>
      <c r="J282"/>
      <c r="K282"/>
    </row>
    <row r="283" spans="1:11" ht="15" x14ac:dyDescent="0.2">
      <c r="A283"/>
      <c r="B283"/>
      <c r="C283"/>
      <c r="D283"/>
      <c r="E283"/>
      <c r="F283"/>
      <c r="G283"/>
      <c r="H283"/>
      <c r="I283"/>
      <c r="J283"/>
      <c r="K283"/>
    </row>
    <row r="284" spans="1:11" ht="15" x14ac:dyDescent="0.2">
      <c r="A284"/>
      <c r="B284"/>
      <c r="C284"/>
      <c r="D284"/>
      <c r="E284"/>
      <c r="F284"/>
      <c r="G284"/>
      <c r="H284"/>
      <c r="I284"/>
      <c r="J284"/>
      <c r="K284"/>
    </row>
    <row r="285" spans="1:11" ht="15" x14ac:dyDescent="0.2">
      <c r="A285"/>
      <c r="B285"/>
      <c r="C285"/>
      <c r="D285"/>
      <c r="E285"/>
      <c r="F285"/>
      <c r="G285"/>
      <c r="H285"/>
      <c r="I285"/>
      <c r="J285"/>
      <c r="K285"/>
    </row>
    <row r="286" spans="1:11" ht="15" x14ac:dyDescent="0.2">
      <c r="A286"/>
      <c r="B286"/>
      <c r="C286"/>
      <c r="D286"/>
      <c r="E286"/>
      <c r="F286"/>
      <c r="G286"/>
      <c r="H286"/>
      <c r="I286"/>
      <c r="J286"/>
      <c r="K286"/>
    </row>
    <row r="287" spans="1:11" ht="15" x14ac:dyDescent="0.2">
      <c r="A287"/>
      <c r="B287"/>
      <c r="C287"/>
      <c r="D287"/>
      <c r="E287"/>
      <c r="F287"/>
      <c r="G287"/>
      <c r="H287"/>
      <c r="I287"/>
      <c r="J287"/>
      <c r="K287"/>
    </row>
    <row r="288" spans="1:11" ht="15" x14ac:dyDescent="0.2">
      <c r="A288"/>
      <c r="B288"/>
      <c r="C288"/>
      <c r="D288"/>
      <c r="E288"/>
      <c r="F288"/>
      <c r="G288"/>
      <c r="H288"/>
      <c r="I288"/>
      <c r="J288"/>
      <c r="K288"/>
    </row>
    <row r="289" spans="1:11" ht="15" x14ac:dyDescent="0.2">
      <c r="A289"/>
      <c r="B289"/>
      <c r="C289"/>
      <c r="D289"/>
      <c r="E289"/>
      <c r="F289"/>
      <c r="G289"/>
      <c r="H289"/>
      <c r="I289"/>
      <c r="J289"/>
      <c r="K289"/>
    </row>
    <row r="290" spans="1:11" ht="15" x14ac:dyDescent="0.2">
      <c r="A290"/>
      <c r="B290"/>
      <c r="C290"/>
      <c r="D290"/>
      <c r="E290"/>
      <c r="F290"/>
      <c r="G290"/>
      <c r="H290"/>
      <c r="I290"/>
      <c r="J290"/>
      <c r="K290"/>
    </row>
    <row r="291" spans="1:11" ht="15" x14ac:dyDescent="0.2">
      <c r="A291"/>
      <c r="B291"/>
      <c r="C291"/>
      <c r="D291"/>
      <c r="E291"/>
      <c r="F291"/>
      <c r="G291"/>
      <c r="H291"/>
      <c r="I291"/>
      <c r="J291"/>
      <c r="K291"/>
    </row>
    <row r="292" spans="1:11" ht="15" x14ac:dyDescent="0.2">
      <c r="A292"/>
      <c r="B292"/>
      <c r="C292"/>
      <c r="D292"/>
      <c r="E292"/>
      <c r="F292"/>
      <c r="G292"/>
      <c r="H292"/>
      <c r="I292"/>
      <c r="J292"/>
      <c r="K292"/>
    </row>
    <row r="293" spans="1:11" ht="15" x14ac:dyDescent="0.2">
      <c r="A293"/>
      <c r="B293"/>
      <c r="C293"/>
      <c r="D293"/>
      <c r="E293"/>
      <c r="F293"/>
      <c r="G293"/>
      <c r="H293"/>
      <c r="I293"/>
      <c r="J293"/>
      <c r="K293"/>
    </row>
    <row r="294" spans="1:11" ht="15" x14ac:dyDescent="0.2">
      <c r="A294"/>
      <c r="B294"/>
      <c r="C294"/>
      <c r="D294"/>
      <c r="E294"/>
      <c r="F294"/>
      <c r="G294"/>
      <c r="H294"/>
      <c r="I294"/>
      <c r="J294"/>
      <c r="K294"/>
    </row>
    <row r="295" spans="1:11" ht="15" x14ac:dyDescent="0.2">
      <c r="A295"/>
      <c r="B295"/>
      <c r="C295"/>
      <c r="D295"/>
      <c r="E295"/>
      <c r="F295"/>
      <c r="G295"/>
      <c r="H295"/>
      <c r="I295"/>
      <c r="J295"/>
      <c r="K295"/>
    </row>
    <row r="296" spans="1:11" ht="15" x14ac:dyDescent="0.2">
      <c r="A296"/>
      <c r="B296"/>
      <c r="C296"/>
      <c r="D296"/>
      <c r="E296"/>
      <c r="F296"/>
      <c r="G296"/>
      <c r="H296"/>
      <c r="I296"/>
      <c r="J296"/>
      <c r="K296"/>
    </row>
    <row r="297" spans="1:11" ht="15" x14ac:dyDescent="0.2">
      <c r="A297"/>
      <c r="B297"/>
      <c r="C297"/>
      <c r="D297"/>
      <c r="E297"/>
      <c r="F297"/>
      <c r="G297"/>
      <c r="H297"/>
      <c r="I297"/>
      <c r="J297"/>
      <c r="K297"/>
    </row>
    <row r="298" spans="1:11" ht="15" x14ac:dyDescent="0.2">
      <c r="A298"/>
      <c r="B298"/>
      <c r="C298"/>
      <c r="D298"/>
      <c r="E298"/>
      <c r="F298"/>
      <c r="G298"/>
      <c r="H298"/>
      <c r="I298"/>
      <c r="J298"/>
      <c r="K298"/>
    </row>
    <row r="299" spans="1:11" ht="15" x14ac:dyDescent="0.2">
      <c r="A299"/>
      <c r="B299"/>
      <c r="C299"/>
      <c r="D299"/>
      <c r="E299"/>
      <c r="F299"/>
      <c r="G299"/>
      <c r="H299"/>
      <c r="I299"/>
      <c r="J299"/>
      <c r="K299"/>
    </row>
    <row r="300" spans="1:11" ht="15" x14ac:dyDescent="0.2">
      <c r="A300"/>
      <c r="B300"/>
      <c r="C300"/>
      <c r="D300"/>
      <c r="E300"/>
      <c r="F300"/>
      <c r="G300"/>
      <c r="H300"/>
      <c r="I300"/>
      <c r="J300"/>
      <c r="K300"/>
    </row>
    <row r="301" spans="1:11" ht="15" x14ac:dyDescent="0.2">
      <c r="A301"/>
      <c r="B301"/>
      <c r="C301"/>
      <c r="D301"/>
      <c r="E301"/>
      <c r="F301"/>
      <c r="G301"/>
      <c r="H301"/>
      <c r="I301"/>
      <c r="J301"/>
      <c r="K301"/>
    </row>
    <row r="302" spans="1:11" ht="15" x14ac:dyDescent="0.2">
      <c r="A302"/>
      <c r="B302"/>
      <c r="C302"/>
      <c r="D302"/>
      <c r="E302"/>
      <c r="F302"/>
      <c r="G302"/>
      <c r="H302"/>
      <c r="I302"/>
      <c r="J302"/>
      <c r="K302"/>
    </row>
    <row r="303" spans="1:11" ht="15" x14ac:dyDescent="0.2">
      <c r="A303"/>
      <c r="B303"/>
      <c r="C303"/>
      <c r="D303"/>
      <c r="E303"/>
      <c r="F303"/>
      <c r="G303"/>
      <c r="H303"/>
      <c r="I303"/>
      <c r="J303"/>
      <c r="K303"/>
    </row>
    <row r="304" spans="1:11" ht="15" x14ac:dyDescent="0.2">
      <c r="A304"/>
      <c r="B304"/>
      <c r="C304"/>
      <c r="D304"/>
      <c r="E304"/>
      <c r="F304"/>
      <c r="G304"/>
      <c r="H304"/>
      <c r="I304"/>
      <c r="J304"/>
      <c r="K304"/>
    </row>
    <row r="305" spans="1:11" ht="15" x14ac:dyDescent="0.2">
      <c r="A305"/>
      <c r="B305"/>
      <c r="C305"/>
      <c r="D305"/>
      <c r="E305"/>
      <c r="F305"/>
      <c r="G305"/>
      <c r="H305"/>
      <c r="I305"/>
      <c r="J305"/>
      <c r="K305"/>
    </row>
    <row r="306" spans="1:11" ht="15" x14ac:dyDescent="0.2">
      <c r="A306"/>
      <c r="B306"/>
      <c r="C306"/>
      <c r="D306"/>
      <c r="E306"/>
      <c r="F306"/>
      <c r="G306"/>
      <c r="H306"/>
      <c r="I306"/>
      <c r="J306"/>
      <c r="K306"/>
    </row>
    <row r="307" spans="1:11" ht="15" x14ac:dyDescent="0.2">
      <c r="A307"/>
      <c r="B307"/>
      <c r="C307"/>
      <c r="D307"/>
      <c r="E307"/>
      <c r="F307"/>
      <c r="G307"/>
      <c r="H307"/>
      <c r="I307"/>
      <c r="J307"/>
      <c r="K307"/>
    </row>
    <row r="308" spans="1:11" ht="15" x14ac:dyDescent="0.2">
      <c r="A308"/>
      <c r="B308"/>
      <c r="C308"/>
      <c r="D308"/>
      <c r="E308"/>
      <c r="F308"/>
      <c r="G308"/>
      <c r="H308"/>
      <c r="I308"/>
      <c r="J308"/>
      <c r="K308"/>
    </row>
    <row r="309" spans="1:11" ht="15" x14ac:dyDescent="0.2">
      <c r="A309"/>
      <c r="B309"/>
      <c r="C309"/>
      <c r="D309"/>
      <c r="E309"/>
      <c r="F309"/>
      <c r="G309"/>
      <c r="H309"/>
      <c r="I309"/>
      <c r="J309"/>
      <c r="K309"/>
    </row>
    <row r="310" spans="1:11" ht="15" x14ac:dyDescent="0.2">
      <c r="A310"/>
      <c r="B310"/>
      <c r="C310"/>
      <c r="D310"/>
      <c r="E310"/>
      <c r="F310"/>
      <c r="G310"/>
      <c r="H310"/>
      <c r="I310"/>
      <c r="J310"/>
      <c r="K310"/>
    </row>
    <row r="311" spans="1:11" ht="15" x14ac:dyDescent="0.2">
      <c r="A311"/>
      <c r="B311"/>
      <c r="C311"/>
      <c r="D311"/>
      <c r="E311"/>
      <c r="F311"/>
      <c r="G311"/>
      <c r="H311"/>
      <c r="I311"/>
      <c r="J311"/>
      <c r="K311"/>
    </row>
    <row r="312" spans="1:11" ht="15" x14ac:dyDescent="0.2">
      <c r="A312"/>
      <c r="B312"/>
      <c r="C312"/>
      <c r="D312"/>
      <c r="E312"/>
      <c r="F312"/>
      <c r="G312"/>
      <c r="H312"/>
      <c r="I312"/>
      <c r="J312"/>
      <c r="K312"/>
    </row>
    <row r="313" spans="1:11" ht="15" x14ac:dyDescent="0.2">
      <c r="A313"/>
      <c r="B313"/>
      <c r="C313"/>
      <c r="D313"/>
      <c r="E313"/>
      <c r="F313"/>
      <c r="G313"/>
      <c r="H313"/>
      <c r="I313"/>
      <c r="J313"/>
      <c r="K313"/>
    </row>
    <row r="314" spans="1:11" ht="15" x14ac:dyDescent="0.2">
      <c r="A314"/>
      <c r="B314"/>
      <c r="C314"/>
      <c r="D314"/>
      <c r="E314"/>
      <c r="F314"/>
      <c r="G314"/>
      <c r="H314"/>
      <c r="I314"/>
      <c r="J314"/>
      <c r="K314"/>
    </row>
    <row r="315" spans="1:11" ht="15" x14ac:dyDescent="0.2">
      <c r="A315"/>
      <c r="B315"/>
      <c r="C315"/>
      <c r="D315"/>
      <c r="E315"/>
      <c r="F315"/>
      <c r="G315"/>
      <c r="H315"/>
      <c r="I315"/>
      <c r="J315"/>
      <c r="K315"/>
    </row>
    <row r="316" spans="1:11" ht="15" x14ac:dyDescent="0.2">
      <c r="A316"/>
      <c r="B316"/>
      <c r="C316"/>
      <c r="D316"/>
      <c r="E316"/>
      <c r="F316"/>
      <c r="G316"/>
      <c r="H316"/>
      <c r="I316"/>
      <c r="J316"/>
      <c r="K316"/>
    </row>
    <row r="317" spans="1:11" ht="15" x14ac:dyDescent="0.2">
      <c r="A317"/>
      <c r="B317"/>
      <c r="C317"/>
      <c r="D317"/>
      <c r="E317"/>
      <c r="F317"/>
      <c r="G317"/>
      <c r="H317"/>
      <c r="I317"/>
      <c r="J317"/>
      <c r="K317"/>
    </row>
    <row r="318" spans="1:11" ht="15" x14ac:dyDescent="0.2">
      <c r="A318"/>
      <c r="B318"/>
      <c r="C318"/>
      <c r="D318"/>
      <c r="E318"/>
      <c r="F318"/>
      <c r="G318"/>
      <c r="H318"/>
      <c r="I318"/>
      <c r="J318"/>
      <c r="K318"/>
    </row>
    <row r="319" spans="1:11" ht="15" x14ac:dyDescent="0.2">
      <c r="A319"/>
      <c r="B319"/>
      <c r="C319"/>
      <c r="D319"/>
      <c r="E319"/>
      <c r="F319"/>
      <c r="G319"/>
      <c r="H319"/>
      <c r="I319"/>
      <c r="J319"/>
      <c r="K319"/>
    </row>
    <row r="320" spans="1:11" ht="15" x14ac:dyDescent="0.2">
      <c r="A320"/>
      <c r="B320"/>
      <c r="C320"/>
      <c r="D320"/>
      <c r="E320"/>
      <c r="F320"/>
      <c r="G320"/>
      <c r="H320"/>
      <c r="I320"/>
      <c r="J320"/>
      <c r="K320"/>
    </row>
    <row r="321" spans="1:11" ht="15" x14ac:dyDescent="0.2">
      <c r="A321"/>
      <c r="B321"/>
      <c r="C321"/>
      <c r="D321"/>
      <c r="E321"/>
      <c r="F321"/>
      <c r="G321"/>
      <c r="H321"/>
      <c r="I321"/>
      <c r="J321"/>
      <c r="K321"/>
    </row>
    <row r="322" spans="1:11" ht="15" x14ac:dyDescent="0.2">
      <c r="A322"/>
      <c r="B322"/>
      <c r="C322"/>
      <c r="D322"/>
      <c r="E322"/>
      <c r="F322"/>
      <c r="G322"/>
      <c r="H322"/>
      <c r="I322"/>
      <c r="J322"/>
      <c r="K322"/>
    </row>
    <row r="323" spans="1:11" ht="15" x14ac:dyDescent="0.2">
      <c r="A323"/>
      <c r="B323"/>
      <c r="C323"/>
      <c r="D323"/>
      <c r="E323"/>
      <c r="F323"/>
      <c r="G323"/>
      <c r="H323"/>
      <c r="I323"/>
      <c r="J323"/>
      <c r="K323"/>
    </row>
    <row r="324" spans="1:11" ht="15" x14ac:dyDescent="0.2">
      <c r="A324"/>
      <c r="B324"/>
      <c r="C324"/>
      <c r="D324"/>
      <c r="E324"/>
      <c r="F324"/>
      <c r="G324"/>
      <c r="H324"/>
      <c r="I324"/>
      <c r="J324"/>
      <c r="K324"/>
    </row>
    <row r="325" spans="1:11" ht="15" x14ac:dyDescent="0.2">
      <c r="A325"/>
      <c r="B325"/>
      <c r="C325"/>
      <c r="D325"/>
      <c r="E325"/>
      <c r="F325"/>
      <c r="G325"/>
      <c r="H325"/>
      <c r="I325"/>
      <c r="J325"/>
      <c r="K325"/>
    </row>
    <row r="326" spans="1:11" ht="15" x14ac:dyDescent="0.2">
      <c r="A326"/>
      <c r="B326"/>
      <c r="C326"/>
      <c r="D326"/>
      <c r="E326"/>
      <c r="F326"/>
      <c r="G326"/>
      <c r="H326"/>
      <c r="I326"/>
      <c r="J326"/>
      <c r="K326"/>
    </row>
    <row r="327" spans="1:11" ht="15" x14ac:dyDescent="0.2">
      <c r="A327"/>
      <c r="B327"/>
      <c r="C327"/>
      <c r="D327"/>
      <c r="E327"/>
      <c r="F327"/>
      <c r="G327"/>
      <c r="H327"/>
      <c r="I327"/>
      <c r="J327"/>
      <c r="K327"/>
    </row>
    <row r="328" spans="1:11" ht="15" x14ac:dyDescent="0.2">
      <c r="A328"/>
      <c r="B328"/>
      <c r="C328"/>
      <c r="D328"/>
      <c r="E328"/>
      <c r="F328"/>
      <c r="G328"/>
      <c r="H328"/>
      <c r="I328"/>
      <c r="J328"/>
      <c r="K328"/>
    </row>
    <row r="329" spans="1:11" ht="15" x14ac:dyDescent="0.2">
      <c r="A329"/>
      <c r="B329"/>
      <c r="C329"/>
      <c r="D329"/>
      <c r="E329"/>
      <c r="F329"/>
      <c r="G329"/>
      <c r="H329"/>
      <c r="I329"/>
      <c r="J329"/>
      <c r="K329"/>
    </row>
    <row r="330" spans="1:11" ht="15" x14ac:dyDescent="0.2">
      <c r="A330"/>
      <c r="B330"/>
      <c r="C330"/>
      <c r="D330"/>
      <c r="E330"/>
      <c r="F330"/>
      <c r="G330"/>
      <c r="H330"/>
      <c r="I330"/>
      <c r="J330"/>
      <c r="K330"/>
    </row>
    <row r="331" spans="1:11" ht="15" x14ac:dyDescent="0.2">
      <c r="A331"/>
      <c r="B331"/>
      <c r="C331"/>
      <c r="D331"/>
      <c r="E331"/>
      <c r="F331"/>
      <c r="G331"/>
      <c r="H331"/>
      <c r="I331"/>
      <c r="J331"/>
      <c r="K331"/>
    </row>
    <row r="332" spans="1:11" ht="15" x14ac:dyDescent="0.2">
      <c r="A332"/>
      <c r="B332"/>
      <c r="C332"/>
      <c r="D332"/>
      <c r="E332"/>
      <c r="F332"/>
      <c r="G332"/>
      <c r="H332"/>
      <c r="I332"/>
      <c r="J332"/>
      <c r="K332"/>
    </row>
    <row r="333" spans="1:11" ht="15" x14ac:dyDescent="0.2">
      <c r="A333"/>
      <c r="B333"/>
      <c r="C333"/>
      <c r="D333"/>
      <c r="E333"/>
      <c r="F333"/>
      <c r="G333"/>
      <c r="H333"/>
      <c r="I333"/>
      <c r="J333"/>
      <c r="K333"/>
    </row>
    <row r="334" spans="1:11" ht="15" x14ac:dyDescent="0.2">
      <c r="A334"/>
      <c r="B334"/>
      <c r="C334"/>
      <c r="D334"/>
      <c r="E334"/>
      <c r="F334"/>
      <c r="G334"/>
      <c r="H334"/>
      <c r="I334"/>
      <c r="J334"/>
      <c r="K334"/>
    </row>
    <row r="335" spans="1:11" ht="15" x14ac:dyDescent="0.2">
      <c r="A335"/>
      <c r="B335"/>
      <c r="C335"/>
      <c r="D335"/>
      <c r="E335"/>
      <c r="F335"/>
      <c r="G335"/>
      <c r="H335"/>
      <c r="I335"/>
      <c r="J335"/>
      <c r="K335"/>
    </row>
    <row r="336" spans="1:11" ht="15" x14ac:dyDescent="0.2">
      <c r="A336"/>
      <c r="B336"/>
      <c r="C336"/>
      <c r="D336"/>
      <c r="E336"/>
      <c r="F336"/>
      <c r="G336"/>
      <c r="H336"/>
      <c r="I336"/>
      <c r="J336"/>
      <c r="K336"/>
    </row>
    <row r="337" spans="1:11" ht="15" x14ac:dyDescent="0.2">
      <c r="A337"/>
      <c r="B337"/>
      <c r="C337"/>
      <c r="D337"/>
      <c r="E337"/>
      <c r="F337"/>
      <c r="G337"/>
      <c r="H337"/>
      <c r="I337"/>
      <c r="J337"/>
      <c r="K337"/>
    </row>
    <row r="338" spans="1:11" ht="15" x14ac:dyDescent="0.2">
      <c r="A338"/>
      <c r="B338"/>
      <c r="C338"/>
      <c r="D338"/>
      <c r="E338"/>
      <c r="F338"/>
      <c r="G338"/>
      <c r="H338"/>
      <c r="I338"/>
      <c r="J338"/>
      <c r="K338"/>
    </row>
    <row r="339" spans="1:11" ht="15" x14ac:dyDescent="0.2">
      <c r="A339"/>
      <c r="B339"/>
      <c r="C339"/>
      <c r="D339"/>
      <c r="E339"/>
      <c r="F339"/>
      <c r="G339"/>
      <c r="H339"/>
      <c r="I339"/>
      <c r="J339"/>
      <c r="K339"/>
    </row>
    <row r="340" spans="1:11" ht="15" x14ac:dyDescent="0.2">
      <c r="A340"/>
      <c r="B340"/>
      <c r="C340"/>
      <c r="D340"/>
      <c r="E340"/>
      <c r="F340"/>
      <c r="G340"/>
      <c r="H340"/>
      <c r="I340"/>
      <c r="J340"/>
      <c r="K340"/>
    </row>
    <row r="341" spans="1:11" ht="15" x14ac:dyDescent="0.2">
      <c r="A341"/>
      <c r="B341"/>
      <c r="C341"/>
      <c r="D341"/>
      <c r="E341"/>
      <c r="F341"/>
      <c r="G341"/>
      <c r="H341"/>
      <c r="I341"/>
      <c r="J341"/>
      <c r="K341"/>
    </row>
    <row r="342" spans="1:11" ht="15" x14ac:dyDescent="0.2">
      <c r="A342"/>
      <c r="B342"/>
      <c r="C342"/>
      <c r="D342"/>
      <c r="E342"/>
      <c r="F342"/>
      <c r="G342"/>
      <c r="H342"/>
      <c r="I342"/>
      <c r="J342"/>
      <c r="K342"/>
    </row>
    <row r="343" spans="1:11" ht="15" x14ac:dyDescent="0.2">
      <c r="A343"/>
      <c r="B343"/>
      <c r="C343"/>
      <c r="D343"/>
      <c r="E343"/>
      <c r="F343"/>
      <c r="G343"/>
      <c r="H343"/>
      <c r="I343"/>
      <c r="J343"/>
      <c r="K343"/>
    </row>
    <row r="344" spans="1:11" ht="15" x14ac:dyDescent="0.2">
      <c r="A344"/>
      <c r="B344"/>
      <c r="C344"/>
      <c r="D344"/>
      <c r="E344"/>
      <c r="F344"/>
      <c r="G344"/>
      <c r="H344"/>
      <c r="I344"/>
      <c r="J344"/>
      <c r="K344"/>
    </row>
    <row r="345" spans="1:11" ht="15" x14ac:dyDescent="0.2">
      <c r="A345"/>
      <c r="B345"/>
      <c r="C345"/>
      <c r="D345"/>
      <c r="E345"/>
      <c r="F345"/>
      <c r="G345"/>
      <c r="H345"/>
      <c r="I345"/>
      <c r="J345"/>
      <c r="K345"/>
    </row>
    <row r="346" spans="1:11" ht="15" x14ac:dyDescent="0.2">
      <c r="A346"/>
      <c r="B346"/>
      <c r="C346"/>
      <c r="D346"/>
      <c r="E346"/>
      <c r="F346"/>
      <c r="G346"/>
      <c r="H346"/>
      <c r="I346"/>
      <c r="J346"/>
      <c r="K346"/>
    </row>
    <row r="347" spans="1:11" ht="15" x14ac:dyDescent="0.2">
      <c r="A347"/>
      <c r="B347"/>
      <c r="C347"/>
      <c r="D347"/>
      <c r="E347"/>
      <c r="F347"/>
      <c r="G347"/>
      <c r="H347"/>
      <c r="I347"/>
      <c r="J347"/>
      <c r="K347"/>
    </row>
    <row r="348" spans="1:11" ht="15" x14ac:dyDescent="0.2">
      <c r="A348"/>
      <c r="B348"/>
      <c r="C348"/>
      <c r="D348"/>
      <c r="E348"/>
      <c r="F348"/>
      <c r="G348"/>
      <c r="H348"/>
      <c r="I348"/>
      <c r="J348"/>
      <c r="K348"/>
    </row>
    <row r="349" spans="1:11" ht="15" x14ac:dyDescent="0.2">
      <c r="A349"/>
      <c r="B349"/>
      <c r="C349"/>
      <c r="D349"/>
      <c r="E349"/>
      <c r="F349"/>
      <c r="G349"/>
      <c r="H349"/>
      <c r="I349"/>
      <c r="J349"/>
      <c r="K349"/>
    </row>
    <row r="350" spans="1:11" ht="15" x14ac:dyDescent="0.2">
      <c r="A350"/>
      <c r="B350"/>
      <c r="C350"/>
      <c r="D350"/>
      <c r="E350"/>
      <c r="F350"/>
      <c r="G350"/>
      <c r="H350"/>
      <c r="I350"/>
      <c r="J350"/>
      <c r="K350"/>
    </row>
    <row r="351" spans="1:11" ht="15" x14ac:dyDescent="0.2">
      <c r="A351"/>
      <c r="B351"/>
      <c r="C351"/>
      <c r="D351"/>
      <c r="E351"/>
      <c r="F351"/>
      <c r="G351"/>
      <c r="H351"/>
      <c r="I351"/>
      <c r="J351"/>
      <c r="K351"/>
    </row>
    <row r="352" spans="1:11" ht="15" x14ac:dyDescent="0.2">
      <c r="A352"/>
      <c r="B352"/>
      <c r="C352"/>
      <c r="D352"/>
      <c r="E352"/>
      <c r="F352"/>
      <c r="G352"/>
      <c r="H352"/>
      <c r="I352"/>
      <c r="J352"/>
      <c r="K352"/>
    </row>
    <row r="353" spans="1:11" ht="15" x14ac:dyDescent="0.2">
      <c r="A353"/>
      <c r="B353"/>
      <c r="C353"/>
      <c r="D353"/>
      <c r="E353"/>
      <c r="F353"/>
      <c r="G353"/>
      <c r="H353"/>
      <c r="I353"/>
      <c r="J353"/>
      <c r="K353"/>
    </row>
    <row r="354" spans="1:11" ht="15" x14ac:dyDescent="0.2">
      <c r="A354"/>
      <c r="B354"/>
      <c r="C354"/>
      <c r="D354"/>
      <c r="E354"/>
      <c r="F354"/>
      <c r="G354"/>
      <c r="H354"/>
      <c r="I354"/>
      <c r="J354"/>
      <c r="K354"/>
    </row>
    <row r="355" spans="1:11" ht="15" x14ac:dyDescent="0.2">
      <c r="A355"/>
      <c r="B355"/>
      <c r="C355"/>
      <c r="D355"/>
      <c r="E355"/>
      <c r="F355"/>
      <c r="G355"/>
      <c r="H355"/>
      <c r="I355"/>
      <c r="J355"/>
      <c r="K355"/>
    </row>
    <row r="356" spans="1:11" ht="15" x14ac:dyDescent="0.2">
      <c r="A356"/>
      <c r="B356"/>
      <c r="C356"/>
      <c r="D356"/>
      <c r="E356"/>
      <c r="F356"/>
      <c r="G356"/>
      <c r="H356"/>
      <c r="I356"/>
      <c r="J356"/>
      <c r="K356"/>
    </row>
    <row r="357" spans="1:11" ht="15" x14ac:dyDescent="0.2">
      <c r="A357"/>
      <c r="B357"/>
      <c r="C357"/>
      <c r="D357"/>
      <c r="E357"/>
      <c r="F357"/>
      <c r="G357"/>
      <c r="H357"/>
      <c r="I357"/>
      <c r="J357"/>
      <c r="K357"/>
    </row>
    <row r="358" spans="1:11" ht="15" x14ac:dyDescent="0.2">
      <c r="A358"/>
      <c r="B358"/>
      <c r="C358"/>
      <c r="D358"/>
      <c r="E358"/>
      <c r="F358"/>
      <c r="G358"/>
      <c r="H358"/>
      <c r="I358"/>
      <c r="J358"/>
      <c r="K358"/>
    </row>
    <row r="359" spans="1:11" ht="15" x14ac:dyDescent="0.2">
      <c r="A359"/>
      <c r="B359"/>
      <c r="C359"/>
      <c r="D359"/>
      <c r="E359"/>
      <c r="F359"/>
      <c r="G359"/>
      <c r="H359"/>
      <c r="I359"/>
      <c r="J359"/>
      <c r="K359"/>
    </row>
    <row r="360" spans="1:11" ht="15" x14ac:dyDescent="0.2">
      <c r="A360"/>
      <c r="B360"/>
      <c r="C360"/>
      <c r="D360"/>
      <c r="E360"/>
      <c r="F360"/>
      <c r="G360"/>
      <c r="H360"/>
      <c r="I360"/>
      <c r="J360"/>
      <c r="K360"/>
    </row>
    <row r="361" spans="1:11" ht="15" x14ac:dyDescent="0.2">
      <c r="A361" s="70"/>
      <c r="B361" s="70"/>
      <c r="C361" s="70"/>
      <c r="D361" s="70"/>
      <c r="E361" s="70"/>
      <c r="F361" s="70"/>
      <c r="G361" s="70"/>
      <c r="H361" s="70"/>
      <c r="I361" s="70"/>
      <c r="J361" s="70"/>
    </row>
    <row r="362" spans="1:11" ht="15" x14ac:dyDescent="0.2">
      <c r="A362" s="70"/>
      <c r="B362" s="70"/>
      <c r="C362" s="70"/>
      <c r="D362" s="70"/>
      <c r="E362" s="70"/>
      <c r="F362" s="70"/>
      <c r="G362" s="70"/>
      <c r="H362" s="70"/>
      <c r="I362" s="70"/>
      <c r="J362" s="70"/>
    </row>
    <row r="363" spans="1:11" ht="15" x14ac:dyDescent="0.2">
      <c r="A363" s="70"/>
      <c r="B363" s="70"/>
      <c r="C363" s="70"/>
      <c r="D363" s="70"/>
      <c r="E363" s="70"/>
      <c r="F363" s="70"/>
      <c r="G363" s="70"/>
      <c r="H363" s="70"/>
      <c r="I363" s="70"/>
      <c r="J363" s="70"/>
    </row>
    <row r="364" spans="1:11" ht="15" x14ac:dyDescent="0.2">
      <c r="A364" s="70"/>
      <c r="B364" s="70"/>
      <c r="C364" s="70"/>
      <c r="D364" s="70"/>
      <c r="E364" s="70"/>
      <c r="F364" s="70"/>
      <c r="G364" s="70"/>
      <c r="H364" s="70"/>
      <c r="I364" s="70"/>
      <c r="J364" s="70"/>
    </row>
    <row r="365" spans="1:11" ht="15" x14ac:dyDescent="0.2">
      <c r="A365" s="70"/>
      <c r="B365" s="70"/>
      <c r="C365" s="70"/>
      <c r="D365" s="70"/>
      <c r="E365" s="70"/>
      <c r="F365" s="70"/>
      <c r="G365" s="70"/>
      <c r="H365" s="70"/>
      <c r="I365" s="70"/>
      <c r="J365" s="70"/>
    </row>
    <row r="366" spans="1:11" ht="15" x14ac:dyDescent="0.2">
      <c r="A366" s="70"/>
      <c r="B366" s="70"/>
      <c r="C366" s="70"/>
      <c r="D366" s="70"/>
      <c r="E366" s="70"/>
      <c r="F366" s="70"/>
      <c r="G366" s="70"/>
      <c r="H366" s="70"/>
      <c r="I366" s="70"/>
      <c r="J366" s="70"/>
    </row>
    <row r="367" spans="1:11" ht="15" x14ac:dyDescent="0.2">
      <c r="A367" s="70"/>
      <c r="B367" s="70"/>
      <c r="C367" s="70"/>
      <c r="D367" s="70"/>
      <c r="E367" s="70"/>
      <c r="F367" s="70"/>
      <c r="G367" s="70"/>
      <c r="H367" s="70"/>
      <c r="I367" s="70"/>
      <c r="J367" s="70"/>
    </row>
    <row r="368" spans="1:11" ht="15" x14ac:dyDescent="0.2">
      <c r="A368" s="70"/>
      <c r="B368" s="70"/>
      <c r="C368" s="70"/>
      <c r="D368" s="70"/>
      <c r="E368" s="70"/>
      <c r="F368" s="70"/>
      <c r="G368" s="70"/>
      <c r="H368" s="70"/>
      <c r="I368" s="70"/>
      <c r="J368" s="70"/>
    </row>
    <row r="369" spans="1:10" ht="15" x14ac:dyDescent="0.2">
      <c r="A369" s="70"/>
      <c r="B369" s="70"/>
      <c r="C369" s="70"/>
      <c r="D369" s="70"/>
      <c r="E369" s="70"/>
      <c r="F369" s="70"/>
      <c r="G369" s="70"/>
      <c r="H369" s="70"/>
      <c r="I369" s="70"/>
      <c r="J369" s="70"/>
    </row>
    <row r="370" spans="1:10" ht="15" x14ac:dyDescent="0.2">
      <c r="A370" s="70"/>
      <c r="B370" s="70"/>
      <c r="C370" s="70"/>
      <c r="D370" s="70"/>
      <c r="E370" s="70"/>
      <c r="F370" s="70"/>
      <c r="G370" s="70"/>
      <c r="H370" s="70"/>
      <c r="I370" s="70"/>
      <c r="J370" s="70"/>
    </row>
    <row r="371" spans="1:10" ht="15" x14ac:dyDescent="0.2">
      <c r="A371" s="70"/>
      <c r="B371" s="70"/>
      <c r="C371" s="70"/>
      <c r="D371" s="70"/>
      <c r="E371" s="70"/>
      <c r="F371" s="70"/>
      <c r="G371" s="70"/>
      <c r="H371" s="70"/>
      <c r="I371" s="70"/>
      <c r="J371" s="70"/>
    </row>
    <row r="372" spans="1:10" ht="15" x14ac:dyDescent="0.2">
      <c r="A372" s="70"/>
      <c r="B372" s="70"/>
      <c r="C372" s="70"/>
      <c r="D372" s="70"/>
      <c r="E372" s="70"/>
      <c r="F372" s="70"/>
      <c r="G372" s="70"/>
      <c r="H372" s="70"/>
      <c r="I372" s="70"/>
      <c r="J372" s="70"/>
    </row>
    <row r="373" spans="1:10" ht="15" x14ac:dyDescent="0.2">
      <c r="A373" s="70"/>
      <c r="B373" s="70"/>
      <c r="C373" s="70"/>
      <c r="D373" s="70"/>
      <c r="E373" s="70"/>
      <c r="F373" s="70"/>
      <c r="G373" s="70"/>
      <c r="H373" s="70"/>
      <c r="I373" s="70"/>
      <c r="J373" s="70"/>
    </row>
    <row r="374" spans="1:10" ht="15" x14ac:dyDescent="0.2">
      <c r="A374" s="70"/>
      <c r="B374" s="70"/>
      <c r="C374" s="70"/>
      <c r="D374" s="70"/>
      <c r="E374" s="70"/>
      <c r="F374" s="70"/>
      <c r="G374" s="70"/>
      <c r="H374" s="70"/>
      <c r="I374" s="70"/>
      <c r="J374" s="70"/>
    </row>
    <row r="375" spans="1:10" ht="15" x14ac:dyDescent="0.2">
      <c r="A375" s="70"/>
      <c r="B375" s="70"/>
      <c r="C375" s="70"/>
      <c r="D375" s="70"/>
      <c r="E375" s="70"/>
      <c r="F375" s="70"/>
      <c r="G375" s="70"/>
      <c r="H375" s="70"/>
      <c r="I375" s="70"/>
      <c r="J375" s="70"/>
    </row>
    <row r="376" spans="1:10" ht="15" x14ac:dyDescent="0.2">
      <c r="A376" s="70"/>
      <c r="B376" s="70"/>
      <c r="C376" s="70"/>
      <c r="D376" s="70"/>
      <c r="E376" s="70"/>
      <c r="F376" s="70"/>
      <c r="G376" s="70"/>
      <c r="H376" s="70"/>
      <c r="I376" s="70"/>
      <c r="J376" s="70"/>
    </row>
    <row r="377" spans="1:10" ht="15" x14ac:dyDescent="0.2">
      <c r="A377" s="70"/>
      <c r="B377" s="70"/>
      <c r="C377" s="70"/>
      <c r="D377" s="70"/>
      <c r="E377" s="70"/>
      <c r="F377" s="70"/>
      <c r="G377" s="70"/>
      <c r="H377" s="70"/>
      <c r="I377" s="70"/>
      <c r="J377" s="70"/>
    </row>
    <row r="378" spans="1:10" ht="15" x14ac:dyDescent="0.2">
      <c r="A378" s="70"/>
      <c r="B378" s="70"/>
      <c r="C378" s="70"/>
      <c r="D378" s="70"/>
      <c r="E378" s="70"/>
      <c r="F378" s="70"/>
      <c r="G378" s="70"/>
      <c r="H378" s="70"/>
      <c r="I378" s="70"/>
      <c r="J378" s="70"/>
    </row>
    <row r="379" spans="1:10" ht="15" x14ac:dyDescent="0.2">
      <c r="A379" s="70"/>
      <c r="B379" s="70"/>
      <c r="C379" s="70"/>
      <c r="D379" s="70"/>
      <c r="E379" s="70"/>
      <c r="F379" s="70"/>
      <c r="G379" s="70"/>
      <c r="H379" s="70"/>
      <c r="I379" s="70"/>
      <c r="J379" s="70"/>
    </row>
    <row r="380" spans="1:10" ht="15" x14ac:dyDescent="0.2">
      <c r="A380" s="70"/>
      <c r="B380" s="70"/>
      <c r="C380" s="70"/>
      <c r="D380" s="70"/>
      <c r="E380" s="70"/>
      <c r="F380" s="70"/>
      <c r="G380" s="70"/>
      <c r="H380" s="70"/>
      <c r="I380" s="70"/>
      <c r="J380" s="70"/>
    </row>
    <row r="381" spans="1:10" ht="15" x14ac:dyDescent="0.2">
      <c r="A381" s="70"/>
      <c r="B381" s="70"/>
      <c r="C381" s="70"/>
      <c r="D381" s="70"/>
      <c r="E381" s="70"/>
      <c r="F381" s="70"/>
      <c r="G381" s="70"/>
      <c r="H381" s="70"/>
      <c r="I381" s="70"/>
      <c r="J381" s="70"/>
    </row>
    <row r="382" spans="1:10" ht="15" x14ac:dyDescent="0.2">
      <c r="A382" s="70"/>
      <c r="B382" s="70"/>
      <c r="C382" s="70"/>
      <c r="D382" s="70"/>
      <c r="E382" s="70"/>
      <c r="F382" s="70"/>
      <c r="G382" s="70"/>
      <c r="H382" s="70"/>
      <c r="I382" s="70"/>
      <c r="J382" s="70"/>
    </row>
    <row r="383" spans="1:10" ht="15" x14ac:dyDescent="0.2">
      <c r="A383" s="70"/>
      <c r="B383" s="70"/>
      <c r="C383" s="70"/>
      <c r="D383" s="70"/>
      <c r="E383" s="70"/>
      <c r="F383" s="70"/>
      <c r="G383" s="70"/>
      <c r="H383" s="70"/>
      <c r="I383" s="70"/>
      <c r="J383" s="70"/>
    </row>
    <row r="384" spans="1:10" ht="15" x14ac:dyDescent="0.2">
      <c r="A384" s="70"/>
      <c r="B384" s="70"/>
      <c r="C384" s="70"/>
      <c r="D384" s="70"/>
      <c r="E384" s="70"/>
      <c r="F384" s="70"/>
      <c r="G384" s="70"/>
      <c r="H384" s="70"/>
      <c r="I384" s="70"/>
      <c r="J384" s="70"/>
    </row>
    <row r="385" spans="1:10" ht="15" x14ac:dyDescent="0.2">
      <c r="A385" s="70"/>
      <c r="B385" s="70"/>
      <c r="C385" s="70"/>
      <c r="D385" s="70"/>
      <c r="E385" s="70"/>
      <c r="F385" s="70"/>
      <c r="G385" s="70"/>
      <c r="H385" s="70"/>
      <c r="I385" s="70"/>
      <c r="J385" s="70"/>
    </row>
    <row r="386" spans="1:10" ht="15" x14ac:dyDescent="0.2">
      <c r="A386" s="70"/>
      <c r="B386" s="70"/>
      <c r="C386" s="70"/>
      <c r="D386" s="70"/>
      <c r="E386" s="70"/>
      <c r="F386" s="70"/>
      <c r="G386" s="70"/>
      <c r="H386" s="70"/>
      <c r="I386" s="70"/>
      <c r="J386" s="70"/>
    </row>
    <row r="387" spans="1:10" ht="15" x14ac:dyDescent="0.2">
      <c r="A387" s="70"/>
      <c r="B387" s="70"/>
      <c r="C387" s="70"/>
      <c r="D387" s="70"/>
      <c r="E387" s="70"/>
      <c r="F387" s="70"/>
      <c r="G387" s="70"/>
      <c r="H387" s="70"/>
      <c r="I387" s="70"/>
      <c r="J387" s="70"/>
    </row>
    <row r="388" spans="1:10" ht="15" x14ac:dyDescent="0.2">
      <c r="A388" s="70"/>
      <c r="B388" s="70"/>
      <c r="C388" s="70"/>
      <c r="D388" s="70"/>
      <c r="E388" s="70"/>
      <c r="F388" s="70"/>
      <c r="G388" s="70"/>
      <c r="H388" s="70"/>
      <c r="I388" s="70"/>
      <c r="J388" s="70"/>
    </row>
    <row r="389" spans="1:10" ht="15" x14ac:dyDescent="0.2">
      <c r="A389" s="70"/>
      <c r="B389" s="70"/>
      <c r="C389" s="70"/>
      <c r="D389" s="70"/>
      <c r="E389" s="70"/>
      <c r="F389" s="70"/>
      <c r="G389" s="70"/>
      <c r="H389" s="70"/>
      <c r="I389" s="70"/>
      <c r="J389" s="70"/>
    </row>
    <row r="390" spans="1:10" ht="15" x14ac:dyDescent="0.2">
      <c r="A390" s="70"/>
      <c r="B390" s="70"/>
      <c r="C390" s="70"/>
      <c r="D390" s="70"/>
      <c r="E390" s="70"/>
      <c r="F390" s="70"/>
      <c r="G390" s="70"/>
      <c r="H390" s="70"/>
      <c r="I390" s="70"/>
      <c r="J390" s="70"/>
    </row>
    <row r="391" spans="1:10" ht="15" x14ac:dyDescent="0.2">
      <c r="A391" s="70"/>
      <c r="B391" s="70"/>
      <c r="C391" s="70"/>
      <c r="D391" s="70"/>
      <c r="E391" s="70"/>
      <c r="F391" s="70"/>
      <c r="G391" s="70"/>
      <c r="H391" s="70"/>
      <c r="I391" s="70"/>
      <c r="J391" s="70"/>
    </row>
    <row r="392" spans="1:10" ht="15" x14ac:dyDescent="0.2">
      <c r="A392" s="70"/>
      <c r="B392" s="70"/>
      <c r="C392" s="70"/>
      <c r="D392" s="70"/>
      <c r="E392" s="70"/>
      <c r="F392" s="70"/>
      <c r="G392" s="70"/>
      <c r="H392" s="70"/>
      <c r="I392" s="70"/>
      <c r="J392" s="70"/>
    </row>
    <row r="393" spans="1:10" ht="15" x14ac:dyDescent="0.2">
      <c r="A393" s="70"/>
      <c r="B393" s="70"/>
      <c r="C393" s="70"/>
      <c r="D393" s="70"/>
      <c r="E393" s="70"/>
      <c r="F393" s="70"/>
      <c r="G393" s="70"/>
      <c r="H393" s="70"/>
      <c r="I393" s="70"/>
      <c r="J393" s="70"/>
    </row>
    <row r="394" spans="1:10" ht="15" x14ac:dyDescent="0.2">
      <c r="A394" s="70"/>
      <c r="B394" s="70"/>
      <c r="C394" s="70"/>
      <c r="D394" s="70"/>
      <c r="E394" s="70"/>
      <c r="F394" s="70"/>
      <c r="G394" s="70"/>
      <c r="H394" s="70"/>
      <c r="I394" s="70"/>
      <c r="J394" s="70"/>
    </row>
    <row r="395" spans="1:10" ht="15" x14ac:dyDescent="0.2">
      <c r="A395" s="70"/>
      <c r="B395" s="70"/>
      <c r="C395" s="70"/>
      <c r="D395" s="70"/>
      <c r="E395" s="70"/>
      <c r="F395" s="70"/>
      <c r="G395" s="70"/>
      <c r="H395" s="70"/>
      <c r="I395" s="70"/>
      <c r="J395" s="70"/>
    </row>
    <row r="396" spans="1:10" ht="15" x14ac:dyDescent="0.2">
      <c r="A396" s="70"/>
      <c r="B396" s="70"/>
      <c r="C396" s="70"/>
      <c r="D396" s="70"/>
      <c r="E396" s="70"/>
      <c r="F396" s="70"/>
      <c r="G396" s="70"/>
      <c r="H396" s="70"/>
      <c r="I396" s="70"/>
      <c r="J396" s="70"/>
    </row>
    <row r="397" spans="1:10" ht="15" x14ac:dyDescent="0.2">
      <c r="A397" s="70"/>
      <c r="B397" s="70"/>
      <c r="C397" s="70"/>
      <c r="D397" s="70"/>
      <c r="E397" s="70"/>
      <c r="F397" s="70"/>
      <c r="G397" s="70"/>
      <c r="H397" s="70"/>
      <c r="I397" s="70"/>
      <c r="J397" s="70"/>
    </row>
    <row r="398" spans="1:10" ht="15" x14ac:dyDescent="0.2">
      <c r="A398" s="70"/>
      <c r="B398" s="70"/>
      <c r="C398" s="70"/>
      <c r="D398" s="70"/>
      <c r="E398" s="70"/>
      <c r="F398" s="70"/>
      <c r="G398" s="70"/>
      <c r="H398" s="70"/>
      <c r="I398" s="70"/>
      <c r="J398" s="70"/>
    </row>
    <row r="399" spans="1:10" ht="15" x14ac:dyDescent="0.2">
      <c r="A399" s="70"/>
      <c r="B399" s="70"/>
      <c r="C399" s="70"/>
      <c r="D399" s="70"/>
      <c r="E399" s="70"/>
      <c r="F399" s="70"/>
      <c r="G399" s="70"/>
      <c r="H399" s="70"/>
      <c r="I399" s="70"/>
      <c r="J399" s="70"/>
    </row>
    <row r="400" spans="1:10" ht="15" x14ac:dyDescent="0.2">
      <c r="A400" s="70"/>
      <c r="B400" s="70"/>
      <c r="C400" s="70"/>
      <c r="D400" s="70"/>
      <c r="E400" s="70"/>
      <c r="F400" s="70"/>
      <c r="G400" s="70"/>
      <c r="H400" s="70"/>
      <c r="I400" s="70"/>
      <c r="J400" s="70"/>
    </row>
    <row r="401" spans="1:10" ht="15" x14ac:dyDescent="0.2">
      <c r="A401" s="70"/>
      <c r="B401" s="70"/>
      <c r="C401" s="70"/>
      <c r="D401" s="70"/>
      <c r="E401" s="70"/>
      <c r="F401" s="70"/>
      <c r="G401" s="70"/>
      <c r="H401" s="70"/>
      <c r="I401" s="70"/>
      <c r="J401" s="70"/>
    </row>
    <row r="402" spans="1:10" ht="15" x14ac:dyDescent="0.2">
      <c r="A402" s="70"/>
      <c r="B402" s="70"/>
      <c r="C402" s="70"/>
      <c r="D402" s="70"/>
      <c r="E402" s="70"/>
      <c r="F402" s="70"/>
      <c r="G402" s="70"/>
      <c r="H402" s="70"/>
      <c r="I402" s="70"/>
      <c r="J402" s="70"/>
    </row>
    <row r="403" spans="1:10" ht="15" x14ac:dyDescent="0.2">
      <c r="A403" s="70"/>
      <c r="B403" s="70"/>
      <c r="C403" s="70"/>
      <c r="D403" s="70"/>
      <c r="E403" s="70"/>
      <c r="F403" s="70"/>
      <c r="G403" s="70"/>
      <c r="H403" s="70"/>
      <c r="I403" s="70"/>
      <c r="J403" s="70"/>
    </row>
    <row r="404" spans="1:10" ht="15" x14ac:dyDescent="0.2">
      <c r="A404" s="70"/>
      <c r="B404" s="70"/>
      <c r="C404" s="70"/>
      <c r="D404" s="70"/>
      <c r="E404" s="70"/>
      <c r="F404" s="70"/>
      <c r="G404" s="70"/>
      <c r="H404" s="70"/>
      <c r="I404" s="70"/>
      <c r="J404" s="70"/>
    </row>
    <row r="405" spans="1:10" ht="15" x14ac:dyDescent="0.2">
      <c r="A405" s="70"/>
      <c r="B405" s="70"/>
      <c r="C405" s="70"/>
      <c r="D405" s="70"/>
      <c r="E405" s="70"/>
      <c r="F405" s="70"/>
      <c r="G405" s="70"/>
      <c r="H405" s="70"/>
      <c r="I405" s="70"/>
      <c r="J405" s="70"/>
    </row>
    <row r="406" spans="1:10" ht="15" x14ac:dyDescent="0.2">
      <c r="A406" s="70"/>
      <c r="B406" s="70"/>
      <c r="C406" s="70"/>
      <c r="D406" s="70"/>
      <c r="E406" s="70"/>
      <c r="F406" s="70"/>
      <c r="G406" s="70"/>
      <c r="H406" s="70"/>
      <c r="I406" s="70"/>
      <c r="J406" s="70"/>
    </row>
    <row r="407" spans="1:10" ht="15" x14ac:dyDescent="0.2">
      <c r="A407" s="70"/>
      <c r="B407" s="70"/>
      <c r="C407" s="70"/>
      <c r="D407" s="70"/>
      <c r="E407" s="70"/>
      <c r="F407" s="70"/>
      <c r="G407" s="70"/>
      <c r="H407" s="70"/>
      <c r="I407" s="70"/>
      <c r="J407" s="70"/>
    </row>
    <row r="408" spans="1:10" ht="15" x14ac:dyDescent="0.2">
      <c r="A408" s="70"/>
      <c r="B408" s="70"/>
      <c r="C408" s="70"/>
      <c r="D408" s="70"/>
      <c r="E408" s="70"/>
      <c r="F408" s="70"/>
      <c r="G408" s="70"/>
      <c r="H408" s="70"/>
      <c r="I408" s="70"/>
      <c r="J408" s="70"/>
    </row>
    <row r="409" spans="1:10" ht="15" x14ac:dyDescent="0.2">
      <c r="A409" s="70"/>
      <c r="B409" s="70"/>
      <c r="C409" s="70"/>
      <c r="D409" s="70"/>
      <c r="E409" s="70"/>
      <c r="F409" s="70"/>
      <c r="G409" s="70"/>
      <c r="H409" s="70"/>
      <c r="I409" s="70"/>
      <c r="J409" s="70"/>
    </row>
    <row r="410" spans="1:10" ht="15" x14ac:dyDescent="0.2">
      <c r="A410" s="70"/>
      <c r="B410" s="70"/>
      <c r="C410" s="70"/>
      <c r="D410" s="70"/>
      <c r="E410" s="70"/>
      <c r="F410" s="70"/>
      <c r="G410" s="70"/>
      <c r="H410" s="70"/>
      <c r="I410" s="70"/>
      <c r="J410" s="70"/>
    </row>
    <row r="411" spans="1:10" ht="15" x14ac:dyDescent="0.2">
      <c r="A411" s="70"/>
      <c r="B411" s="70"/>
      <c r="C411" s="70"/>
      <c r="D411" s="70"/>
      <c r="E411" s="70"/>
      <c r="F411" s="70"/>
      <c r="G411" s="70"/>
      <c r="H411" s="70"/>
      <c r="I411" s="70"/>
      <c r="J411" s="70"/>
    </row>
    <row r="412" spans="1:10" ht="15" x14ac:dyDescent="0.2">
      <c r="A412" s="70"/>
      <c r="B412" s="70"/>
      <c r="C412" s="70"/>
      <c r="D412" s="70"/>
      <c r="E412" s="70"/>
      <c r="F412" s="70"/>
      <c r="G412" s="70"/>
      <c r="H412" s="70"/>
      <c r="I412" s="70"/>
      <c r="J412" s="70"/>
    </row>
    <row r="413" spans="1:10" ht="15" x14ac:dyDescent="0.2">
      <c r="A413" s="70"/>
      <c r="B413" s="70"/>
      <c r="C413" s="70"/>
      <c r="D413" s="70"/>
      <c r="E413" s="70"/>
      <c r="F413" s="70"/>
      <c r="G413" s="70"/>
      <c r="H413" s="70"/>
      <c r="I413" s="70"/>
      <c r="J413" s="70"/>
    </row>
    <row r="414" spans="1:10" ht="15" x14ac:dyDescent="0.2">
      <c r="A414" s="70"/>
      <c r="B414" s="70"/>
      <c r="C414" s="70"/>
      <c r="D414" s="70"/>
      <c r="E414" s="70"/>
      <c r="F414" s="70"/>
      <c r="G414" s="70"/>
      <c r="H414" s="70"/>
      <c r="I414" s="70"/>
      <c r="J414" s="70"/>
    </row>
    <row r="415" spans="1:10" ht="15" x14ac:dyDescent="0.2">
      <c r="A415" s="70"/>
      <c r="B415" s="70"/>
      <c r="C415" s="70"/>
      <c r="D415" s="70"/>
      <c r="E415" s="70"/>
      <c r="F415" s="70"/>
      <c r="G415" s="70"/>
      <c r="H415" s="70"/>
      <c r="I415" s="70"/>
      <c r="J415" s="70"/>
    </row>
    <row r="416" spans="1:10" ht="15" x14ac:dyDescent="0.2">
      <c r="A416" s="70"/>
      <c r="B416" s="70"/>
      <c r="C416" s="70"/>
      <c r="D416" s="70"/>
      <c r="E416" s="70"/>
      <c r="F416" s="70"/>
      <c r="G416" s="70"/>
      <c r="H416" s="70"/>
      <c r="I416" s="70"/>
      <c r="J416" s="70"/>
    </row>
    <row r="417" spans="1:10" ht="15" x14ac:dyDescent="0.2">
      <c r="A417" s="70"/>
      <c r="B417" s="70"/>
      <c r="C417" s="70"/>
      <c r="D417" s="70"/>
      <c r="E417" s="70"/>
      <c r="F417" s="70"/>
      <c r="G417" s="70"/>
      <c r="H417" s="70"/>
      <c r="I417" s="70"/>
      <c r="J417" s="70"/>
    </row>
    <row r="418" spans="1:10" ht="15" x14ac:dyDescent="0.2">
      <c r="A418" s="70"/>
      <c r="B418" s="70"/>
      <c r="C418" s="70"/>
      <c r="D418" s="70"/>
      <c r="E418" s="70"/>
      <c r="F418" s="70"/>
      <c r="G418" s="70"/>
      <c r="H418" s="70"/>
      <c r="I418" s="70"/>
      <c r="J418" s="70"/>
    </row>
    <row r="419" spans="1:10" ht="15" x14ac:dyDescent="0.2">
      <c r="A419" s="70"/>
      <c r="B419" s="70"/>
      <c r="C419" s="70"/>
      <c r="D419" s="70"/>
      <c r="E419" s="70"/>
      <c r="F419" s="70"/>
      <c r="G419" s="70"/>
      <c r="H419" s="70"/>
      <c r="I419" s="70"/>
      <c r="J419" s="70"/>
    </row>
    <row r="420" spans="1:10" ht="15" x14ac:dyDescent="0.2">
      <c r="A420" s="70"/>
      <c r="B420" s="70"/>
      <c r="C420" s="70"/>
      <c r="D420" s="70"/>
      <c r="E420" s="70"/>
      <c r="F420" s="70"/>
      <c r="G420" s="70"/>
      <c r="H420" s="70"/>
      <c r="I420" s="70"/>
      <c r="J420" s="70"/>
    </row>
    <row r="421" spans="1:10" ht="15" x14ac:dyDescent="0.2">
      <c r="A421" s="70"/>
      <c r="B421" s="70"/>
      <c r="C421" s="70"/>
      <c r="D421" s="70"/>
      <c r="E421" s="70"/>
      <c r="F421" s="70"/>
      <c r="G421" s="70"/>
      <c r="H421" s="70"/>
      <c r="I421" s="70"/>
      <c r="J421" s="70"/>
    </row>
    <row r="422" spans="1:10" ht="15" x14ac:dyDescent="0.2">
      <c r="A422" s="70"/>
      <c r="B422" s="70"/>
      <c r="C422" s="70"/>
      <c r="D422" s="70"/>
      <c r="E422" s="70"/>
      <c r="F422" s="70"/>
      <c r="G422" s="70"/>
      <c r="H422" s="70"/>
      <c r="I422" s="70"/>
      <c r="J422" s="70"/>
    </row>
    <row r="423" spans="1:10" ht="15" x14ac:dyDescent="0.2">
      <c r="A423" s="70"/>
      <c r="B423" s="70"/>
      <c r="C423" s="70"/>
      <c r="D423" s="70"/>
      <c r="E423" s="70"/>
      <c r="F423" s="70"/>
      <c r="G423" s="70"/>
      <c r="H423" s="70"/>
      <c r="I423" s="70"/>
      <c r="J423" s="70"/>
    </row>
    <row r="424" spans="1:10" ht="15" x14ac:dyDescent="0.2">
      <c r="A424" s="70"/>
      <c r="B424" s="70"/>
      <c r="C424" s="70"/>
      <c r="D424" s="70"/>
      <c r="E424" s="70"/>
      <c r="F424" s="70"/>
      <c r="G424" s="70"/>
      <c r="H424" s="70"/>
      <c r="I424" s="70"/>
      <c r="J424" s="70"/>
    </row>
    <row r="425" spans="1:10" ht="15" x14ac:dyDescent="0.2">
      <c r="A425" s="70"/>
      <c r="B425" s="70"/>
      <c r="C425" s="70"/>
      <c r="D425" s="70"/>
      <c r="E425" s="70"/>
      <c r="F425" s="70"/>
      <c r="G425" s="70"/>
      <c r="H425" s="70"/>
      <c r="I425" s="70"/>
      <c r="J425" s="70"/>
    </row>
    <row r="426" spans="1:10" ht="15" x14ac:dyDescent="0.2">
      <c r="A426" s="70"/>
      <c r="B426" s="70"/>
      <c r="C426" s="70"/>
      <c r="D426" s="70"/>
      <c r="E426" s="70"/>
      <c r="F426" s="70"/>
      <c r="G426" s="70"/>
      <c r="H426" s="70"/>
      <c r="I426" s="70"/>
      <c r="J426" s="70"/>
    </row>
    <row r="427" spans="1:10" ht="15" x14ac:dyDescent="0.2">
      <c r="A427" s="70"/>
      <c r="B427" s="70"/>
      <c r="C427" s="70"/>
      <c r="D427" s="70"/>
      <c r="E427" s="70"/>
      <c r="F427" s="70"/>
      <c r="G427" s="70"/>
      <c r="H427" s="70"/>
      <c r="I427" s="70"/>
      <c r="J427" s="70"/>
    </row>
    <row r="428" spans="1:10" ht="15" x14ac:dyDescent="0.2">
      <c r="A428" s="70"/>
      <c r="B428" s="70"/>
      <c r="C428" s="70"/>
      <c r="D428" s="70"/>
      <c r="E428" s="70"/>
      <c r="F428" s="70"/>
      <c r="G428" s="70"/>
      <c r="H428" s="70"/>
      <c r="I428" s="70"/>
      <c r="J428" s="70"/>
    </row>
    <row r="429" spans="1:10" ht="15" x14ac:dyDescent="0.2">
      <c r="A429" s="70"/>
      <c r="B429" s="70"/>
      <c r="C429" s="70"/>
      <c r="D429" s="70"/>
      <c r="E429" s="70"/>
      <c r="F429" s="70"/>
      <c r="G429" s="70"/>
      <c r="H429" s="70"/>
      <c r="I429" s="70"/>
      <c r="J429" s="70"/>
    </row>
    <row r="430" spans="1:10" ht="15" x14ac:dyDescent="0.2">
      <c r="A430" s="70"/>
      <c r="B430" s="70"/>
      <c r="C430" s="70"/>
      <c r="D430" s="70"/>
      <c r="E430" s="70"/>
      <c r="F430" s="70"/>
      <c r="G430" s="70"/>
      <c r="H430" s="70"/>
      <c r="I430" s="70"/>
      <c r="J430" s="70"/>
    </row>
    <row r="431" spans="1:10" ht="15" x14ac:dyDescent="0.2">
      <c r="A431" s="70"/>
      <c r="B431" s="70"/>
      <c r="C431" s="70"/>
      <c r="D431" s="70"/>
      <c r="E431" s="70"/>
      <c r="F431" s="70"/>
      <c r="G431" s="70"/>
      <c r="H431" s="70"/>
      <c r="I431" s="70"/>
      <c r="J431" s="70"/>
    </row>
    <row r="432" spans="1:10" ht="15" x14ac:dyDescent="0.2">
      <c r="A432" s="70"/>
      <c r="B432" s="70"/>
      <c r="C432" s="70"/>
      <c r="D432" s="70"/>
      <c r="E432" s="70"/>
      <c r="F432" s="70"/>
      <c r="G432" s="70"/>
      <c r="H432" s="70"/>
      <c r="I432" s="70"/>
      <c r="J432" s="70"/>
    </row>
    <row r="433" spans="1:10" ht="15" x14ac:dyDescent="0.2">
      <c r="A433" s="70"/>
      <c r="B433" s="70"/>
      <c r="C433" s="70"/>
      <c r="D433" s="70"/>
      <c r="E433" s="70"/>
      <c r="F433" s="70"/>
      <c r="G433" s="70"/>
      <c r="H433" s="70"/>
      <c r="I433" s="70"/>
      <c r="J433" s="70"/>
    </row>
    <row r="434" spans="1:10" ht="15" x14ac:dyDescent="0.2">
      <c r="A434" s="70"/>
      <c r="B434" s="70"/>
      <c r="C434" s="70"/>
      <c r="D434" s="70"/>
      <c r="E434" s="70"/>
      <c r="F434" s="70"/>
      <c r="G434" s="70"/>
      <c r="H434" s="70"/>
      <c r="I434" s="70"/>
      <c r="J434" s="70"/>
    </row>
    <row r="435" spans="1:10" ht="15" x14ac:dyDescent="0.2">
      <c r="A435" s="70"/>
      <c r="B435" s="70"/>
      <c r="C435" s="70"/>
      <c r="D435" s="70"/>
      <c r="E435" s="70"/>
      <c r="F435" s="70"/>
      <c r="G435" s="70"/>
      <c r="H435" s="70"/>
      <c r="I435" s="70"/>
      <c r="J435" s="70"/>
    </row>
    <row r="436" spans="1:10" ht="15" x14ac:dyDescent="0.2">
      <c r="A436" s="70"/>
      <c r="B436" s="70"/>
      <c r="C436" s="70"/>
      <c r="D436" s="70"/>
      <c r="E436" s="70"/>
      <c r="F436" s="70"/>
      <c r="G436" s="70"/>
      <c r="H436" s="70"/>
      <c r="I436" s="70"/>
      <c r="J436" s="70"/>
    </row>
    <row r="437" spans="1:10" ht="15" x14ac:dyDescent="0.2">
      <c r="A437" s="70"/>
      <c r="B437" s="70"/>
      <c r="C437" s="70"/>
      <c r="D437" s="70"/>
      <c r="E437" s="70"/>
      <c r="F437" s="70"/>
      <c r="G437" s="70"/>
      <c r="H437" s="70"/>
      <c r="I437" s="70"/>
      <c r="J437" s="70"/>
    </row>
    <row r="438" spans="1:10" ht="15" x14ac:dyDescent="0.2">
      <c r="A438" s="70"/>
      <c r="B438" s="70"/>
      <c r="C438" s="70"/>
      <c r="D438" s="70"/>
      <c r="E438" s="70"/>
      <c r="F438" s="70"/>
      <c r="G438" s="70"/>
      <c r="H438" s="70"/>
      <c r="I438" s="70"/>
      <c r="J438" s="70"/>
    </row>
    <row r="439" spans="1:10" ht="15" x14ac:dyDescent="0.2">
      <c r="A439" s="70"/>
      <c r="B439" s="70"/>
      <c r="C439" s="70"/>
      <c r="D439" s="70"/>
      <c r="E439" s="70"/>
      <c r="F439" s="70"/>
      <c r="G439" s="70"/>
      <c r="H439" s="70"/>
      <c r="I439" s="70"/>
      <c r="J439" s="70"/>
    </row>
    <row r="440" spans="1:10" ht="15" x14ac:dyDescent="0.2">
      <c r="A440" s="70"/>
      <c r="B440" s="70"/>
      <c r="C440" s="70"/>
      <c r="D440" s="70"/>
      <c r="E440" s="70"/>
      <c r="F440" s="70"/>
      <c r="G440" s="70"/>
      <c r="H440" s="70"/>
      <c r="I440" s="70"/>
      <c r="J440" s="70"/>
    </row>
    <row r="441" spans="1:10" ht="15" x14ac:dyDescent="0.2">
      <c r="A441" s="70"/>
      <c r="B441" s="70"/>
      <c r="C441" s="70"/>
      <c r="D441" s="70"/>
      <c r="E441" s="70"/>
      <c r="F441" s="70"/>
      <c r="G441" s="70"/>
      <c r="H441" s="70"/>
      <c r="I441" s="70"/>
      <c r="J441" s="70"/>
    </row>
    <row r="442" spans="1:10" ht="15" x14ac:dyDescent="0.2">
      <c r="A442" s="70"/>
      <c r="B442" s="70"/>
      <c r="C442" s="70"/>
      <c r="D442" s="70"/>
      <c r="E442" s="70"/>
      <c r="F442" s="70"/>
      <c r="G442" s="70"/>
      <c r="H442" s="70"/>
      <c r="I442" s="70"/>
      <c r="J442" s="70"/>
    </row>
    <row r="443" spans="1:10" ht="15" x14ac:dyDescent="0.2">
      <c r="A443" s="70"/>
      <c r="B443" s="70"/>
      <c r="C443" s="70"/>
      <c r="D443" s="70"/>
      <c r="E443" s="70"/>
      <c r="F443" s="70"/>
      <c r="G443" s="70"/>
      <c r="H443" s="70"/>
      <c r="I443" s="70"/>
      <c r="J443" s="70"/>
    </row>
    <row r="444" spans="1:10" ht="15" x14ac:dyDescent="0.2">
      <c r="A444" s="70"/>
      <c r="B444" s="70"/>
      <c r="C444" s="70"/>
      <c r="D444" s="70"/>
      <c r="E444" s="70"/>
      <c r="F444" s="70"/>
      <c r="G444" s="70"/>
      <c r="H444" s="70"/>
      <c r="I444" s="70"/>
      <c r="J444" s="70"/>
    </row>
    <row r="445" spans="1:10" ht="15" x14ac:dyDescent="0.2">
      <c r="A445" s="70"/>
      <c r="B445" s="70"/>
      <c r="C445" s="70"/>
      <c r="D445" s="70"/>
      <c r="E445" s="70"/>
      <c r="F445" s="70"/>
      <c r="G445" s="70"/>
      <c r="H445" s="70"/>
      <c r="I445" s="70"/>
      <c r="J445" s="70"/>
    </row>
    <row r="446" spans="1:10" ht="15" x14ac:dyDescent="0.2">
      <c r="A446" s="70"/>
      <c r="B446" s="70"/>
      <c r="C446" s="70"/>
      <c r="D446" s="70"/>
      <c r="E446" s="70"/>
      <c r="F446" s="70"/>
      <c r="G446" s="70"/>
      <c r="H446" s="70"/>
      <c r="I446" s="70"/>
      <c r="J446" s="70"/>
    </row>
    <row r="447" spans="1:10" ht="15" x14ac:dyDescent="0.2">
      <c r="A447" s="70"/>
      <c r="B447" s="70"/>
      <c r="C447" s="70"/>
      <c r="D447" s="70"/>
      <c r="E447" s="70"/>
      <c r="F447" s="70"/>
      <c r="G447" s="70"/>
      <c r="H447" s="70"/>
      <c r="I447" s="70"/>
      <c r="J447" s="70"/>
    </row>
    <row r="448" spans="1:10" ht="15" x14ac:dyDescent="0.2">
      <c r="A448" s="70"/>
      <c r="B448" s="70"/>
      <c r="C448" s="70"/>
      <c r="D448" s="70"/>
      <c r="E448" s="70"/>
      <c r="F448" s="70"/>
      <c r="G448" s="70"/>
      <c r="H448" s="70"/>
      <c r="I448" s="70"/>
      <c r="J448" s="70"/>
    </row>
    <row r="449" spans="1:10" ht="15" x14ac:dyDescent="0.2">
      <c r="A449" s="70"/>
      <c r="B449" s="70"/>
      <c r="C449" s="70"/>
      <c r="D449" s="70"/>
      <c r="E449" s="70"/>
      <c r="F449" s="70"/>
      <c r="G449" s="70"/>
      <c r="H449" s="70"/>
      <c r="I449" s="70"/>
      <c r="J449" s="70"/>
    </row>
    <row r="450" spans="1:10" ht="15" x14ac:dyDescent="0.2">
      <c r="A450" s="70"/>
      <c r="B450" s="70"/>
      <c r="C450" s="70"/>
      <c r="D450" s="70"/>
      <c r="E450" s="70"/>
      <c r="F450" s="70"/>
      <c r="G450" s="70"/>
      <c r="H450" s="70"/>
      <c r="I450" s="70"/>
      <c r="J450" s="70"/>
    </row>
    <row r="451" spans="1:10" ht="15" x14ac:dyDescent="0.2">
      <c r="A451" s="70"/>
      <c r="B451" s="70"/>
      <c r="C451" s="70"/>
      <c r="D451" s="70"/>
      <c r="E451" s="70"/>
      <c r="F451" s="70"/>
      <c r="G451" s="70"/>
      <c r="H451" s="70"/>
      <c r="I451" s="70"/>
      <c r="J451" s="70"/>
    </row>
    <row r="452" spans="1:10" ht="15" x14ac:dyDescent="0.2">
      <c r="A452" s="70"/>
      <c r="B452" s="70"/>
      <c r="C452" s="70"/>
      <c r="D452" s="70"/>
      <c r="E452" s="70"/>
      <c r="F452" s="70"/>
      <c r="G452" s="70"/>
      <c r="H452" s="70"/>
      <c r="I452" s="70"/>
      <c r="J452" s="70"/>
    </row>
    <row r="453" spans="1:10" ht="15" x14ac:dyDescent="0.2">
      <c r="A453" s="70"/>
      <c r="B453" s="70"/>
      <c r="C453" s="70"/>
      <c r="D453" s="70"/>
      <c r="E453" s="70"/>
      <c r="F453" s="70"/>
      <c r="G453" s="70"/>
      <c r="H453" s="70"/>
      <c r="I453" s="70"/>
      <c r="J453" s="70"/>
    </row>
    <row r="454" spans="1:10" ht="15" x14ac:dyDescent="0.2">
      <c r="A454" s="70"/>
      <c r="B454" s="70"/>
      <c r="C454" s="70"/>
      <c r="D454" s="70"/>
      <c r="E454" s="70"/>
      <c r="F454" s="70"/>
      <c r="G454" s="70"/>
      <c r="H454" s="70"/>
      <c r="I454" s="70"/>
      <c r="J454" s="70"/>
    </row>
    <row r="455" spans="1:10" ht="15" x14ac:dyDescent="0.2">
      <c r="A455" s="70"/>
      <c r="B455" s="70"/>
      <c r="C455" s="70"/>
      <c r="D455" s="70"/>
      <c r="E455" s="70"/>
      <c r="F455" s="70"/>
      <c r="G455" s="70"/>
      <c r="H455" s="70"/>
      <c r="I455" s="70"/>
      <c r="J455" s="70"/>
    </row>
    <row r="456" spans="1:10" ht="15" x14ac:dyDescent="0.2">
      <c r="A456" s="70"/>
      <c r="B456" s="70"/>
      <c r="C456" s="70"/>
      <c r="D456" s="70"/>
      <c r="E456" s="70"/>
      <c r="F456" s="70"/>
      <c r="G456" s="70"/>
      <c r="H456" s="70"/>
      <c r="I456" s="70"/>
      <c r="J456" s="70"/>
    </row>
    <row r="457" spans="1:10" ht="15" x14ac:dyDescent="0.2">
      <c r="A457" s="70"/>
      <c r="B457" s="70"/>
      <c r="C457" s="70"/>
      <c r="D457" s="70"/>
      <c r="E457" s="70"/>
      <c r="F457" s="70"/>
      <c r="G457" s="70"/>
      <c r="H457" s="70"/>
      <c r="I457" s="70"/>
      <c r="J457" s="70"/>
    </row>
    <row r="458" spans="1:10" ht="15" x14ac:dyDescent="0.2">
      <c r="A458" s="70"/>
      <c r="B458" s="70"/>
      <c r="C458" s="70"/>
      <c r="D458" s="70"/>
      <c r="E458" s="70"/>
      <c r="F458" s="70"/>
      <c r="G458" s="70"/>
      <c r="H458" s="70"/>
      <c r="I458" s="70"/>
      <c r="J458" s="70"/>
    </row>
    <row r="459" spans="1:10" ht="15" x14ac:dyDescent="0.2">
      <c r="A459" s="70"/>
      <c r="B459" s="70"/>
      <c r="C459" s="70"/>
      <c r="D459" s="70"/>
      <c r="E459" s="70"/>
      <c r="F459" s="70"/>
      <c r="G459" s="70"/>
      <c r="H459" s="70"/>
      <c r="I459" s="70"/>
      <c r="J459" s="70"/>
    </row>
    <row r="460" spans="1:10" ht="15" x14ac:dyDescent="0.2">
      <c r="A460" s="70"/>
      <c r="B460" s="70"/>
      <c r="C460" s="70"/>
      <c r="D460" s="70"/>
      <c r="E460" s="70"/>
      <c r="F460" s="70"/>
      <c r="G460" s="70"/>
      <c r="H460" s="70"/>
      <c r="I460" s="70"/>
      <c r="J460" s="70"/>
    </row>
    <row r="461" spans="1:10" ht="15" x14ac:dyDescent="0.2">
      <c r="A461" s="70"/>
      <c r="B461" s="70"/>
      <c r="C461" s="70"/>
      <c r="D461" s="70"/>
      <c r="E461" s="70"/>
      <c r="F461" s="70"/>
      <c r="G461" s="70"/>
      <c r="H461" s="70"/>
      <c r="I461" s="70"/>
      <c r="J461" s="70"/>
    </row>
    <row r="462" spans="1:10" ht="15" x14ac:dyDescent="0.2">
      <c r="A462" s="70"/>
      <c r="B462" s="70"/>
      <c r="C462" s="70"/>
      <c r="D462" s="70"/>
      <c r="E462" s="70"/>
      <c r="F462" s="70"/>
      <c r="G462" s="70"/>
      <c r="H462" s="70"/>
      <c r="I462" s="70"/>
      <c r="J462" s="70"/>
    </row>
    <row r="463" spans="1:10" ht="15" x14ac:dyDescent="0.2">
      <c r="A463" s="70"/>
      <c r="B463" s="70"/>
      <c r="C463" s="70"/>
      <c r="D463" s="70"/>
      <c r="E463" s="70"/>
      <c r="F463" s="70"/>
      <c r="G463" s="70"/>
      <c r="H463" s="70"/>
      <c r="I463" s="70"/>
      <c r="J463" s="70"/>
    </row>
    <row r="464" spans="1:10" ht="15" x14ac:dyDescent="0.2">
      <c r="A464" s="70"/>
      <c r="B464" s="70"/>
      <c r="C464" s="70"/>
      <c r="D464" s="70"/>
      <c r="E464" s="70"/>
      <c r="F464" s="70"/>
      <c r="G464" s="70"/>
      <c r="H464" s="70"/>
      <c r="I464" s="70"/>
      <c r="J464" s="70"/>
    </row>
    <row r="465" spans="1:10" ht="15" x14ac:dyDescent="0.2">
      <c r="A465" s="70"/>
      <c r="B465" s="70"/>
      <c r="C465" s="70"/>
      <c r="D465" s="70"/>
      <c r="E465" s="70"/>
      <c r="F465" s="70"/>
      <c r="G465" s="70"/>
      <c r="H465" s="70"/>
      <c r="I465" s="70"/>
      <c r="J465" s="70"/>
    </row>
    <row r="466" spans="1:10" ht="15" x14ac:dyDescent="0.2">
      <c r="A466" s="70"/>
      <c r="B466" s="70"/>
      <c r="C466" s="70"/>
      <c r="D466" s="70"/>
      <c r="E466" s="70"/>
      <c r="F466" s="70"/>
      <c r="G466" s="70"/>
      <c r="H466" s="70"/>
      <c r="I466" s="70"/>
      <c r="J466" s="70"/>
    </row>
    <row r="467" spans="1:10" ht="15" x14ac:dyDescent="0.2">
      <c r="A467" s="70"/>
      <c r="B467" s="70"/>
      <c r="C467" s="70"/>
      <c r="D467" s="70"/>
      <c r="E467" s="70"/>
      <c r="F467" s="70"/>
      <c r="G467" s="70"/>
      <c r="H467" s="70"/>
      <c r="I467" s="70"/>
      <c r="J467" s="70"/>
    </row>
    <row r="468" spans="1:10" ht="15" x14ac:dyDescent="0.2">
      <c r="A468" s="70"/>
      <c r="B468" s="70"/>
      <c r="C468" s="70"/>
      <c r="D468" s="70"/>
      <c r="E468" s="70"/>
      <c r="F468" s="70"/>
      <c r="G468" s="70"/>
      <c r="H468" s="70"/>
      <c r="I468" s="70"/>
      <c r="J468" s="70"/>
    </row>
    <row r="469" spans="1:10" ht="15" x14ac:dyDescent="0.2">
      <c r="A469" s="70"/>
      <c r="B469" s="70"/>
      <c r="C469" s="70"/>
      <c r="D469" s="70"/>
      <c r="E469" s="70"/>
      <c r="F469" s="70"/>
      <c r="G469" s="70"/>
      <c r="H469" s="70"/>
      <c r="I469" s="70"/>
      <c r="J469" s="70"/>
    </row>
    <row r="470" spans="1:10" ht="15" x14ac:dyDescent="0.2">
      <c r="A470" s="70"/>
      <c r="B470" s="70"/>
      <c r="C470" s="70"/>
      <c r="D470" s="70"/>
      <c r="E470" s="70"/>
      <c r="F470" s="70"/>
      <c r="G470" s="70"/>
      <c r="H470" s="70"/>
      <c r="I470" s="70"/>
      <c r="J470" s="70"/>
    </row>
    <row r="471" spans="1:10" ht="15" x14ac:dyDescent="0.2">
      <c r="A471" s="70"/>
      <c r="B471" s="70"/>
      <c r="C471" s="70"/>
      <c r="D471" s="70"/>
      <c r="E471" s="70"/>
      <c r="F471" s="70"/>
      <c r="G471" s="70"/>
      <c r="H471" s="70"/>
      <c r="I471" s="70"/>
      <c r="J471" s="70"/>
    </row>
    <row r="472" spans="1:10" ht="15" x14ac:dyDescent="0.2">
      <c r="A472" s="70"/>
      <c r="B472" s="70"/>
      <c r="C472" s="70"/>
      <c r="D472" s="70"/>
      <c r="E472" s="70"/>
      <c r="F472" s="70"/>
      <c r="G472" s="70"/>
      <c r="H472" s="70"/>
      <c r="I472" s="70"/>
      <c r="J472" s="70"/>
    </row>
    <row r="473" spans="1:10" ht="15" x14ac:dyDescent="0.2">
      <c r="A473" s="70"/>
      <c r="B473" s="70"/>
      <c r="C473" s="70"/>
      <c r="D473" s="70"/>
      <c r="E473" s="70"/>
      <c r="F473" s="70"/>
      <c r="G473" s="70"/>
      <c r="H473" s="70"/>
      <c r="I473" s="70"/>
      <c r="J473" s="70"/>
    </row>
    <row r="474" spans="1:10" ht="15" x14ac:dyDescent="0.2">
      <c r="A474" s="70"/>
      <c r="B474" s="70"/>
      <c r="C474" s="70"/>
      <c r="D474" s="70"/>
      <c r="E474" s="70"/>
      <c r="F474" s="70"/>
      <c r="G474" s="70"/>
      <c r="H474" s="70"/>
      <c r="I474" s="70"/>
      <c r="J474" s="70"/>
    </row>
    <row r="475" spans="1:10" ht="15" x14ac:dyDescent="0.2">
      <c r="A475" s="70"/>
      <c r="B475" s="70"/>
      <c r="C475" s="70"/>
      <c r="D475" s="70"/>
      <c r="E475" s="70"/>
      <c r="F475" s="70"/>
      <c r="G475" s="70"/>
      <c r="H475" s="70"/>
      <c r="I475" s="70"/>
      <c r="J475" s="70"/>
    </row>
    <row r="476" spans="1:10" ht="15" x14ac:dyDescent="0.2">
      <c r="A476" s="70"/>
      <c r="B476" s="70"/>
      <c r="C476" s="70"/>
      <c r="D476" s="70"/>
      <c r="E476" s="70"/>
      <c r="F476" s="70"/>
      <c r="G476" s="70"/>
      <c r="H476" s="70"/>
      <c r="I476" s="70"/>
      <c r="J476" s="70"/>
    </row>
    <row r="477" spans="1:10" ht="15" x14ac:dyDescent="0.2">
      <c r="A477" s="70"/>
      <c r="B477" s="70"/>
      <c r="C477" s="70"/>
      <c r="D477" s="70"/>
      <c r="E477" s="70"/>
      <c r="F477" s="70"/>
      <c r="G477" s="70"/>
      <c r="H477" s="70"/>
      <c r="I477" s="70"/>
      <c r="J477" s="70"/>
    </row>
    <row r="478" spans="1:10" ht="15" x14ac:dyDescent="0.2">
      <c r="A478" s="70"/>
      <c r="B478" s="70"/>
      <c r="C478" s="70"/>
      <c r="D478" s="70"/>
      <c r="E478" s="70"/>
      <c r="F478" s="70"/>
      <c r="G478" s="70"/>
      <c r="H478" s="70"/>
      <c r="I478" s="70"/>
      <c r="J478" s="70"/>
    </row>
    <row r="479" spans="1:10" ht="15" x14ac:dyDescent="0.2">
      <c r="A479" s="70"/>
      <c r="B479" s="70"/>
      <c r="C479" s="70"/>
      <c r="D479" s="70"/>
      <c r="E479" s="70"/>
      <c r="F479" s="70"/>
      <c r="G479" s="70"/>
      <c r="H479" s="70"/>
      <c r="I479" s="70"/>
      <c r="J479" s="70"/>
    </row>
    <row r="480" spans="1:10" ht="15" x14ac:dyDescent="0.2">
      <c r="A480" s="70"/>
      <c r="B480" s="70"/>
      <c r="C480" s="70"/>
      <c r="D480" s="70"/>
      <c r="E480" s="70"/>
      <c r="F480" s="70"/>
      <c r="G480" s="70"/>
      <c r="H480" s="70"/>
      <c r="I480" s="70"/>
      <c r="J480" s="70"/>
    </row>
    <row r="481" spans="1:10" ht="15" x14ac:dyDescent="0.2">
      <c r="A481" s="70"/>
      <c r="B481" s="70"/>
      <c r="C481" s="70"/>
      <c r="D481" s="70"/>
      <c r="E481" s="70"/>
      <c r="F481" s="70"/>
      <c r="G481" s="70"/>
      <c r="H481" s="70"/>
      <c r="I481" s="70"/>
      <c r="J481" s="70"/>
    </row>
    <row r="482" spans="1:10" ht="15" x14ac:dyDescent="0.2">
      <c r="A482" s="70"/>
      <c r="B482" s="70"/>
      <c r="C482" s="70"/>
      <c r="D482" s="70"/>
      <c r="E482" s="70"/>
      <c r="F482" s="70"/>
      <c r="G482" s="70"/>
      <c r="H482" s="70"/>
      <c r="I482" s="70"/>
      <c r="J482" s="70"/>
    </row>
    <row r="483" spans="1:10" ht="15" x14ac:dyDescent="0.2">
      <c r="A483" s="70"/>
      <c r="B483" s="70"/>
      <c r="C483" s="70"/>
      <c r="D483" s="70"/>
      <c r="E483" s="70"/>
      <c r="F483" s="70"/>
      <c r="G483" s="70"/>
      <c r="H483" s="70"/>
      <c r="I483" s="70"/>
      <c r="J483" s="70"/>
    </row>
    <row r="484" spans="1:10" ht="15" x14ac:dyDescent="0.2">
      <c r="A484" s="70"/>
      <c r="B484" s="70"/>
      <c r="C484" s="70"/>
      <c r="D484" s="70"/>
      <c r="E484" s="70"/>
      <c r="F484" s="70"/>
      <c r="G484" s="70"/>
      <c r="H484" s="70"/>
      <c r="I484" s="70"/>
      <c r="J484" s="70"/>
    </row>
    <row r="485" spans="1:10" ht="15" x14ac:dyDescent="0.2">
      <c r="A485" s="70"/>
      <c r="B485" s="70"/>
      <c r="C485" s="70"/>
      <c r="D485" s="70"/>
      <c r="E485" s="70"/>
      <c r="F485" s="70"/>
      <c r="G485" s="70"/>
      <c r="H485" s="70"/>
      <c r="I485" s="70"/>
      <c r="J485" s="70"/>
    </row>
    <row r="486" spans="1:10" ht="15" x14ac:dyDescent="0.2">
      <c r="A486" s="70"/>
      <c r="B486" s="70"/>
      <c r="C486" s="70"/>
      <c r="D486" s="70"/>
      <c r="E486" s="70"/>
      <c r="F486" s="70"/>
      <c r="G486" s="70"/>
      <c r="H486" s="70"/>
      <c r="I486" s="70"/>
      <c r="J486" s="70"/>
    </row>
    <row r="487" spans="1:10" ht="15" x14ac:dyDescent="0.2">
      <c r="A487" s="70"/>
      <c r="B487" s="70"/>
      <c r="C487" s="70"/>
      <c r="D487" s="70"/>
      <c r="E487" s="70"/>
      <c r="F487" s="70"/>
      <c r="G487" s="70"/>
      <c r="H487" s="70"/>
      <c r="I487" s="70"/>
      <c r="J487" s="70"/>
    </row>
    <row r="488" spans="1:10" ht="15" x14ac:dyDescent="0.2">
      <c r="A488" s="70"/>
      <c r="B488" s="70"/>
      <c r="C488" s="70"/>
      <c r="D488" s="70"/>
      <c r="E488" s="70"/>
      <c r="F488" s="70"/>
      <c r="G488" s="70"/>
      <c r="H488" s="70"/>
      <c r="I488" s="70"/>
      <c r="J488" s="70"/>
    </row>
    <row r="489" spans="1:10" ht="15" x14ac:dyDescent="0.2">
      <c r="A489" s="70"/>
      <c r="B489" s="70"/>
      <c r="C489" s="70"/>
      <c r="D489" s="70"/>
      <c r="E489" s="70"/>
      <c r="F489" s="70"/>
      <c r="G489" s="70"/>
      <c r="H489" s="70"/>
      <c r="I489" s="70"/>
      <c r="J489" s="70"/>
    </row>
    <row r="490" spans="1:10" ht="15" x14ac:dyDescent="0.2">
      <c r="A490" s="70"/>
      <c r="B490" s="70"/>
      <c r="C490" s="70"/>
      <c r="D490" s="70"/>
      <c r="E490" s="70"/>
      <c r="F490" s="70"/>
      <c r="G490" s="70"/>
      <c r="H490" s="70"/>
      <c r="I490" s="70"/>
      <c r="J490" s="70"/>
    </row>
    <row r="491" spans="1:10" ht="15" x14ac:dyDescent="0.2">
      <c r="A491" s="70"/>
      <c r="B491" s="70"/>
      <c r="C491" s="70"/>
      <c r="D491" s="70"/>
      <c r="E491" s="70"/>
      <c r="F491" s="70"/>
      <c r="G491" s="70"/>
      <c r="H491" s="70"/>
      <c r="I491" s="70"/>
      <c r="J491" s="70"/>
    </row>
    <row r="492" spans="1:10" ht="15" x14ac:dyDescent="0.2">
      <c r="A492" s="70"/>
      <c r="B492" s="70"/>
      <c r="C492" s="70"/>
      <c r="D492" s="70"/>
      <c r="E492" s="70"/>
      <c r="F492" s="70"/>
      <c r="G492" s="70"/>
      <c r="H492" s="70"/>
      <c r="I492" s="70"/>
      <c r="J492" s="70"/>
    </row>
    <row r="493" spans="1:10" ht="15" x14ac:dyDescent="0.2">
      <c r="A493" s="70"/>
      <c r="B493" s="70"/>
      <c r="C493" s="70"/>
      <c r="D493" s="70"/>
      <c r="E493" s="70"/>
      <c r="F493" s="70"/>
      <c r="G493" s="70"/>
      <c r="H493" s="70"/>
      <c r="I493" s="70"/>
      <c r="J493" s="70"/>
    </row>
    <row r="494" spans="1:10" ht="15" x14ac:dyDescent="0.2">
      <c r="A494" s="70"/>
      <c r="B494" s="70"/>
      <c r="C494" s="70"/>
      <c r="D494" s="70"/>
      <c r="E494" s="70"/>
      <c r="F494" s="70"/>
      <c r="G494" s="70"/>
      <c r="H494" s="70"/>
      <c r="I494" s="70"/>
      <c r="J494" s="70"/>
    </row>
    <row r="495" spans="1:10" ht="15" x14ac:dyDescent="0.2">
      <c r="A495" s="70"/>
      <c r="B495" s="70"/>
      <c r="C495" s="70"/>
      <c r="D495" s="70"/>
      <c r="E495" s="70"/>
      <c r="F495" s="70"/>
      <c r="G495" s="70"/>
      <c r="H495" s="70"/>
      <c r="I495" s="70"/>
      <c r="J495" s="70"/>
    </row>
    <row r="496" spans="1:10" ht="15" x14ac:dyDescent="0.2">
      <c r="A496" s="70"/>
      <c r="B496" s="70"/>
      <c r="C496" s="70"/>
      <c r="D496" s="70"/>
      <c r="E496" s="70"/>
      <c r="F496" s="70"/>
      <c r="G496" s="70"/>
      <c r="H496" s="70"/>
      <c r="I496" s="70"/>
      <c r="J496" s="70"/>
    </row>
    <row r="497" spans="1:10" ht="15" x14ac:dyDescent="0.2">
      <c r="A497" s="70"/>
      <c r="B497" s="70"/>
      <c r="C497" s="70"/>
      <c r="D497" s="70"/>
      <c r="E497" s="70"/>
      <c r="F497" s="70"/>
      <c r="G497" s="70"/>
      <c r="H497" s="70"/>
      <c r="I497" s="70"/>
      <c r="J497" s="70"/>
    </row>
    <row r="498" spans="1:10" ht="15" x14ac:dyDescent="0.2">
      <c r="A498" s="70"/>
      <c r="B498" s="70"/>
      <c r="C498" s="70"/>
      <c r="D498" s="70"/>
      <c r="E498" s="70"/>
      <c r="F498" s="70"/>
      <c r="G498" s="70"/>
      <c r="H498" s="70"/>
      <c r="I498" s="70"/>
      <c r="J498" s="70"/>
    </row>
    <row r="499" spans="1:10" ht="15" x14ac:dyDescent="0.2">
      <c r="A499" s="70"/>
      <c r="B499" s="70"/>
      <c r="C499" s="70"/>
      <c r="D499" s="70"/>
      <c r="E499" s="70"/>
      <c r="F499" s="70"/>
      <c r="G499" s="70"/>
      <c r="H499" s="70"/>
      <c r="I499" s="70"/>
      <c r="J499" s="70"/>
    </row>
    <row r="500" spans="1:10" ht="15" x14ac:dyDescent="0.2">
      <c r="A500" s="70"/>
      <c r="B500" s="70"/>
      <c r="C500" s="70"/>
      <c r="D500" s="70"/>
      <c r="E500" s="70"/>
      <c r="F500" s="70"/>
      <c r="G500" s="70"/>
      <c r="H500" s="70"/>
      <c r="I500" s="70"/>
      <c r="J500" s="70"/>
    </row>
    <row r="501" spans="1:10" ht="15" x14ac:dyDescent="0.2">
      <c r="A501" s="70"/>
      <c r="B501" s="70"/>
      <c r="C501" s="70"/>
      <c r="D501" s="70"/>
      <c r="E501" s="70"/>
      <c r="F501" s="70"/>
      <c r="G501" s="70"/>
      <c r="H501" s="70"/>
      <c r="I501" s="70"/>
      <c r="J501" s="70"/>
    </row>
    <row r="502" spans="1:10" ht="15" x14ac:dyDescent="0.2">
      <c r="A502" s="70"/>
      <c r="B502" s="70"/>
      <c r="C502" s="70"/>
      <c r="D502" s="70"/>
      <c r="E502" s="70"/>
      <c r="F502" s="70"/>
      <c r="G502" s="70"/>
      <c r="H502" s="70"/>
      <c r="I502" s="70"/>
      <c r="J502" s="70"/>
    </row>
    <row r="503" spans="1:10" ht="15" x14ac:dyDescent="0.2">
      <c r="A503" s="70"/>
      <c r="B503" s="70"/>
      <c r="C503" s="70"/>
      <c r="D503" s="70"/>
      <c r="E503" s="70"/>
      <c r="F503" s="70"/>
      <c r="G503" s="70"/>
      <c r="H503" s="70"/>
      <c r="I503" s="70"/>
      <c r="J503" s="70"/>
    </row>
    <row r="504" spans="1:10" ht="15" x14ac:dyDescent="0.2">
      <c r="A504" s="70"/>
      <c r="B504" s="70"/>
      <c r="C504" s="70"/>
      <c r="D504" s="70"/>
      <c r="E504" s="70"/>
      <c r="F504" s="70"/>
      <c r="G504" s="70"/>
      <c r="H504" s="70"/>
      <c r="I504" s="70"/>
      <c r="J504" s="70"/>
    </row>
    <row r="505" spans="1:10" ht="15" x14ac:dyDescent="0.2">
      <c r="A505" s="70"/>
      <c r="B505" s="70"/>
      <c r="C505" s="70"/>
      <c r="D505" s="70"/>
      <c r="E505" s="70"/>
      <c r="F505" s="70"/>
      <c r="G505" s="70"/>
      <c r="H505" s="70"/>
      <c r="I505" s="70"/>
      <c r="J505" s="70"/>
    </row>
    <row r="506" spans="1:10" ht="15" x14ac:dyDescent="0.2">
      <c r="A506" s="70"/>
      <c r="B506" s="70"/>
      <c r="C506" s="70"/>
      <c r="D506" s="70"/>
      <c r="E506" s="70"/>
      <c r="F506" s="70"/>
      <c r="G506" s="70"/>
      <c r="H506" s="70"/>
      <c r="I506" s="70"/>
      <c r="J506" s="70"/>
    </row>
    <row r="507" spans="1:10" ht="15" x14ac:dyDescent="0.2">
      <c r="A507" s="70"/>
      <c r="B507" s="70"/>
      <c r="C507" s="70"/>
      <c r="D507" s="70"/>
      <c r="E507" s="70"/>
      <c r="F507" s="70"/>
      <c r="G507" s="70"/>
      <c r="H507" s="70"/>
      <c r="I507" s="70"/>
      <c r="J507" s="70"/>
    </row>
    <row r="508" spans="1:10" ht="15" x14ac:dyDescent="0.2">
      <c r="A508" s="70"/>
      <c r="B508" s="70"/>
      <c r="C508" s="70"/>
      <c r="D508" s="70"/>
      <c r="E508" s="70"/>
      <c r="F508" s="70"/>
      <c r="G508" s="70"/>
      <c r="H508" s="70"/>
      <c r="I508" s="70"/>
      <c r="J508" s="70"/>
    </row>
    <row r="509" spans="1:10" ht="15" x14ac:dyDescent="0.2">
      <c r="A509" s="70"/>
      <c r="B509" s="70"/>
      <c r="C509" s="70"/>
      <c r="D509" s="70"/>
      <c r="E509" s="70"/>
      <c r="F509" s="70"/>
      <c r="G509" s="70"/>
      <c r="H509" s="70"/>
      <c r="I509" s="70"/>
      <c r="J509" s="70"/>
    </row>
    <row r="510" spans="1:10" ht="15" x14ac:dyDescent="0.2">
      <c r="A510" s="70"/>
      <c r="B510" s="70"/>
      <c r="C510" s="70"/>
      <c r="D510" s="70"/>
      <c r="E510" s="70"/>
      <c r="F510" s="70"/>
      <c r="G510" s="70"/>
      <c r="H510" s="70"/>
      <c r="I510" s="70"/>
      <c r="J510" s="70"/>
    </row>
    <row r="511" spans="1:10" ht="15" x14ac:dyDescent="0.2">
      <c r="A511" s="70"/>
      <c r="B511" s="70"/>
      <c r="C511" s="70"/>
      <c r="D511" s="70"/>
      <c r="E511" s="70"/>
      <c r="F511" s="70"/>
      <c r="G511" s="70"/>
      <c r="H511" s="70"/>
      <c r="I511" s="70"/>
      <c r="J511" s="70"/>
    </row>
    <row r="512" spans="1:10" ht="15" x14ac:dyDescent="0.2">
      <c r="A512" s="70"/>
      <c r="B512" s="70"/>
      <c r="C512" s="70"/>
      <c r="D512" s="70"/>
      <c r="E512" s="70"/>
      <c r="F512" s="70"/>
      <c r="G512" s="70"/>
      <c r="H512" s="70"/>
      <c r="I512" s="70"/>
      <c r="J512" s="70"/>
    </row>
    <row r="513" spans="1:10" ht="15" x14ac:dyDescent="0.2">
      <c r="A513" s="70"/>
      <c r="B513" s="70"/>
      <c r="C513" s="70"/>
      <c r="D513" s="70"/>
      <c r="E513" s="70"/>
      <c r="F513" s="70"/>
      <c r="G513" s="70"/>
      <c r="H513" s="70"/>
      <c r="I513" s="70"/>
      <c r="J513" s="70"/>
    </row>
    <row r="514" spans="1:10" ht="15" x14ac:dyDescent="0.2">
      <c r="A514" s="70"/>
      <c r="B514" s="70"/>
      <c r="C514" s="70"/>
      <c r="D514" s="70"/>
      <c r="E514" s="70"/>
      <c r="F514" s="70"/>
      <c r="G514" s="70"/>
      <c r="H514" s="70"/>
      <c r="I514" s="70"/>
      <c r="J514" s="70"/>
    </row>
    <row r="515" spans="1:10" ht="15" x14ac:dyDescent="0.2">
      <c r="A515" s="70"/>
      <c r="B515" s="70"/>
      <c r="C515" s="70"/>
      <c r="D515" s="70"/>
      <c r="E515" s="70"/>
      <c r="F515" s="70"/>
      <c r="G515" s="70"/>
      <c r="H515" s="70"/>
      <c r="I515" s="70"/>
      <c r="J515" s="70"/>
    </row>
    <row r="516" spans="1:10" ht="15" x14ac:dyDescent="0.2">
      <c r="A516" s="70"/>
      <c r="B516" s="70"/>
      <c r="C516" s="70"/>
      <c r="D516" s="70"/>
      <c r="E516" s="70"/>
      <c r="F516" s="70"/>
      <c r="G516" s="70"/>
      <c r="H516" s="70"/>
      <c r="I516" s="70"/>
      <c r="J516" s="70"/>
    </row>
    <row r="517" spans="1:10" ht="15" x14ac:dyDescent="0.2">
      <c r="A517" s="70"/>
      <c r="B517" s="70"/>
      <c r="C517" s="70"/>
      <c r="D517" s="70"/>
      <c r="E517" s="70"/>
      <c r="F517" s="70"/>
      <c r="G517" s="70"/>
      <c r="H517" s="70"/>
      <c r="I517" s="70"/>
      <c r="J517" s="70"/>
    </row>
    <row r="518" spans="1:10" ht="15" x14ac:dyDescent="0.2">
      <c r="A518" s="70"/>
      <c r="B518" s="70"/>
      <c r="C518" s="70"/>
      <c r="D518" s="70"/>
      <c r="E518" s="70"/>
      <c r="F518" s="70"/>
      <c r="G518" s="70"/>
      <c r="H518" s="70"/>
      <c r="I518" s="70"/>
      <c r="J518" s="70"/>
    </row>
    <row r="519" spans="1:10" ht="15" x14ac:dyDescent="0.2">
      <c r="A519" s="70"/>
      <c r="B519" s="70"/>
      <c r="C519" s="70"/>
      <c r="D519" s="70"/>
      <c r="E519" s="70"/>
      <c r="F519" s="70"/>
      <c r="G519" s="70"/>
      <c r="H519" s="70"/>
      <c r="I519" s="70"/>
      <c r="J519" s="70"/>
    </row>
    <row r="520" spans="1:10" ht="15" x14ac:dyDescent="0.2">
      <c r="A520" s="70"/>
      <c r="B520" s="70"/>
      <c r="C520" s="70"/>
      <c r="D520" s="70"/>
      <c r="E520" s="70"/>
      <c r="F520" s="70"/>
      <c r="G520" s="70"/>
      <c r="H520" s="70"/>
      <c r="I520" s="70"/>
      <c r="J520" s="70"/>
    </row>
    <row r="521" spans="1:10" ht="15" x14ac:dyDescent="0.2">
      <c r="A521" s="70"/>
      <c r="B521" s="70"/>
      <c r="C521" s="70"/>
      <c r="D521" s="70"/>
      <c r="E521" s="70"/>
      <c r="F521" s="70"/>
      <c r="G521" s="70"/>
      <c r="H521" s="70"/>
      <c r="I521" s="70"/>
      <c r="J521" s="70"/>
    </row>
    <row r="522" spans="1:10" ht="15" x14ac:dyDescent="0.2">
      <c r="A522" s="70"/>
      <c r="B522" s="70"/>
      <c r="C522" s="70"/>
      <c r="D522" s="70"/>
      <c r="E522" s="70"/>
      <c r="F522" s="70"/>
      <c r="G522" s="70"/>
      <c r="H522" s="70"/>
      <c r="I522" s="70"/>
      <c r="J522" s="70"/>
    </row>
    <row r="523" spans="1:10" ht="15" x14ac:dyDescent="0.2">
      <c r="A523" s="70"/>
      <c r="B523" s="70"/>
      <c r="C523" s="70"/>
      <c r="D523" s="70"/>
      <c r="E523" s="70"/>
      <c r="F523" s="70"/>
      <c r="G523" s="70"/>
      <c r="H523" s="70"/>
      <c r="I523" s="70"/>
      <c r="J523" s="70"/>
    </row>
    <row r="524" spans="1:10" ht="15" x14ac:dyDescent="0.2">
      <c r="A524" s="70"/>
      <c r="B524" s="70"/>
      <c r="C524" s="70"/>
      <c r="D524" s="70"/>
      <c r="E524" s="70"/>
      <c r="F524" s="70"/>
      <c r="G524" s="70"/>
      <c r="H524" s="70"/>
      <c r="I524" s="70"/>
      <c r="J524" s="70"/>
    </row>
    <row r="525" spans="1:10" ht="15" x14ac:dyDescent="0.2">
      <c r="A525" s="70"/>
      <c r="B525" s="70"/>
      <c r="C525" s="70"/>
      <c r="D525" s="70"/>
      <c r="E525" s="70"/>
      <c r="F525" s="70"/>
      <c r="G525" s="70"/>
      <c r="H525" s="70"/>
      <c r="I525" s="70"/>
      <c r="J525" s="70"/>
    </row>
    <row r="526" spans="1:10" ht="15" x14ac:dyDescent="0.2">
      <c r="A526" s="70"/>
      <c r="B526" s="70"/>
      <c r="C526" s="70"/>
      <c r="D526" s="70"/>
      <c r="E526" s="70"/>
      <c r="F526" s="70"/>
      <c r="G526" s="70"/>
      <c r="H526" s="70"/>
      <c r="I526" s="70"/>
      <c r="J526" s="70"/>
    </row>
    <row r="527" spans="1:10" ht="15" x14ac:dyDescent="0.2">
      <c r="A527" s="70"/>
      <c r="B527" s="70"/>
      <c r="C527" s="70"/>
      <c r="D527" s="70"/>
      <c r="E527" s="70"/>
      <c r="F527" s="70"/>
      <c r="G527" s="70"/>
      <c r="H527" s="70"/>
      <c r="I527" s="70"/>
      <c r="J527" s="70"/>
    </row>
    <row r="528" spans="1:10" ht="15" x14ac:dyDescent="0.2">
      <c r="A528" s="70"/>
      <c r="B528" s="70"/>
      <c r="C528" s="70"/>
      <c r="D528" s="70"/>
      <c r="E528" s="70"/>
      <c r="F528" s="70"/>
      <c r="G528" s="70"/>
      <c r="H528" s="70"/>
      <c r="I528" s="70"/>
      <c r="J528" s="70"/>
    </row>
    <row r="529" spans="1:10" ht="15" x14ac:dyDescent="0.2">
      <c r="A529" s="70"/>
      <c r="B529" s="70"/>
      <c r="C529" s="70"/>
      <c r="D529" s="70"/>
      <c r="E529" s="70"/>
      <c r="F529" s="70"/>
      <c r="G529" s="70"/>
      <c r="H529" s="70"/>
      <c r="I529" s="70"/>
      <c r="J529" s="70"/>
    </row>
    <row r="530" spans="1:10" ht="15" x14ac:dyDescent="0.2">
      <c r="A530" s="70"/>
      <c r="B530" s="70"/>
      <c r="C530" s="70"/>
      <c r="D530" s="70"/>
      <c r="E530" s="70"/>
      <c r="F530" s="70"/>
      <c r="G530" s="70"/>
      <c r="H530" s="70"/>
      <c r="I530" s="70"/>
      <c r="J530" s="70"/>
    </row>
    <row r="531" spans="1:10" ht="15" x14ac:dyDescent="0.2">
      <c r="A531" s="70"/>
      <c r="B531" s="70"/>
      <c r="C531" s="70"/>
      <c r="D531" s="70"/>
      <c r="E531" s="70"/>
      <c r="F531" s="70"/>
      <c r="G531" s="70"/>
      <c r="H531" s="70"/>
      <c r="I531" s="70"/>
      <c r="J531" s="70"/>
    </row>
    <row r="532" spans="1:10" ht="15" x14ac:dyDescent="0.2">
      <c r="A532" s="70"/>
      <c r="B532" s="70"/>
      <c r="C532" s="70"/>
      <c r="D532" s="70"/>
      <c r="E532" s="70"/>
      <c r="F532" s="70"/>
      <c r="G532" s="70"/>
      <c r="H532" s="70"/>
      <c r="I532" s="70"/>
      <c r="J532" s="70"/>
    </row>
    <row r="533" spans="1:10" ht="15" x14ac:dyDescent="0.2">
      <c r="A533" s="70"/>
      <c r="B533" s="70"/>
      <c r="C533" s="70"/>
      <c r="D533" s="70"/>
      <c r="E533" s="70"/>
      <c r="F533" s="70"/>
      <c r="G533" s="70"/>
      <c r="H533" s="70"/>
      <c r="I533" s="70"/>
      <c r="J533" s="70"/>
    </row>
    <row r="534" spans="1:10" ht="15" x14ac:dyDescent="0.2">
      <c r="A534" s="70"/>
      <c r="B534" s="70"/>
      <c r="C534" s="70"/>
      <c r="D534" s="70"/>
      <c r="E534" s="70"/>
      <c r="F534" s="70"/>
      <c r="G534" s="70"/>
      <c r="H534" s="70"/>
      <c r="I534" s="70"/>
      <c r="J534" s="70"/>
    </row>
    <row r="535" spans="1:10" ht="15" x14ac:dyDescent="0.2">
      <c r="A535" s="70"/>
      <c r="B535" s="70"/>
      <c r="C535" s="70"/>
      <c r="D535" s="70"/>
      <c r="E535" s="70"/>
      <c r="F535" s="70"/>
      <c r="G535" s="70"/>
      <c r="H535" s="70"/>
      <c r="I535" s="70"/>
      <c r="J535" s="70"/>
    </row>
    <row r="536" spans="1:10" ht="15" x14ac:dyDescent="0.2">
      <c r="A536" s="70"/>
      <c r="B536" s="70"/>
      <c r="C536" s="70"/>
      <c r="D536" s="70"/>
      <c r="E536" s="70"/>
      <c r="F536" s="70"/>
      <c r="G536" s="70"/>
      <c r="H536" s="70"/>
      <c r="I536" s="70"/>
      <c r="J536" s="70"/>
    </row>
    <row r="537" spans="1:10" ht="15" x14ac:dyDescent="0.2">
      <c r="A537" s="70"/>
      <c r="B537" s="70"/>
      <c r="C537" s="70"/>
      <c r="D537" s="70"/>
      <c r="E537" s="70"/>
      <c r="F537" s="70"/>
      <c r="G537" s="70"/>
      <c r="H537" s="70"/>
      <c r="I537" s="70"/>
      <c r="J537" s="70"/>
    </row>
    <row r="538" spans="1:10" ht="15" x14ac:dyDescent="0.2">
      <c r="A538" s="70"/>
      <c r="B538" s="70"/>
      <c r="C538" s="70"/>
      <c r="D538" s="70"/>
      <c r="E538" s="70"/>
      <c r="F538" s="70"/>
      <c r="G538" s="70"/>
      <c r="H538" s="70"/>
      <c r="I538" s="70"/>
      <c r="J538" s="70"/>
    </row>
    <row r="539" spans="1:10" ht="15" x14ac:dyDescent="0.2">
      <c r="A539" s="70"/>
      <c r="B539" s="70"/>
      <c r="C539" s="70"/>
      <c r="D539" s="70"/>
      <c r="E539" s="70"/>
      <c r="F539" s="70"/>
      <c r="G539" s="70"/>
      <c r="H539" s="70"/>
      <c r="I539" s="70"/>
      <c r="J539" s="70"/>
    </row>
    <row r="540" spans="1:10" ht="15" x14ac:dyDescent="0.2">
      <c r="A540" s="70"/>
      <c r="B540" s="70"/>
      <c r="C540" s="70"/>
      <c r="D540" s="70"/>
      <c r="E540" s="70"/>
      <c r="F540" s="70"/>
      <c r="G540" s="70"/>
      <c r="H540" s="70"/>
      <c r="I540" s="70"/>
      <c r="J540" s="70"/>
    </row>
    <row r="541" spans="1:10" ht="15" x14ac:dyDescent="0.2">
      <c r="A541" s="70"/>
      <c r="B541" s="70"/>
      <c r="C541" s="70"/>
      <c r="D541" s="70"/>
      <c r="E541" s="70"/>
      <c r="F541" s="70"/>
      <c r="G541" s="70"/>
      <c r="H541" s="70"/>
      <c r="I541" s="70"/>
      <c r="J541" s="70"/>
    </row>
    <row r="542" spans="1:10" ht="15" x14ac:dyDescent="0.2">
      <c r="A542" s="70"/>
      <c r="B542" s="70"/>
      <c r="C542" s="70"/>
      <c r="D542" s="70"/>
      <c r="E542" s="70"/>
      <c r="F542" s="70"/>
      <c r="G542" s="70"/>
      <c r="H542" s="70"/>
      <c r="I542" s="70"/>
      <c r="J542" s="70"/>
    </row>
    <row r="543" spans="1:10" ht="15" x14ac:dyDescent="0.2">
      <c r="A543" s="70"/>
      <c r="B543" s="70"/>
      <c r="C543" s="70"/>
      <c r="D543" s="70"/>
      <c r="E543" s="70"/>
      <c r="F543" s="70"/>
      <c r="G543" s="70"/>
      <c r="H543" s="70"/>
      <c r="I543" s="70"/>
      <c r="J543" s="70"/>
    </row>
    <row r="544" spans="1:10" ht="15" x14ac:dyDescent="0.2">
      <c r="A544" s="70"/>
      <c r="B544" s="70"/>
      <c r="C544" s="70"/>
      <c r="D544" s="70"/>
      <c r="E544" s="70"/>
      <c r="F544" s="70"/>
      <c r="G544" s="70"/>
      <c r="H544" s="70"/>
      <c r="I544" s="70"/>
      <c r="J544" s="70"/>
    </row>
    <row r="545" spans="1:10" ht="15" x14ac:dyDescent="0.2">
      <c r="A545" s="70"/>
      <c r="B545" s="70"/>
      <c r="C545" s="70"/>
      <c r="D545" s="70"/>
      <c r="E545" s="70"/>
      <c r="F545" s="70"/>
      <c r="G545" s="70"/>
      <c r="H545" s="70"/>
      <c r="I545" s="70"/>
      <c r="J545" s="70"/>
    </row>
    <row r="546" spans="1:10" ht="15" x14ac:dyDescent="0.2">
      <c r="A546" s="70"/>
      <c r="B546" s="70"/>
      <c r="C546" s="70"/>
      <c r="D546" s="70"/>
      <c r="E546" s="70"/>
      <c r="F546" s="70"/>
      <c r="G546" s="70"/>
      <c r="H546" s="70"/>
      <c r="I546" s="70"/>
      <c r="J546" s="70"/>
    </row>
    <row r="547" spans="1:10" ht="15" x14ac:dyDescent="0.2">
      <c r="A547" s="70"/>
      <c r="B547" s="70"/>
      <c r="C547" s="70"/>
      <c r="D547" s="70"/>
      <c r="E547" s="70"/>
      <c r="F547" s="70"/>
      <c r="G547" s="70"/>
      <c r="H547" s="70"/>
      <c r="I547" s="70"/>
      <c r="J547" s="70"/>
    </row>
    <row r="548" spans="1:10" ht="15" x14ac:dyDescent="0.2">
      <c r="A548" s="70"/>
      <c r="B548" s="70"/>
      <c r="C548" s="70"/>
      <c r="D548" s="70"/>
      <c r="E548" s="70"/>
      <c r="F548" s="70"/>
      <c r="G548" s="70"/>
      <c r="H548" s="70"/>
      <c r="I548" s="70"/>
      <c r="J548" s="70"/>
    </row>
    <row r="549" spans="1:10" ht="15" x14ac:dyDescent="0.2">
      <c r="A549" s="70"/>
      <c r="B549" s="70"/>
      <c r="C549" s="70"/>
      <c r="D549" s="70"/>
      <c r="E549" s="70"/>
      <c r="F549" s="70"/>
      <c r="G549" s="70"/>
      <c r="H549" s="70"/>
      <c r="I549" s="70"/>
      <c r="J549" s="70"/>
    </row>
    <row r="550" spans="1:10" ht="15" x14ac:dyDescent="0.2">
      <c r="A550" s="70"/>
      <c r="B550" s="70"/>
      <c r="C550" s="70"/>
      <c r="D550" s="70"/>
      <c r="E550" s="70"/>
      <c r="F550" s="70"/>
      <c r="G550" s="70"/>
      <c r="H550" s="70"/>
      <c r="I550" s="70"/>
      <c r="J550" s="70"/>
    </row>
    <row r="551" spans="1:10" ht="15" x14ac:dyDescent="0.2">
      <c r="A551" s="70"/>
      <c r="B551" s="70"/>
      <c r="C551" s="70"/>
      <c r="D551" s="70"/>
      <c r="E551" s="70"/>
      <c r="F551" s="70"/>
      <c r="G551" s="70"/>
      <c r="H551" s="70"/>
      <c r="I551" s="70"/>
      <c r="J551" s="70"/>
    </row>
    <row r="552" spans="1:10" ht="15" x14ac:dyDescent="0.2">
      <c r="A552" s="70"/>
      <c r="B552" s="70"/>
      <c r="C552" s="70"/>
      <c r="D552" s="70"/>
      <c r="E552" s="70"/>
      <c r="F552" s="70"/>
      <c r="G552" s="70"/>
      <c r="H552" s="70"/>
      <c r="I552" s="70"/>
      <c r="J552" s="70"/>
    </row>
    <row r="553" spans="1:10" ht="15" x14ac:dyDescent="0.2">
      <c r="A553" s="70"/>
      <c r="B553" s="70"/>
      <c r="C553" s="70"/>
      <c r="D553" s="70"/>
      <c r="E553" s="70"/>
      <c r="F553" s="70"/>
      <c r="G553" s="70"/>
      <c r="H553" s="70"/>
      <c r="I553" s="70"/>
      <c r="J553" s="70"/>
    </row>
    <row r="554" spans="1:10" ht="15" x14ac:dyDescent="0.2">
      <c r="A554" s="70"/>
      <c r="B554" s="70"/>
      <c r="C554" s="70"/>
      <c r="D554" s="70"/>
      <c r="E554" s="70"/>
      <c r="F554" s="70"/>
      <c r="G554" s="70"/>
      <c r="H554" s="70"/>
      <c r="I554" s="70"/>
      <c r="J554" s="70"/>
    </row>
    <row r="555" spans="1:10" ht="15" x14ac:dyDescent="0.2">
      <c r="A555" s="70"/>
      <c r="B555" s="70"/>
      <c r="C555" s="70"/>
      <c r="D555" s="70"/>
      <c r="E555" s="70"/>
      <c r="F555" s="70"/>
      <c r="G555" s="70"/>
      <c r="H555" s="70"/>
      <c r="I555" s="70"/>
      <c r="J555" s="70"/>
    </row>
    <row r="556" spans="1:10" ht="15" x14ac:dyDescent="0.2">
      <c r="A556" s="70"/>
      <c r="B556" s="70"/>
      <c r="C556" s="70"/>
      <c r="D556" s="70"/>
      <c r="E556" s="70"/>
      <c r="F556" s="70"/>
      <c r="G556" s="70"/>
      <c r="H556" s="70"/>
      <c r="I556" s="70"/>
      <c r="J556" s="70"/>
    </row>
    <row r="557" spans="1:10" ht="15" x14ac:dyDescent="0.2">
      <c r="A557" s="70"/>
      <c r="B557" s="70"/>
      <c r="C557" s="70"/>
      <c r="D557" s="70"/>
      <c r="E557" s="70"/>
      <c r="F557" s="70"/>
      <c r="G557" s="70"/>
      <c r="H557" s="70"/>
      <c r="I557" s="70"/>
      <c r="J557" s="70"/>
    </row>
    <row r="558" spans="1:10" ht="15" x14ac:dyDescent="0.2">
      <c r="A558" s="70"/>
      <c r="B558" s="70"/>
      <c r="C558" s="70"/>
      <c r="D558" s="70"/>
      <c r="E558" s="70"/>
      <c r="F558" s="70"/>
      <c r="G558" s="70"/>
      <c r="H558" s="70"/>
      <c r="I558" s="70"/>
      <c r="J558" s="70"/>
    </row>
    <row r="559" spans="1:10" ht="15" x14ac:dyDescent="0.2">
      <c r="A559" s="70"/>
      <c r="B559" s="70"/>
      <c r="C559" s="70"/>
      <c r="D559" s="70"/>
      <c r="E559" s="70"/>
      <c r="F559" s="70"/>
      <c r="G559" s="70"/>
      <c r="H559" s="70"/>
      <c r="I559" s="70"/>
      <c r="J559" s="70"/>
    </row>
    <row r="560" spans="1:10" ht="15" x14ac:dyDescent="0.2">
      <c r="A560" s="70"/>
      <c r="B560" s="70"/>
      <c r="C560" s="70"/>
      <c r="D560" s="70"/>
      <c r="E560" s="70"/>
      <c r="F560" s="70"/>
      <c r="G560" s="70"/>
      <c r="H560" s="70"/>
      <c r="I560" s="70"/>
      <c r="J560" s="70"/>
    </row>
    <row r="561" spans="1:10" ht="15" x14ac:dyDescent="0.2">
      <c r="A561" s="70"/>
      <c r="B561" s="70"/>
      <c r="C561" s="70"/>
      <c r="D561" s="70"/>
      <c r="E561" s="70"/>
      <c r="F561" s="70"/>
      <c r="G561" s="70"/>
      <c r="H561" s="70"/>
      <c r="I561" s="70"/>
      <c r="J561" s="70"/>
    </row>
    <row r="562" spans="1:10" ht="15" x14ac:dyDescent="0.2">
      <c r="A562" s="70"/>
      <c r="B562" s="70"/>
      <c r="C562" s="70"/>
      <c r="D562" s="70"/>
      <c r="E562" s="70"/>
      <c r="F562" s="70"/>
      <c r="G562" s="70"/>
      <c r="H562" s="70"/>
      <c r="I562" s="70"/>
      <c r="J562" s="70"/>
    </row>
    <row r="563" spans="1:10" ht="15" x14ac:dyDescent="0.2">
      <c r="A563" s="70"/>
      <c r="B563" s="70"/>
      <c r="C563" s="70"/>
      <c r="D563" s="70"/>
      <c r="E563" s="70"/>
      <c r="F563" s="70"/>
      <c r="G563" s="70"/>
      <c r="H563" s="70"/>
      <c r="I563" s="70"/>
      <c r="J563" s="70"/>
    </row>
    <row r="564" spans="1:10" ht="15" x14ac:dyDescent="0.2">
      <c r="A564" s="70"/>
      <c r="B564" s="70"/>
      <c r="C564" s="70"/>
      <c r="D564" s="70"/>
      <c r="E564" s="70"/>
      <c r="F564" s="70"/>
      <c r="G564" s="70"/>
      <c r="H564" s="70"/>
      <c r="I564" s="70"/>
      <c r="J564" s="70"/>
    </row>
    <row r="565" spans="1:10" ht="15" x14ac:dyDescent="0.2">
      <c r="A565" s="70"/>
      <c r="B565" s="70"/>
      <c r="C565" s="70"/>
      <c r="D565" s="70"/>
      <c r="E565" s="70"/>
      <c r="F565" s="70"/>
      <c r="G565" s="70"/>
      <c r="H565" s="70"/>
      <c r="I565" s="70"/>
      <c r="J565" s="70"/>
    </row>
    <row r="566" spans="1:10" ht="15" x14ac:dyDescent="0.2">
      <c r="A566" s="70"/>
      <c r="B566" s="70"/>
      <c r="C566" s="70"/>
      <c r="D566" s="70"/>
      <c r="E566" s="70"/>
      <c r="F566" s="70"/>
      <c r="G566" s="70"/>
      <c r="H566" s="70"/>
      <c r="I566" s="70"/>
      <c r="J566" s="70"/>
    </row>
    <row r="567" spans="1:10" ht="15" x14ac:dyDescent="0.2">
      <c r="A567" s="70"/>
      <c r="B567" s="70"/>
      <c r="C567" s="70"/>
      <c r="D567" s="70"/>
      <c r="E567" s="70"/>
      <c r="F567" s="70"/>
      <c r="G567" s="70"/>
      <c r="H567" s="70"/>
      <c r="I567" s="70"/>
      <c r="J567" s="70"/>
    </row>
    <row r="568" spans="1:10" ht="15" x14ac:dyDescent="0.2">
      <c r="A568" s="70"/>
      <c r="B568" s="70"/>
      <c r="C568" s="70"/>
      <c r="D568" s="70"/>
      <c r="E568" s="70"/>
      <c r="F568" s="70"/>
      <c r="G568" s="70"/>
      <c r="H568" s="70"/>
      <c r="I568" s="70"/>
      <c r="J568" s="70"/>
    </row>
    <row r="569" spans="1:10" ht="15" x14ac:dyDescent="0.2">
      <c r="A569" s="70"/>
      <c r="B569" s="70"/>
      <c r="C569" s="70"/>
      <c r="D569" s="70"/>
      <c r="E569" s="70"/>
      <c r="F569" s="70"/>
      <c r="G569" s="70"/>
      <c r="H569" s="70"/>
      <c r="I569" s="70"/>
      <c r="J569" s="70"/>
    </row>
    <row r="570" spans="1:10" ht="15" x14ac:dyDescent="0.2">
      <c r="A570" s="70"/>
      <c r="B570" s="70"/>
      <c r="C570" s="70"/>
      <c r="D570" s="70"/>
      <c r="E570" s="70"/>
      <c r="F570" s="70"/>
      <c r="G570" s="70"/>
      <c r="H570" s="70"/>
      <c r="I570" s="70"/>
      <c r="J570" s="70"/>
    </row>
    <row r="571" spans="1:10" ht="15" x14ac:dyDescent="0.2">
      <c r="A571" s="70"/>
      <c r="B571" s="70"/>
      <c r="C571" s="70"/>
      <c r="D571" s="70"/>
      <c r="E571" s="70"/>
      <c r="F571" s="70"/>
      <c r="G571" s="70"/>
      <c r="H571" s="70"/>
      <c r="I571" s="70"/>
      <c r="J571" s="70"/>
    </row>
    <row r="572" spans="1:10" ht="15" x14ac:dyDescent="0.2">
      <c r="A572" s="70"/>
      <c r="B572" s="70"/>
      <c r="C572" s="70"/>
      <c r="D572" s="70"/>
      <c r="E572" s="70"/>
      <c r="F572" s="70"/>
      <c r="G572" s="70"/>
      <c r="H572" s="70"/>
      <c r="I572" s="70"/>
      <c r="J572" s="70"/>
    </row>
    <row r="573" spans="1:10" ht="15" x14ac:dyDescent="0.2">
      <c r="A573" s="70"/>
      <c r="B573" s="70"/>
      <c r="C573" s="70"/>
      <c r="D573" s="70"/>
      <c r="E573" s="70"/>
      <c r="F573" s="70"/>
      <c r="G573" s="70"/>
      <c r="H573" s="70"/>
      <c r="I573" s="70"/>
      <c r="J573" s="70"/>
    </row>
    <row r="574" spans="1:10" ht="15" x14ac:dyDescent="0.2">
      <c r="A574" s="70"/>
      <c r="B574" s="70"/>
      <c r="C574" s="70"/>
      <c r="D574" s="70"/>
      <c r="E574" s="70"/>
      <c r="F574" s="70"/>
      <c r="G574" s="70"/>
      <c r="H574" s="70"/>
      <c r="I574" s="70"/>
      <c r="J574" s="70"/>
    </row>
    <row r="575" spans="1:10" ht="15" x14ac:dyDescent="0.2">
      <c r="A575" s="70"/>
      <c r="B575" s="70"/>
      <c r="C575" s="70"/>
      <c r="D575" s="70"/>
      <c r="E575" s="70"/>
      <c r="F575" s="70"/>
      <c r="G575" s="70"/>
      <c r="H575" s="70"/>
      <c r="I575" s="70"/>
      <c r="J575" s="70"/>
    </row>
    <row r="576" spans="1:10" ht="15" x14ac:dyDescent="0.2">
      <c r="A576" s="70"/>
      <c r="B576" s="70"/>
      <c r="C576" s="70"/>
      <c r="D576" s="70"/>
      <c r="E576" s="70"/>
      <c r="F576" s="70"/>
      <c r="G576" s="70"/>
      <c r="H576" s="70"/>
      <c r="I576" s="70"/>
      <c r="J576" s="70"/>
    </row>
    <row r="577" spans="1:10" ht="15" x14ac:dyDescent="0.2">
      <c r="A577" s="70"/>
      <c r="B577" s="70"/>
      <c r="C577" s="70"/>
      <c r="D577" s="70"/>
      <c r="E577" s="70"/>
      <c r="F577" s="70"/>
      <c r="G577" s="70"/>
      <c r="H577" s="70"/>
      <c r="I577" s="70"/>
      <c r="J577" s="70"/>
    </row>
    <row r="578" spans="1:10" ht="15" x14ac:dyDescent="0.2">
      <c r="A578" s="70"/>
      <c r="B578" s="70"/>
      <c r="C578" s="70"/>
      <c r="D578" s="70"/>
      <c r="E578" s="70"/>
      <c r="F578" s="70"/>
      <c r="G578" s="70"/>
      <c r="H578" s="70"/>
      <c r="I578" s="70"/>
      <c r="J578" s="70"/>
    </row>
    <row r="579" spans="1:10" ht="15" x14ac:dyDescent="0.2">
      <c r="A579" s="70"/>
      <c r="B579" s="70"/>
      <c r="C579" s="70"/>
      <c r="D579" s="70"/>
      <c r="E579" s="70"/>
      <c r="F579" s="70"/>
      <c r="G579" s="70"/>
      <c r="H579" s="70"/>
      <c r="I579" s="70"/>
      <c r="J579" s="70"/>
    </row>
    <row r="580" spans="1:10" ht="15" x14ac:dyDescent="0.2">
      <c r="A580" s="70"/>
      <c r="B580" s="70"/>
      <c r="C580" s="70"/>
      <c r="D580" s="70"/>
      <c r="E580" s="70"/>
      <c r="F580" s="70"/>
      <c r="G580" s="70"/>
      <c r="H580" s="70"/>
      <c r="I580" s="70"/>
      <c r="J580" s="70"/>
    </row>
    <row r="581" spans="1:10" ht="15" x14ac:dyDescent="0.2">
      <c r="A581" s="70"/>
      <c r="B581" s="70"/>
      <c r="C581" s="70"/>
      <c r="D581" s="70"/>
      <c r="E581" s="70"/>
      <c r="F581" s="70"/>
      <c r="G581" s="70"/>
      <c r="H581" s="70"/>
      <c r="I581" s="70"/>
      <c r="J581" s="70"/>
    </row>
    <row r="582" spans="1:10" ht="15" x14ac:dyDescent="0.2">
      <c r="A582" s="70"/>
      <c r="B582" s="70"/>
      <c r="C582" s="70"/>
      <c r="D582" s="70"/>
      <c r="E582" s="70"/>
      <c r="F582" s="70"/>
      <c r="G582" s="70"/>
      <c r="H582" s="70"/>
      <c r="I582" s="70"/>
      <c r="J582" s="70"/>
    </row>
    <row r="583" spans="1:10" ht="15" x14ac:dyDescent="0.2">
      <c r="A583" s="70"/>
      <c r="B583" s="70"/>
      <c r="C583" s="70"/>
      <c r="D583" s="70"/>
      <c r="E583" s="70"/>
      <c r="F583" s="70"/>
      <c r="G583" s="70"/>
      <c r="H583" s="70"/>
      <c r="I583" s="70"/>
      <c r="J583" s="70"/>
    </row>
    <row r="584" spans="1:10" ht="15" x14ac:dyDescent="0.2">
      <c r="A584" s="70"/>
      <c r="B584" s="70"/>
      <c r="C584" s="70"/>
      <c r="D584" s="70"/>
      <c r="E584" s="70"/>
      <c r="F584" s="70"/>
      <c r="G584" s="70"/>
      <c r="H584" s="70"/>
      <c r="I584" s="70"/>
      <c r="J584" s="70"/>
    </row>
    <row r="585" spans="1:10" ht="15" x14ac:dyDescent="0.2">
      <c r="A585" s="70"/>
      <c r="B585" s="70"/>
      <c r="C585" s="70"/>
      <c r="D585" s="70"/>
      <c r="E585" s="70"/>
      <c r="F585" s="70"/>
      <c r="G585" s="70"/>
      <c r="H585" s="70"/>
      <c r="I585" s="70"/>
      <c r="J585" s="70"/>
    </row>
    <row r="586" spans="1:10" ht="15" x14ac:dyDescent="0.2">
      <c r="A586" s="70"/>
      <c r="B586" s="70"/>
      <c r="C586" s="70"/>
      <c r="D586" s="70"/>
      <c r="E586" s="70"/>
      <c r="F586" s="70"/>
      <c r="G586" s="70"/>
      <c r="H586" s="70"/>
      <c r="I586" s="70"/>
      <c r="J586" s="70"/>
    </row>
    <row r="587" spans="1:10" ht="15" x14ac:dyDescent="0.2">
      <c r="A587" s="70"/>
      <c r="B587" s="70"/>
      <c r="C587" s="70"/>
      <c r="D587" s="70"/>
      <c r="E587" s="70"/>
      <c r="F587" s="70"/>
      <c r="G587" s="70"/>
      <c r="H587" s="70"/>
      <c r="I587" s="70"/>
      <c r="J587" s="70"/>
    </row>
    <row r="588" spans="1:10" ht="15" x14ac:dyDescent="0.2">
      <c r="A588" s="70"/>
      <c r="B588" s="70"/>
      <c r="C588" s="70"/>
      <c r="D588" s="70"/>
      <c r="E588" s="70"/>
      <c r="F588" s="70"/>
      <c r="G588" s="70"/>
      <c r="H588" s="70"/>
      <c r="I588" s="70"/>
      <c r="J588" s="70"/>
    </row>
    <row r="589" spans="1:10" ht="15" x14ac:dyDescent="0.2">
      <c r="A589" s="70"/>
      <c r="B589" s="70"/>
      <c r="C589" s="70"/>
      <c r="D589" s="70"/>
      <c r="E589" s="70"/>
      <c r="F589" s="70"/>
      <c r="G589" s="70"/>
      <c r="H589" s="70"/>
      <c r="I589" s="70"/>
      <c r="J589" s="70"/>
    </row>
    <row r="590" spans="1:10" ht="15" x14ac:dyDescent="0.2">
      <c r="A590" s="70"/>
      <c r="B590" s="70"/>
      <c r="C590" s="70"/>
      <c r="D590" s="70"/>
      <c r="E590" s="70"/>
      <c r="F590" s="70"/>
      <c r="G590" s="70"/>
      <c r="H590" s="70"/>
      <c r="I590" s="70"/>
      <c r="J590" s="70"/>
    </row>
    <row r="591" spans="1:10" ht="15" x14ac:dyDescent="0.2">
      <c r="A591" s="70"/>
      <c r="B591" s="70"/>
      <c r="C591" s="70"/>
      <c r="D591" s="70"/>
      <c r="E591" s="70"/>
      <c r="F591" s="70"/>
      <c r="G591" s="70"/>
      <c r="H591" s="70"/>
      <c r="I591" s="70"/>
      <c r="J591" s="70"/>
    </row>
    <row r="592" spans="1:10" ht="15" x14ac:dyDescent="0.2">
      <c r="A592" s="70"/>
      <c r="B592" s="70"/>
      <c r="C592" s="70"/>
      <c r="D592" s="70"/>
      <c r="E592" s="70"/>
      <c r="F592" s="70"/>
      <c r="G592" s="70"/>
      <c r="H592" s="70"/>
      <c r="I592" s="70"/>
      <c r="J592" s="70"/>
    </row>
    <row r="593" spans="1:10" ht="15" x14ac:dyDescent="0.2">
      <c r="A593" s="70"/>
      <c r="B593" s="70"/>
      <c r="C593" s="70"/>
      <c r="D593" s="70"/>
      <c r="E593" s="70"/>
      <c r="F593" s="70"/>
      <c r="G593" s="70"/>
      <c r="H593" s="70"/>
      <c r="I593" s="70"/>
      <c r="J593" s="70"/>
    </row>
    <row r="594" spans="1:10" ht="15" x14ac:dyDescent="0.2">
      <c r="A594" s="70"/>
      <c r="B594" s="70"/>
      <c r="C594" s="70"/>
      <c r="D594" s="70"/>
      <c r="E594" s="70"/>
      <c r="F594" s="70"/>
      <c r="G594" s="70"/>
      <c r="H594" s="70"/>
      <c r="I594" s="70"/>
      <c r="J594" s="70"/>
    </row>
    <row r="595" spans="1:10" ht="15" x14ac:dyDescent="0.2">
      <c r="A595" s="70"/>
      <c r="B595" s="70"/>
      <c r="C595" s="70"/>
      <c r="D595" s="70"/>
      <c r="E595" s="70"/>
      <c r="F595" s="70"/>
      <c r="G595" s="70"/>
      <c r="H595" s="70"/>
      <c r="I595" s="70"/>
      <c r="J595" s="70"/>
    </row>
    <row r="596" spans="1:10" ht="15" x14ac:dyDescent="0.2">
      <c r="A596" s="70"/>
      <c r="B596" s="70"/>
      <c r="C596" s="70"/>
      <c r="D596" s="70"/>
      <c r="E596" s="70"/>
      <c r="F596" s="70"/>
      <c r="G596" s="70"/>
      <c r="H596" s="70"/>
      <c r="I596" s="70"/>
      <c r="J596" s="70"/>
    </row>
    <row r="597" spans="1:10" ht="15" x14ac:dyDescent="0.2">
      <c r="A597" s="70"/>
      <c r="B597" s="70"/>
      <c r="C597" s="70"/>
      <c r="D597" s="70"/>
      <c r="E597" s="70"/>
      <c r="F597" s="70"/>
      <c r="G597" s="70"/>
      <c r="H597" s="70"/>
      <c r="I597" s="70"/>
      <c r="J597" s="70"/>
    </row>
    <row r="598" spans="1:10" ht="15" x14ac:dyDescent="0.2">
      <c r="A598" s="70"/>
      <c r="B598" s="70"/>
      <c r="C598" s="70"/>
      <c r="D598" s="70"/>
      <c r="E598" s="70"/>
      <c r="F598" s="70"/>
      <c r="G598" s="70"/>
      <c r="H598" s="70"/>
      <c r="I598" s="70"/>
      <c r="J598" s="70"/>
    </row>
    <row r="599" spans="1:10" ht="15" x14ac:dyDescent="0.2">
      <c r="A599" s="70"/>
      <c r="B599" s="70"/>
      <c r="C599" s="70"/>
      <c r="D599" s="70"/>
      <c r="E599" s="70"/>
      <c r="F599" s="70"/>
      <c r="G599" s="70"/>
      <c r="H599" s="70"/>
      <c r="I599" s="70"/>
      <c r="J599" s="70"/>
    </row>
    <row r="600" spans="1:10" ht="15" x14ac:dyDescent="0.2">
      <c r="A600" s="70"/>
      <c r="B600" s="70"/>
      <c r="C600" s="70"/>
      <c r="D600" s="70"/>
      <c r="E600" s="70"/>
      <c r="F600" s="70"/>
      <c r="G600" s="70"/>
      <c r="H600" s="70"/>
      <c r="I600" s="70"/>
      <c r="J600" s="70"/>
    </row>
    <row r="601" spans="1:10" ht="15" x14ac:dyDescent="0.2">
      <c r="A601" s="70"/>
      <c r="B601" s="70"/>
      <c r="C601" s="70"/>
      <c r="D601" s="70"/>
      <c r="E601" s="70"/>
      <c r="F601" s="70"/>
      <c r="G601" s="70"/>
      <c r="H601" s="70"/>
      <c r="I601" s="70"/>
      <c r="J601" s="70"/>
    </row>
    <row r="602" spans="1:10" ht="15" x14ac:dyDescent="0.2">
      <c r="A602" s="70"/>
      <c r="B602" s="70"/>
      <c r="C602" s="70"/>
      <c r="D602" s="70"/>
      <c r="E602" s="70"/>
      <c r="F602" s="70"/>
      <c r="G602" s="70"/>
      <c r="H602" s="70"/>
      <c r="I602" s="70"/>
      <c r="J602" s="70"/>
    </row>
    <row r="603" spans="1:10" ht="15" x14ac:dyDescent="0.2">
      <c r="A603" s="70"/>
      <c r="B603" s="70"/>
      <c r="C603" s="70"/>
      <c r="D603" s="70"/>
      <c r="E603" s="70"/>
      <c r="F603" s="70"/>
      <c r="G603" s="70"/>
      <c r="H603" s="70"/>
      <c r="I603" s="70"/>
      <c r="J603" s="70"/>
    </row>
    <row r="604" spans="1:10" ht="15" x14ac:dyDescent="0.2">
      <c r="A604" s="70"/>
      <c r="B604" s="70"/>
      <c r="C604" s="70"/>
      <c r="D604" s="70"/>
      <c r="E604" s="70"/>
      <c r="F604" s="70"/>
      <c r="G604" s="70"/>
      <c r="H604" s="70"/>
      <c r="I604" s="70"/>
      <c r="J604" s="70"/>
    </row>
    <row r="605" spans="1:10" ht="15" x14ac:dyDescent="0.2">
      <c r="A605" s="70"/>
      <c r="B605" s="70"/>
      <c r="C605" s="70"/>
      <c r="D605" s="70"/>
      <c r="E605" s="70"/>
      <c r="F605" s="70"/>
      <c r="G605" s="70"/>
      <c r="H605" s="70"/>
      <c r="I605" s="70"/>
      <c r="J605" s="70"/>
    </row>
    <row r="606" spans="1:10" ht="15" x14ac:dyDescent="0.2">
      <c r="A606" s="70"/>
      <c r="B606" s="70"/>
      <c r="C606" s="70"/>
      <c r="D606" s="70"/>
      <c r="E606" s="70"/>
      <c r="F606" s="70"/>
      <c r="G606" s="70"/>
      <c r="H606" s="70"/>
      <c r="I606" s="70"/>
      <c r="J606" s="70"/>
    </row>
    <row r="607" spans="1:10" ht="15" x14ac:dyDescent="0.2">
      <c r="A607" s="70"/>
      <c r="B607" s="70"/>
      <c r="C607" s="70"/>
      <c r="D607" s="70"/>
      <c r="E607" s="70"/>
      <c r="F607" s="70"/>
      <c r="G607" s="70"/>
      <c r="H607" s="70"/>
      <c r="I607" s="70"/>
      <c r="J607" s="70"/>
    </row>
    <row r="608" spans="1:10" ht="15" x14ac:dyDescent="0.2">
      <c r="A608" s="70"/>
      <c r="B608" s="70"/>
      <c r="C608" s="70"/>
      <c r="D608" s="70"/>
      <c r="E608" s="70"/>
      <c r="F608" s="70"/>
      <c r="G608" s="70"/>
      <c r="H608" s="70"/>
      <c r="I608" s="70"/>
      <c r="J608" s="70"/>
    </row>
    <row r="609" spans="1:10" ht="15" x14ac:dyDescent="0.2">
      <c r="A609" s="70"/>
      <c r="B609" s="70"/>
      <c r="C609" s="70"/>
      <c r="D609" s="70"/>
      <c r="E609" s="70"/>
      <c r="F609" s="70"/>
      <c r="G609" s="70"/>
      <c r="H609" s="70"/>
      <c r="I609" s="70"/>
      <c r="J609" s="70"/>
    </row>
    <row r="610" spans="1:10" ht="15" x14ac:dyDescent="0.2">
      <c r="A610" s="70"/>
      <c r="B610" s="70"/>
      <c r="C610" s="70"/>
      <c r="D610" s="70"/>
      <c r="E610" s="70"/>
      <c r="F610" s="70"/>
      <c r="G610" s="70"/>
      <c r="H610" s="70"/>
      <c r="I610" s="70"/>
      <c r="J610" s="70"/>
    </row>
    <row r="611" spans="1:10" ht="15" x14ac:dyDescent="0.2">
      <c r="A611" s="70"/>
      <c r="B611" s="70"/>
      <c r="C611" s="70"/>
      <c r="D611" s="70"/>
      <c r="E611" s="70"/>
      <c r="F611" s="70"/>
      <c r="G611" s="70"/>
      <c r="H611" s="70"/>
      <c r="I611" s="70"/>
      <c r="J611" s="70"/>
    </row>
    <row r="612" spans="1:10" ht="15" x14ac:dyDescent="0.2">
      <c r="A612" s="70"/>
      <c r="B612" s="70"/>
      <c r="C612" s="70"/>
      <c r="D612" s="70"/>
      <c r="E612" s="70"/>
      <c r="F612" s="70"/>
      <c r="G612" s="70"/>
      <c r="H612" s="70"/>
      <c r="I612" s="70"/>
      <c r="J612" s="70"/>
    </row>
    <row r="613" spans="1:10" ht="15" x14ac:dyDescent="0.2">
      <c r="A613" s="70"/>
      <c r="B613" s="70"/>
      <c r="C613" s="70"/>
      <c r="D613" s="70"/>
      <c r="E613" s="70"/>
      <c r="F613" s="70"/>
      <c r="G613" s="70"/>
      <c r="H613" s="70"/>
      <c r="I613" s="70"/>
      <c r="J613" s="70"/>
    </row>
    <row r="614" spans="1:10" ht="15" x14ac:dyDescent="0.2">
      <c r="A614" s="70"/>
      <c r="B614" s="70"/>
      <c r="C614" s="70"/>
      <c r="D614" s="70"/>
      <c r="E614" s="70"/>
      <c r="F614" s="70"/>
      <c r="G614" s="70"/>
      <c r="H614" s="70"/>
      <c r="I614" s="70"/>
      <c r="J614" s="70"/>
    </row>
    <row r="615" spans="1:10" ht="15" x14ac:dyDescent="0.2">
      <c r="A615" s="70"/>
      <c r="B615" s="70"/>
      <c r="C615" s="70"/>
      <c r="D615" s="70"/>
      <c r="E615" s="70"/>
      <c r="F615" s="70"/>
      <c r="G615" s="70"/>
      <c r="H615" s="70"/>
      <c r="I615" s="70"/>
      <c r="J615" s="70"/>
    </row>
    <row r="616" spans="1:10" ht="15" x14ac:dyDescent="0.2">
      <c r="A616" s="70"/>
      <c r="B616" s="70"/>
      <c r="C616" s="70"/>
      <c r="D616" s="70"/>
      <c r="E616" s="70"/>
      <c r="F616" s="70"/>
      <c r="G616" s="70"/>
      <c r="H616" s="70"/>
      <c r="I616" s="70"/>
      <c r="J616" s="70"/>
    </row>
    <row r="617" spans="1:10" ht="15" x14ac:dyDescent="0.2">
      <c r="A617" s="70"/>
      <c r="B617" s="70"/>
      <c r="C617" s="70"/>
      <c r="D617" s="70"/>
      <c r="E617" s="70"/>
      <c r="F617" s="70"/>
      <c r="G617" s="70"/>
      <c r="H617" s="70"/>
      <c r="I617" s="70"/>
      <c r="J617" s="70"/>
    </row>
    <row r="618" spans="1:10" ht="15" x14ac:dyDescent="0.2">
      <c r="A618" s="70"/>
      <c r="B618" s="70"/>
      <c r="C618" s="70"/>
      <c r="D618" s="70"/>
      <c r="E618" s="70"/>
      <c r="F618" s="70"/>
      <c r="G618" s="70"/>
      <c r="H618" s="70"/>
      <c r="I618" s="70"/>
      <c r="J618" s="70"/>
    </row>
    <row r="619" spans="1:10" ht="15" x14ac:dyDescent="0.2">
      <c r="A619" s="70"/>
      <c r="B619" s="70"/>
      <c r="C619" s="70"/>
      <c r="D619" s="70"/>
      <c r="E619" s="70"/>
      <c r="F619" s="70"/>
      <c r="G619" s="70"/>
      <c r="H619" s="70"/>
      <c r="I619" s="70"/>
      <c r="J619" s="70"/>
    </row>
    <row r="620" spans="1:10" ht="15" x14ac:dyDescent="0.2">
      <c r="A620" s="70"/>
      <c r="B620" s="70"/>
      <c r="C620" s="70"/>
      <c r="D620" s="70"/>
      <c r="E620" s="70"/>
      <c r="F620" s="70"/>
      <c r="G620" s="70"/>
      <c r="H620" s="70"/>
      <c r="I620" s="70"/>
      <c r="J620" s="70"/>
    </row>
    <row r="621" spans="1:10" ht="15" x14ac:dyDescent="0.2">
      <c r="A621" s="70"/>
      <c r="B621" s="70"/>
      <c r="C621" s="70"/>
      <c r="D621" s="70"/>
      <c r="E621" s="70"/>
      <c r="F621" s="70"/>
      <c r="G621" s="70"/>
      <c r="H621" s="70"/>
      <c r="I621" s="70"/>
      <c r="J621" s="70"/>
    </row>
    <row r="622" spans="1:10" ht="15" x14ac:dyDescent="0.2">
      <c r="A622" s="70"/>
      <c r="B622" s="70"/>
      <c r="C622" s="70"/>
      <c r="D622" s="70"/>
      <c r="E622" s="70"/>
      <c r="F622" s="70"/>
      <c r="G622" s="70"/>
      <c r="H622" s="70"/>
      <c r="I622" s="70"/>
      <c r="J622" s="70"/>
    </row>
    <row r="623" spans="1:10" ht="15" x14ac:dyDescent="0.2">
      <c r="A623" s="70"/>
      <c r="B623" s="70"/>
      <c r="C623" s="70"/>
      <c r="D623" s="70"/>
      <c r="E623" s="70"/>
      <c r="F623" s="70"/>
      <c r="G623" s="70"/>
      <c r="H623" s="70"/>
      <c r="I623" s="70"/>
      <c r="J623" s="70"/>
    </row>
    <row r="624" spans="1:10" ht="15" x14ac:dyDescent="0.2">
      <c r="A624" s="70"/>
      <c r="B624" s="70"/>
      <c r="C624" s="70"/>
      <c r="D624" s="70"/>
      <c r="E624" s="70"/>
      <c r="F624" s="70"/>
      <c r="G624" s="70"/>
      <c r="H624" s="70"/>
      <c r="I624" s="70"/>
      <c r="J624" s="70"/>
    </row>
    <row r="625" spans="1:10" ht="15" x14ac:dyDescent="0.2">
      <c r="A625" s="70"/>
      <c r="B625" s="70"/>
      <c r="C625" s="70"/>
      <c r="D625" s="70"/>
      <c r="E625" s="70"/>
      <c r="F625" s="70"/>
      <c r="G625" s="70"/>
      <c r="H625" s="70"/>
      <c r="I625" s="70"/>
      <c r="J625" s="70"/>
    </row>
    <row r="626" spans="1:10" ht="15" x14ac:dyDescent="0.2">
      <c r="A626" s="70"/>
      <c r="B626" s="70"/>
      <c r="C626" s="70"/>
      <c r="D626" s="70"/>
      <c r="E626" s="70"/>
      <c r="F626" s="70"/>
      <c r="G626" s="70"/>
      <c r="H626" s="70"/>
      <c r="I626" s="70"/>
      <c r="J626" s="70"/>
    </row>
    <row r="627" spans="1:10" ht="15" x14ac:dyDescent="0.2">
      <c r="A627" s="70"/>
      <c r="B627" s="70"/>
      <c r="C627" s="70"/>
      <c r="D627" s="70"/>
      <c r="E627" s="70"/>
      <c r="F627" s="70"/>
      <c r="G627" s="70"/>
      <c r="H627" s="70"/>
      <c r="I627" s="70"/>
      <c r="J627" s="70"/>
    </row>
    <row r="628" spans="1:10" ht="15" x14ac:dyDescent="0.2">
      <c r="A628" s="70"/>
      <c r="B628" s="70"/>
      <c r="C628" s="70"/>
      <c r="D628" s="70"/>
      <c r="E628" s="70"/>
      <c r="F628" s="70"/>
      <c r="G628" s="70"/>
      <c r="H628" s="70"/>
      <c r="I628" s="70"/>
      <c r="J628" s="70"/>
    </row>
    <row r="629" spans="1:10" ht="15" x14ac:dyDescent="0.2">
      <c r="A629" s="70"/>
      <c r="B629" s="70"/>
      <c r="C629" s="70"/>
      <c r="D629" s="70"/>
      <c r="E629" s="70"/>
      <c r="F629" s="70"/>
      <c r="G629" s="70"/>
      <c r="H629" s="70"/>
      <c r="I629" s="70"/>
      <c r="J629" s="70"/>
    </row>
    <row r="630" spans="1:10" ht="15" x14ac:dyDescent="0.2">
      <c r="A630" s="70"/>
      <c r="B630" s="70"/>
      <c r="C630" s="70"/>
      <c r="D630" s="70"/>
      <c r="E630" s="70"/>
      <c r="F630" s="70"/>
      <c r="G630" s="70"/>
      <c r="H630" s="70"/>
      <c r="I630" s="70"/>
      <c r="J630" s="70"/>
    </row>
    <row r="631" spans="1:10" ht="15" x14ac:dyDescent="0.2">
      <c r="A631" s="70"/>
      <c r="B631" s="70"/>
      <c r="C631" s="70"/>
      <c r="D631" s="70"/>
      <c r="E631" s="70"/>
      <c r="F631" s="70"/>
      <c r="G631" s="70"/>
      <c r="H631" s="70"/>
      <c r="I631" s="70"/>
      <c r="J631" s="70"/>
    </row>
    <row r="632" spans="1:10" ht="15" x14ac:dyDescent="0.2">
      <c r="A632" s="70"/>
      <c r="B632" s="70"/>
      <c r="C632" s="70"/>
      <c r="D632" s="70"/>
      <c r="E632" s="70"/>
      <c r="F632" s="70"/>
      <c r="G632" s="70"/>
      <c r="H632" s="70"/>
      <c r="I632" s="70"/>
      <c r="J632" s="70"/>
    </row>
    <row r="633" spans="1:10" ht="15" x14ac:dyDescent="0.2">
      <c r="A633" s="70"/>
      <c r="B633" s="70"/>
      <c r="C633" s="70"/>
      <c r="D633" s="70"/>
      <c r="E633" s="70"/>
      <c r="F633" s="70"/>
      <c r="G633" s="70"/>
      <c r="H633" s="70"/>
      <c r="I633" s="70"/>
      <c r="J633" s="70"/>
    </row>
    <row r="634" spans="1:10" ht="15" x14ac:dyDescent="0.2">
      <c r="A634" s="70"/>
      <c r="B634" s="70"/>
      <c r="C634" s="70"/>
      <c r="D634" s="70"/>
      <c r="E634" s="70"/>
      <c r="F634" s="70"/>
      <c r="G634" s="70"/>
      <c r="H634" s="70"/>
      <c r="I634" s="70"/>
      <c r="J634" s="70"/>
    </row>
    <row r="635" spans="1:10" ht="15" x14ac:dyDescent="0.2">
      <c r="A635" s="70"/>
      <c r="B635" s="70"/>
      <c r="C635" s="70"/>
      <c r="D635" s="70"/>
      <c r="E635" s="70"/>
      <c r="F635" s="70"/>
      <c r="G635" s="70"/>
      <c r="H635" s="70"/>
      <c r="I635" s="70"/>
      <c r="J635" s="70"/>
    </row>
    <row r="636" spans="1:10" ht="15" x14ac:dyDescent="0.2">
      <c r="A636" s="70"/>
      <c r="B636" s="70"/>
      <c r="C636" s="70"/>
      <c r="D636" s="70"/>
      <c r="E636" s="70"/>
      <c r="F636" s="70"/>
      <c r="G636" s="70"/>
      <c r="H636" s="70"/>
      <c r="I636" s="70"/>
      <c r="J636" s="70"/>
    </row>
    <row r="637" spans="1:10" ht="15" x14ac:dyDescent="0.2">
      <c r="A637" s="70"/>
      <c r="B637" s="70"/>
      <c r="C637" s="70"/>
      <c r="D637" s="70"/>
      <c r="E637" s="70"/>
      <c r="F637" s="70"/>
      <c r="G637" s="70"/>
      <c r="H637" s="70"/>
      <c r="I637" s="70"/>
      <c r="J637" s="70"/>
    </row>
    <row r="638" spans="1:10" ht="15" x14ac:dyDescent="0.2">
      <c r="A638" s="70"/>
      <c r="B638" s="70"/>
      <c r="C638" s="70"/>
      <c r="D638" s="70"/>
      <c r="E638" s="70"/>
      <c r="F638" s="70"/>
      <c r="G638" s="70"/>
      <c r="H638" s="70"/>
      <c r="I638" s="70"/>
      <c r="J638" s="70"/>
    </row>
    <row r="639" spans="1:10" ht="15" x14ac:dyDescent="0.2">
      <c r="A639" s="70"/>
      <c r="B639" s="70"/>
      <c r="C639" s="70"/>
      <c r="D639" s="70"/>
      <c r="E639" s="70"/>
      <c r="F639" s="70"/>
      <c r="G639" s="70"/>
      <c r="H639" s="70"/>
      <c r="I639" s="70"/>
      <c r="J639" s="70"/>
    </row>
    <row r="640" spans="1:10" ht="15" x14ac:dyDescent="0.2">
      <c r="A640" s="70"/>
      <c r="B640" s="70"/>
      <c r="C640" s="70"/>
      <c r="D640" s="70"/>
      <c r="E640" s="70"/>
      <c r="F640" s="70"/>
      <c r="G640" s="70"/>
      <c r="H640" s="70"/>
      <c r="I640" s="70"/>
      <c r="J640" s="70"/>
    </row>
    <row r="641" spans="1:10" ht="15" x14ac:dyDescent="0.2">
      <c r="A641" s="70"/>
      <c r="B641" s="70"/>
      <c r="C641" s="70"/>
      <c r="D641" s="70"/>
      <c r="E641" s="70"/>
      <c r="F641" s="70"/>
      <c r="G641" s="70"/>
      <c r="H641" s="70"/>
      <c r="I641" s="70"/>
      <c r="J641" s="70"/>
    </row>
    <row r="642" spans="1:10" ht="15" x14ac:dyDescent="0.2">
      <c r="A642" s="70"/>
      <c r="B642" s="70"/>
      <c r="C642" s="70"/>
      <c r="D642" s="70"/>
      <c r="E642" s="70"/>
      <c r="F642" s="70"/>
      <c r="G642" s="70"/>
      <c r="H642" s="70"/>
      <c r="I642" s="70"/>
      <c r="J642" s="70"/>
    </row>
    <row r="643" spans="1:10" ht="15" x14ac:dyDescent="0.2">
      <c r="A643" s="70"/>
      <c r="B643" s="70"/>
      <c r="C643" s="70"/>
      <c r="D643" s="70"/>
      <c r="E643" s="70"/>
      <c r="F643" s="70"/>
      <c r="G643" s="70"/>
      <c r="H643" s="70"/>
      <c r="I643" s="70"/>
      <c r="J643" s="70"/>
    </row>
    <row r="644" spans="1:10" ht="15" x14ac:dyDescent="0.2">
      <c r="A644" s="70"/>
      <c r="B644" s="70"/>
      <c r="C644" s="70"/>
      <c r="D644" s="70"/>
      <c r="E644" s="70"/>
      <c r="F644" s="70"/>
      <c r="G644" s="70"/>
      <c r="H644" s="70"/>
      <c r="I644" s="70"/>
      <c r="J644" s="70"/>
    </row>
    <row r="645" spans="1:10" ht="15" x14ac:dyDescent="0.2">
      <c r="A645" s="70"/>
      <c r="B645" s="70"/>
      <c r="C645" s="70"/>
      <c r="D645" s="70"/>
      <c r="E645" s="70"/>
      <c r="F645" s="70"/>
      <c r="G645" s="70"/>
      <c r="H645" s="70"/>
      <c r="I645" s="70"/>
      <c r="J645" s="70"/>
    </row>
    <row r="646" spans="1:10" ht="15" x14ac:dyDescent="0.2">
      <c r="A646" s="70"/>
      <c r="B646" s="70"/>
      <c r="C646" s="70"/>
      <c r="D646" s="70"/>
      <c r="E646" s="70"/>
      <c r="F646" s="70"/>
      <c r="G646" s="70"/>
      <c r="H646" s="70"/>
      <c r="I646" s="70"/>
      <c r="J646" s="70"/>
    </row>
    <row r="647" spans="1:10" ht="15" x14ac:dyDescent="0.2">
      <c r="A647" s="70"/>
      <c r="B647" s="70"/>
      <c r="C647" s="70"/>
      <c r="D647" s="70"/>
      <c r="E647" s="70"/>
      <c r="F647" s="70"/>
      <c r="G647" s="70"/>
      <c r="H647" s="70"/>
      <c r="I647" s="70"/>
      <c r="J647" s="70"/>
    </row>
    <row r="648" spans="1:10" ht="15" x14ac:dyDescent="0.2">
      <c r="A648" s="70"/>
      <c r="B648" s="70"/>
      <c r="C648" s="70"/>
      <c r="D648" s="70"/>
      <c r="E648" s="70"/>
      <c r="F648" s="70"/>
      <c r="G648" s="70"/>
      <c r="H648" s="70"/>
      <c r="I648" s="70"/>
      <c r="J648" s="70"/>
    </row>
    <row r="649" spans="1:10" ht="15" x14ac:dyDescent="0.2">
      <c r="A649" s="70"/>
      <c r="B649" s="70"/>
      <c r="C649" s="70"/>
      <c r="D649" s="70"/>
      <c r="E649" s="70"/>
      <c r="F649" s="70"/>
      <c r="G649" s="70"/>
      <c r="H649" s="70"/>
      <c r="I649" s="70"/>
      <c r="J649" s="70"/>
    </row>
    <row r="650" spans="1:10" ht="15" x14ac:dyDescent="0.2">
      <c r="A650" s="70"/>
      <c r="B650" s="70"/>
      <c r="C650" s="70"/>
      <c r="D650" s="70"/>
      <c r="E650" s="70"/>
      <c r="F650" s="70"/>
      <c r="G650" s="70"/>
      <c r="H650" s="70"/>
      <c r="I650" s="70"/>
      <c r="J650" s="70"/>
    </row>
    <row r="651" spans="1:10" ht="15" x14ac:dyDescent="0.2">
      <c r="A651" s="70"/>
      <c r="B651" s="70"/>
      <c r="C651" s="70"/>
      <c r="D651" s="70"/>
      <c r="E651" s="70"/>
      <c r="F651" s="70"/>
      <c r="G651" s="70"/>
      <c r="H651" s="70"/>
      <c r="I651" s="70"/>
      <c r="J651" s="70"/>
    </row>
    <row r="652" spans="1:10" ht="15" x14ac:dyDescent="0.2">
      <c r="A652" s="70"/>
      <c r="B652" s="70"/>
      <c r="C652" s="70"/>
      <c r="D652" s="70"/>
      <c r="E652" s="70"/>
      <c r="F652" s="70"/>
      <c r="G652" s="70"/>
      <c r="H652" s="70"/>
      <c r="I652" s="70"/>
      <c r="J652" s="70"/>
    </row>
    <row r="653" spans="1:10" ht="15" x14ac:dyDescent="0.2">
      <c r="A653" s="70"/>
      <c r="B653" s="70"/>
      <c r="C653" s="70"/>
      <c r="D653" s="70"/>
      <c r="E653" s="70"/>
      <c r="F653" s="70"/>
      <c r="G653" s="70"/>
      <c r="H653" s="70"/>
      <c r="I653" s="70"/>
      <c r="J653" s="70"/>
    </row>
    <row r="654" spans="1:10" ht="15" x14ac:dyDescent="0.2">
      <c r="A654" s="70"/>
      <c r="B654" s="70"/>
      <c r="C654" s="70"/>
      <c r="D654" s="70"/>
      <c r="E654" s="70"/>
      <c r="F654" s="70"/>
      <c r="G654" s="70"/>
      <c r="H654" s="70"/>
      <c r="I654" s="70"/>
      <c r="J654" s="70"/>
    </row>
    <row r="655" spans="1:10" ht="15" x14ac:dyDescent="0.2">
      <c r="A655" s="70"/>
      <c r="B655" s="70"/>
      <c r="C655" s="70"/>
      <c r="D655" s="70"/>
      <c r="E655" s="70"/>
      <c r="F655" s="70"/>
      <c r="G655" s="70"/>
      <c r="H655" s="70"/>
      <c r="I655" s="70"/>
      <c r="J655" s="70"/>
    </row>
    <row r="656" spans="1:10" ht="15" x14ac:dyDescent="0.2">
      <c r="A656" s="70"/>
      <c r="B656" s="70"/>
      <c r="C656" s="70"/>
      <c r="D656" s="70"/>
      <c r="E656" s="70"/>
      <c r="F656" s="70"/>
      <c r="G656" s="70"/>
      <c r="H656" s="70"/>
      <c r="I656" s="70"/>
      <c r="J656" s="70"/>
    </row>
    <row r="657" spans="1:10" ht="15" x14ac:dyDescent="0.2">
      <c r="A657" s="70"/>
      <c r="B657" s="70"/>
      <c r="C657" s="70"/>
      <c r="D657" s="70"/>
      <c r="E657" s="70"/>
      <c r="F657" s="70"/>
      <c r="G657" s="70"/>
      <c r="H657" s="70"/>
      <c r="I657" s="70"/>
      <c r="J657" s="70"/>
    </row>
    <row r="658" spans="1:10" ht="15" x14ac:dyDescent="0.2">
      <c r="A658" s="70"/>
      <c r="B658" s="70"/>
      <c r="C658" s="70"/>
      <c r="D658" s="70"/>
      <c r="E658" s="70"/>
      <c r="F658" s="70"/>
      <c r="G658" s="70"/>
      <c r="H658" s="70"/>
      <c r="I658" s="70"/>
      <c r="J658" s="70"/>
    </row>
    <row r="659" spans="1:10" ht="15" x14ac:dyDescent="0.2">
      <c r="A659" s="70"/>
      <c r="B659" s="70"/>
      <c r="C659" s="70"/>
      <c r="D659" s="70"/>
      <c r="E659" s="70"/>
      <c r="F659" s="70"/>
      <c r="G659" s="70"/>
      <c r="H659" s="70"/>
      <c r="I659" s="70"/>
      <c r="J659" s="70"/>
    </row>
    <row r="660" spans="1:10" ht="15" x14ac:dyDescent="0.2">
      <c r="A660" s="70"/>
      <c r="B660" s="70"/>
      <c r="C660" s="70"/>
      <c r="D660" s="70"/>
      <c r="E660" s="70"/>
      <c r="F660" s="70"/>
      <c r="G660" s="70"/>
      <c r="H660" s="70"/>
      <c r="I660" s="70"/>
      <c r="J660" s="70"/>
    </row>
    <row r="661" spans="1:10" ht="15" x14ac:dyDescent="0.2">
      <c r="A661" s="70"/>
      <c r="B661" s="70"/>
      <c r="C661" s="70"/>
      <c r="D661" s="70"/>
      <c r="E661" s="70"/>
      <c r="F661" s="70"/>
      <c r="G661" s="70"/>
      <c r="H661" s="70"/>
      <c r="I661" s="70"/>
      <c r="J661" s="70"/>
    </row>
    <row r="662" spans="1:10" ht="15" x14ac:dyDescent="0.2">
      <c r="A662" s="70"/>
      <c r="B662" s="70"/>
      <c r="C662" s="70"/>
      <c r="D662" s="70"/>
      <c r="E662" s="70"/>
      <c r="F662" s="70"/>
      <c r="G662" s="70"/>
      <c r="H662" s="70"/>
      <c r="I662" s="70"/>
      <c r="J662" s="70"/>
    </row>
    <row r="663" spans="1:10" ht="15" x14ac:dyDescent="0.2">
      <c r="A663" s="70"/>
      <c r="B663" s="70"/>
      <c r="C663" s="70"/>
      <c r="D663" s="70"/>
      <c r="E663" s="70"/>
      <c r="F663" s="70"/>
      <c r="G663" s="70"/>
      <c r="H663" s="70"/>
      <c r="I663" s="70"/>
      <c r="J663" s="70"/>
    </row>
    <row r="664" spans="1:10" ht="15" x14ac:dyDescent="0.2">
      <c r="A664" s="70"/>
      <c r="B664" s="70"/>
      <c r="C664" s="70"/>
      <c r="D664" s="70"/>
      <c r="E664" s="70"/>
      <c r="F664" s="70"/>
      <c r="G664" s="70"/>
      <c r="H664" s="70"/>
      <c r="I664" s="70"/>
      <c r="J664" s="70"/>
    </row>
    <row r="665" spans="1:10" ht="15" x14ac:dyDescent="0.2">
      <c r="A665" s="70"/>
      <c r="B665" s="70"/>
      <c r="C665" s="70"/>
      <c r="D665" s="70"/>
      <c r="E665" s="70"/>
      <c r="F665" s="70"/>
      <c r="G665" s="70"/>
      <c r="H665" s="70"/>
      <c r="I665" s="70"/>
      <c r="J665" s="70"/>
    </row>
    <row r="666" spans="1:10" ht="15" x14ac:dyDescent="0.2">
      <c r="A666" s="70"/>
      <c r="B666" s="70"/>
      <c r="C666" s="70"/>
      <c r="D666" s="70"/>
      <c r="E666" s="70"/>
      <c r="F666" s="70"/>
      <c r="G666" s="70"/>
      <c r="H666" s="70"/>
      <c r="I666" s="70"/>
      <c r="J666" s="70"/>
    </row>
    <row r="667" spans="1:10" ht="15" x14ac:dyDescent="0.2">
      <c r="A667" s="70"/>
      <c r="B667" s="70"/>
      <c r="C667" s="70"/>
      <c r="D667" s="70"/>
      <c r="E667" s="70"/>
      <c r="F667" s="70"/>
      <c r="G667" s="70"/>
      <c r="H667" s="70"/>
      <c r="I667" s="70"/>
      <c r="J667" s="70"/>
    </row>
    <row r="668" spans="1:10" ht="15" x14ac:dyDescent="0.2">
      <c r="A668" s="70"/>
      <c r="B668" s="70"/>
      <c r="C668" s="70"/>
      <c r="D668" s="70"/>
      <c r="E668" s="70"/>
      <c r="F668" s="70"/>
      <c r="G668" s="70"/>
      <c r="H668" s="70"/>
      <c r="I668" s="70"/>
      <c r="J668" s="70"/>
    </row>
    <row r="669" spans="1:10" ht="15" x14ac:dyDescent="0.2">
      <c r="A669" s="70"/>
      <c r="B669" s="70"/>
      <c r="C669" s="70"/>
      <c r="D669" s="70"/>
      <c r="E669" s="70"/>
      <c r="F669" s="70"/>
      <c r="G669" s="70"/>
      <c r="H669" s="70"/>
      <c r="I669" s="70"/>
      <c r="J669" s="70"/>
    </row>
    <row r="670" spans="1:10" ht="15" x14ac:dyDescent="0.2">
      <c r="A670" s="70"/>
      <c r="B670" s="70"/>
      <c r="C670" s="70"/>
      <c r="D670" s="70"/>
      <c r="E670" s="70"/>
      <c r="F670" s="70"/>
      <c r="G670" s="70"/>
      <c r="H670" s="70"/>
      <c r="I670" s="70"/>
      <c r="J670" s="70"/>
    </row>
    <row r="671" spans="1:10" ht="15" x14ac:dyDescent="0.2">
      <c r="A671" s="70"/>
      <c r="B671" s="70"/>
      <c r="C671" s="70"/>
      <c r="D671" s="70"/>
      <c r="E671" s="70"/>
      <c r="F671" s="70"/>
      <c r="G671" s="70"/>
      <c r="H671" s="70"/>
      <c r="I671" s="70"/>
      <c r="J671" s="70"/>
    </row>
    <row r="672" spans="1:10" ht="15" x14ac:dyDescent="0.2">
      <c r="A672" s="70"/>
      <c r="B672" s="70"/>
      <c r="C672" s="70"/>
      <c r="D672" s="70"/>
      <c r="E672" s="70"/>
      <c r="F672" s="70"/>
      <c r="G672" s="70"/>
      <c r="H672" s="70"/>
      <c r="I672" s="70"/>
      <c r="J672" s="70"/>
    </row>
    <row r="673" spans="1:10" ht="15" x14ac:dyDescent="0.2">
      <c r="A673" s="70"/>
      <c r="B673" s="70"/>
      <c r="C673" s="70"/>
      <c r="D673" s="70"/>
      <c r="E673" s="70"/>
      <c r="F673" s="70"/>
      <c r="G673" s="70"/>
      <c r="H673" s="70"/>
      <c r="I673" s="70"/>
      <c r="J673" s="70"/>
    </row>
    <row r="674" spans="1:10" ht="15" x14ac:dyDescent="0.2">
      <c r="A674" s="70"/>
      <c r="B674" s="70"/>
      <c r="C674" s="70"/>
      <c r="D674" s="70"/>
      <c r="E674" s="70"/>
      <c r="F674" s="70"/>
      <c r="G674" s="70"/>
      <c r="H674" s="70"/>
      <c r="I674" s="70"/>
      <c r="J674" s="70"/>
    </row>
    <row r="675" spans="1:10" ht="15" x14ac:dyDescent="0.2">
      <c r="A675" s="70"/>
      <c r="B675" s="70"/>
      <c r="C675" s="70"/>
      <c r="D675" s="70"/>
      <c r="E675" s="70"/>
      <c r="F675" s="70"/>
      <c r="G675" s="70"/>
      <c r="H675" s="70"/>
      <c r="I675" s="70"/>
      <c r="J675" s="70"/>
    </row>
    <row r="676" spans="1:10" ht="15" x14ac:dyDescent="0.2">
      <c r="A676" s="70"/>
      <c r="B676" s="70"/>
      <c r="C676" s="70"/>
      <c r="D676" s="70"/>
      <c r="E676" s="70"/>
      <c r="F676" s="70"/>
      <c r="G676" s="70"/>
      <c r="H676" s="70"/>
      <c r="I676" s="70"/>
      <c r="J676" s="70"/>
    </row>
    <row r="677" spans="1:10" ht="15" x14ac:dyDescent="0.2">
      <c r="A677" s="70"/>
      <c r="B677" s="70"/>
      <c r="C677" s="70"/>
      <c r="D677" s="70"/>
      <c r="E677" s="70"/>
      <c r="F677" s="70"/>
      <c r="G677" s="70"/>
      <c r="H677" s="70"/>
      <c r="I677" s="70"/>
      <c r="J677" s="70"/>
    </row>
    <row r="678" spans="1:10" ht="15" x14ac:dyDescent="0.2">
      <c r="A678" s="70"/>
      <c r="B678" s="70"/>
      <c r="C678" s="70"/>
      <c r="D678" s="70"/>
      <c r="E678" s="70"/>
      <c r="F678" s="70"/>
      <c r="G678" s="70"/>
      <c r="H678" s="70"/>
      <c r="I678" s="70"/>
      <c r="J678" s="70"/>
    </row>
    <row r="679" spans="1:10" ht="15" x14ac:dyDescent="0.2">
      <c r="A679" s="70"/>
      <c r="B679" s="70"/>
      <c r="C679" s="70"/>
      <c r="D679" s="70"/>
      <c r="E679" s="70"/>
      <c r="F679" s="70"/>
      <c r="G679" s="70"/>
      <c r="H679" s="70"/>
      <c r="I679" s="70"/>
      <c r="J679" s="70"/>
    </row>
    <row r="680" spans="1:10" ht="15" x14ac:dyDescent="0.2">
      <c r="A680" s="70"/>
      <c r="B680" s="70"/>
      <c r="C680" s="70"/>
      <c r="D680" s="70"/>
      <c r="E680" s="70"/>
      <c r="F680" s="70"/>
      <c r="G680" s="70"/>
      <c r="H680" s="70"/>
      <c r="I680" s="70"/>
      <c r="J680" s="70"/>
    </row>
    <row r="681" spans="1:10" ht="15" x14ac:dyDescent="0.2">
      <c r="A681" s="70"/>
      <c r="B681" s="70"/>
      <c r="C681" s="70"/>
      <c r="D681" s="70"/>
      <c r="E681" s="70"/>
      <c r="F681" s="70"/>
      <c r="G681" s="70"/>
      <c r="H681" s="70"/>
      <c r="I681" s="70"/>
      <c r="J681" s="70"/>
    </row>
    <row r="682" spans="1:10" ht="15" x14ac:dyDescent="0.2">
      <c r="A682" s="70"/>
      <c r="B682" s="70"/>
      <c r="C682" s="70"/>
      <c r="D682" s="70"/>
      <c r="E682" s="70"/>
      <c r="F682" s="70"/>
      <c r="G682" s="70"/>
      <c r="H682" s="70"/>
      <c r="I682" s="70"/>
      <c r="J682" s="70"/>
    </row>
    <row r="683" spans="1:10" ht="15" x14ac:dyDescent="0.2">
      <c r="A683" s="70"/>
      <c r="B683" s="70"/>
      <c r="C683" s="70"/>
      <c r="D683" s="70"/>
      <c r="E683" s="70"/>
      <c r="F683" s="70"/>
      <c r="G683" s="70"/>
      <c r="H683" s="70"/>
      <c r="I683" s="70"/>
      <c r="J683" s="70"/>
    </row>
    <row r="684" spans="1:10" ht="15" x14ac:dyDescent="0.2">
      <c r="A684" s="70"/>
      <c r="B684" s="70"/>
      <c r="C684" s="70"/>
      <c r="D684" s="70"/>
      <c r="E684" s="70"/>
      <c r="F684" s="70"/>
      <c r="G684" s="70"/>
      <c r="H684" s="70"/>
      <c r="I684" s="70"/>
      <c r="J684" s="70"/>
    </row>
    <row r="685" spans="1:10" ht="15" x14ac:dyDescent="0.2">
      <c r="A685" s="70"/>
      <c r="B685" s="70"/>
      <c r="C685" s="70"/>
      <c r="D685" s="70"/>
      <c r="E685" s="70"/>
      <c r="F685" s="70"/>
      <c r="G685" s="70"/>
      <c r="H685" s="70"/>
      <c r="I685" s="70"/>
      <c r="J685" s="70"/>
    </row>
    <row r="686" spans="1:10" ht="15" x14ac:dyDescent="0.2">
      <c r="A686" s="70"/>
      <c r="B686" s="70"/>
      <c r="C686" s="70"/>
      <c r="D686" s="70"/>
      <c r="E686" s="70"/>
      <c r="F686" s="70"/>
      <c r="G686" s="70"/>
      <c r="H686" s="70"/>
      <c r="I686" s="70"/>
      <c r="J686" s="70"/>
    </row>
    <row r="687" spans="1:10" ht="15" x14ac:dyDescent="0.2">
      <c r="A687" s="70"/>
      <c r="B687" s="70"/>
      <c r="C687" s="70"/>
      <c r="D687" s="70"/>
      <c r="E687" s="70"/>
      <c r="F687" s="70"/>
      <c r="G687" s="70"/>
      <c r="H687" s="70"/>
      <c r="I687" s="70"/>
      <c r="J687" s="70"/>
    </row>
    <row r="688" spans="1:10" ht="15" x14ac:dyDescent="0.2">
      <c r="A688" s="70"/>
      <c r="B688" s="70"/>
      <c r="C688" s="70"/>
      <c r="D688" s="70"/>
      <c r="E688" s="70"/>
      <c r="F688" s="70"/>
      <c r="G688" s="70"/>
      <c r="H688" s="70"/>
      <c r="I688" s="70"/>
      <c r="J688" s="70"/>
    </row>
    <row r="689" spans="1:10" ht="15" x14ac:dyDescent="0.2">
      <c r="A689" s="70"/>
      <c r="B689" s="70"/>
      <c r="C689" s="70"/>
      <c r="D689" s="70"/>
      <c r="E689" s="70"/>
      <c r="F689" s="70"/>
      <c r="G689" s="70"/>
      <c r="H689" s="70"/>
      <c r="I689" s="70"/>
      <c r="J689" s="70"/>
    </row>
    <row r="690" spans="1:10" ht="15" x14ac:dyDescent="0.2">
      <c r="A690" s="70"/>
      <c r="B690" s="70"/>
      <c r="C690" s="70"/>
      <c r="D690" s="70"/>
      <c r="E690" s="70"/>
      <c r="F690" s="70"/>
      <c r="G690" s="70"/>
      <c r="H690" s="70"/>
      <c r="I690" s="70"/>
      <c r="J690" s="70"/>
    </row>
    <row r="691" spans="1:10" ht="15" x14ac:dyDescent="0.2">
      <c r="A691" s="70"/>
      <c r="B691" s="70"/>
      <c r="C691" s="70"/>
      <c r="D691" s="70"/>
      <c r="E691" s="70"/>
      <c r="F691" s="70"/>
      <c r="G691" s="70"/>
      <c r="H691" s="70"/>
      <c r="I691" s="70"/>
      <c r="J691" s="70"/>
    </row>
    <row r="692" spans="1:10" ht="15" x14ac:dyDescent="0.2">
      <c r="A692" s="70"/>
      <c r="B692" s="70"/>
      <c r="C692" s="70"/>
      <c r="D692" s="70"/>
      <c r="E692" s="70"/>
      <c r="F692" s="70"/>
      <c r="G692" s="70"/>
      <c r="H692" s="70"/>
      <c r="I692" s="70"/>
      <c r="J692" s="70"/>
    </row>
    <row r="693" spans="1:10" ht="15" x14ac:dyDescent="0.2">
      <c r="A693" s="70"/>
      <c r="B693" s="70"/>
      <c r="C693" s="70"/>
      <c r="D693" s="70"/>
      <c r="E693" s="70"/>
      <c r="F693" s="70"/>
      <c r="G693" s="70"/>
      <c r="H693" s="70"/>
      <c r="I693" s="70"/>
      <c r="J693" s="70"/>
    </row>
    <row r="694" spans="1:10" ht="15" x14ac:dyDescent="0.2">
      <c r="A694" s="70"/>
      <c r="B694" s="70"/>
      <c r="C694" s="70"/>
      <c r="D694" s="70"/>
      <c r="E694" s="70"/>
      <c r="F694" s="70"/>
      <c r="G694" s="70"/>
      <c r="H694" s="70"/>
      <c r="I694" s="70"/>
      <c r="J694" s="70"/>
    </row>
    <row r="695" spans="1:10" ht="15" x14ac:dyDescent="0.2">
      <c r="A695" s="70"/>
      <c r="B695" s="70"/>
      <c r="C695" s="70"/>
      <c r="D695" s="70"/>
      <c r="E695" s="70"/>
      <c r="F695" s="70"/>
      <c r="G695" s="70"/>
      <c r="H695" s="70"/>
      <c r="I695" s="70"/>
      <c r="J695" s="70"/>
    </row>
    <row r="696" spans="1:10" ht="15" x14ac:dyDescent="0.2">
      <c r="A696" s="70"/>
      <c r="B696" s="70"/>
      <c r="C696" s="70"/>
      <c r="D696" s="70"/>
      <c r="E696" s="70"/>
      <c r="F696" s="70"/>
      <c r="G696" s="70"/>
      <c r="H696" s="70"/>
      <c r="I696" s="70"/>
      <c r="J696" s="70"/>
    </row>
    <row r="697" spans="1:10" ht="15" x14ac:dyDescent="0.2">
      <c r="A697" s="70"/>
      <c r="B697" s="70"/>
      <c r="C697" s="70"/>
      <c r="D697" s="70"/>
      <c r="E697" s="70"/>
      <c r="F697" s="70"/>
      <c r="G697" s="70"/>
      <c r="H697" s="70"/>
      <c r="I697" s="70"/>
      <c r="J697" s="70"/>
    </row>
    <row r="698" spans="1:10" ht="15" x14ac:dyDescent="0.2">
      <c r="A698" s="70"/>
      <c r="B698" s="70"/>
      <c r="C698" s="70"/>
      <c r="D698" s="70"/>
      <c r="E698" s="70"/>
      <c r="F698" s="70"/>
      <c r="G698" s="70"/>
      <c r="H698" s="70"/>
      <c r="I698" s="70"/>
      <c r="J698" s="70"/>
    </row>
    <row r="699" spans="1:10" ht="15" x14ac:dyDescent="0.2">
      <c r="A699" s="70"/>
      <c r="B699" s="70"/>
      <c r="C699" s="70"/>
      <c r="D699" s="70"/>
      <c r="E699" s="70"/>
      <c r="F699" s="70"/>
      <c r="G699" s="70"/>
      <c r="H699" s="70"/>
      <c r="I699" s="70"/>
      <c r="J699" s="70"/>
    </row>
    <row r="700" spans="1:10" ht="15" x14ac:dyDescent="0.2">
      <c r="A700" s="70"/>
      <c r="B700" s="70"/>
      <c r="C700" s="70"/>
      <c r="D700" s="70"/>
      <c r="E700" s="70"/>
      <c r="F700" s="70"/>
      <c r="G700" s="70"/>
      <c r="H700" s="70"/>
      <c r="I700" s="70"/>
      <c r="J700" s="70"/>
    </row>
    <row r="701" spans="1:10" ht="15" x14ac:dyDescent="0.2">
      <c r="A701" s="70"/>
      <c r="B701" s="70"/>
      <c r="C701" s="70"/>
      <c r="D701" s="70"/>
      <c r="E701" s="70"/>
      <c r="F701" s="70"/>
      <c r="G701" s="70"/>
      <c r="H701" s="70"/>
      <c r="I701" s="70"/>
      <c r="J701" s="70"/>
    </row>
    <row r="702" spans="1:10" ht="15" x14ac:dyDescent="0.2">
      <c r="A702" s="70"/>
      <c r="B702" s="70"/>
      <c r="C702" s="70"/>
      <c r="D702" s="70"/>
      <c r="E702" s="70"/>
      <c r="F702" s="70"/>
      <c r="G702" s="70"/>
      <c r="H702" s="70"/>
      <c r="I702" s="70"/>
      <c r="J702" s="70"/>
    </row>
    <row r="703" spans="1:10" ht="15" x14ac:dyDescent="0.2">
      <c r="A703" s="70"/>
      <c r="B703" s="70"/>
      <c r="C703" s="70"/>
      <c r="D703" s="70"/>
      <c r="E703" s="70"/>
      <c r="F703" s="70"/>
      <c r="G703" s="70"/>
      <c r="H703" s="70"/>
      <c r="I703" s="70"/>
      <c r="J703" s="70"/>
    </row>
    <row r="704" spans="1:10" ht="15" x14ac:dyDescent="0.2">
      <c r="A704" s="70"/>
      <c r="B704" s="70"/>
      <c r="C704" s="70"/>
      <c r="D704" s="70"/>
      <c r="E704" s="70"/>
      <c r="F704" s="70"/>
      <c r="G704" s="70"/>
      <c r="H704" s="70"/>
      <c r="I704" s="70"/>
      <c r="J704" s="70"/>
    </row>
    <row r="705" spans="1:10" ht="15" x14ac:dyDescent="0.2">
      <c r="A705" s="70"/>
      <c r="B705" s="70"/>
      <c r="C705" s="70"/>
      <c r="D705" s="70"/>
      <c r="E705" s="70"/>
      <c r="F705" s="70"/>
      <c r="G705" s="70"/>
      <c r="H705" s="70"/>
      <c r="I705" s="70"/>
      <c r="J705" s="70"/>
    </row>
    <row r="706" spans="1:10" ht="15" x14ac:dyDescent="0.2">
      <c r="A706" s="70"/>
      <c r="B706" s="70"/>
      <c r="C706" s="70"/>
      <c r="D706" s="70"/>
      <c r="E706" s="70"/>
      <c r="F706" s="70"/>
      <c r="G706" s="70"/>
      <c r="H706" s="70"/>
      <c r="I706" s="70"/>
      <c r="J706" s="70"/>
    </row>
    <row r="707" spans="1:10" ht="15" x14ac:dyDescent="0.2">
      <c r="A707" s="70"/>
      <c r="B707" s="70"/>
      <c r="C707" s="70"/>
      <c r="D707" s="70"/>
      <c r="E707" s="70"/>
      <c r="F707" s="70"/>
      <c r="G707" s="70"/>
      <c r="H707" s="70"/>
      <c r="I707" s="70"/>
      <c r="J707" s="70"/>
    </row>
    <row r="708" spans="1:10" ht="15" x14ac:dyDescent="0.2">
      <c r="A708" s="70"/>
      <c r="B708" s="70"/>
      <c r="C708" s="70"/>
      <c r="D708" s="70"/>
      <c r="E708" s="70"/>
      <c r="F708" s="70"/>
      <c r="G708" s="70"/>
      <c r="H708" s="70"/>
      <c r="I708" s="70"/>
      <c r="J708" s="70"/>
    </row>
    <row r="709" spans="1:10" ht="15" x14ac:dyDescent="0.2">
      <c r="A709" s="70"/>
      <c r="B709" s="70"/>
      <c r="C709" s="70"/>
      <c r="D709" s="70"/>
      <c r="E709" s="70"/>
      <c r="F709" s="70"/>
      <c r="G709" s="70"/>
      <c r="H709" s="70"/>
      <c r="I709" s="70"/>
      <c r="J709" s="70"/>
    </row>
    <row r="710" spans="1:10" ht="15" x14ac:dyDescent="0.2">
      <c r="A710" s="70"/>
      <c r="B710" s="70"/>
      <c r="C710" s="70"/>
      <c r="D710" s="70"/>
      <c r="E710" s="70"/>
      <c r="F710" s="70"/>
      <c r="G710" s="70"/>
      <c r="H710" s="70"/>
      <c r="I710" s="70"/>
      <c r="J710" s="70"/>
    </row>
    <row r="711" spans="1:10" ht="15" x14ac:dyDescent="0.2">
      <c r="A711" s="70"/>
      <c r="B711" s="70"/>
      <c r="C711" s="70"/>
      <c r="D711" s="70"/>
      <c r="E711" s="70"/>
      <c r="F711" s="70"/>
      <c r="G711" s="70"/>
      <c r="H711" s="70"/>
      <c r="I711" s="70"/>
      <c r="J711" s="70"/>
    </row>
    <row r="712" spans="1:10" ht="15" x14ac:dyDescent="0.2">
      <c r="A712" s="70"/>
      <c r="B712" s="70"/>
      <c r="C712" s="70"/>
      <c r="D712" s="70"/>
      <c r="E712" s="70"/>
      <c r="F712" s="70"/>
      <c r="G712" s="70"/>
      <c r="H712" s="70"/>
      <c r="I712" s="70"/>
      <c r="J712" s="70"/>
    </row>
    <row r="713" spans="1:10" ht="15" x14ac:dyDescent="0.2">
      <c r="A713" s="70"/>
      <c r="B713" s="70"/>
      <c r="C713" s="70"/>
      <c r="D713" s="70"/>
      <c r="E713" s="70"/>
      <c r="F713" s="70"/>
      <c r="G713" s="70"/>
      <c r="H713" s="70"/>
      <c r="I713" s="70"/>
      <c r="J713" s="70"/>
    </row>
    <row r="714" spans="1:10" ht="15" x14ac:dyDescent="0.2">
      <c r="A714" s="70"/>
      <c r="B714" s="70"/>
      <c r="C714" s="70"/>
      <c r="D714" s="70"/>
      <c r="E714" s="70"/>
      <c r="F714" s="70"/>
      <c r="G714" s="70"/>
      <c r="H714" s="70"/>
      <c r="I714" s="70"/>
      <c r="J714" s="70"/>
    </row>
    <row r="715" spans="1:10" ht="15" x14ac:dyDescent="0.2">
      <c r="A715" s="70"/>
      <c r="B715" s="70"/>
      <c r="C715" s="70"/>
      <c r="D715" s="70"/>
      <c r="E715" s="70"/>
      <c r="F715" s="70"/>
      <c r="G715" s="70"/>
      <c r="H715" s="70"/>
      <c r="I715" s="70"/>
      <c r="J715" s="70"/>
    </row>
    <row r="716" spans="1:10" ht="15" x14ac:dyDescent="0.2">
      <c r="A716" s="70"/>
      <c r="B716" s="70"/>
      <c r="C716" s="70"/>
      <c r="D716" s="70"/>
      <c r="E716" s="70"/>
      <c r="F716" s="70"/>
      <c r="G716" s="70"/>
      <c r="H716" s="70"/>
      <c r="I716" s="70"/>
      <c r="J716" s="70"/>
    </row>
    <row r="717" spans="1:10" ht="15" x14ac:dyDescent="0.2">
      <c r="A717" s="70"/>
      <c r="B717" s="70"/>
      <c r="C717" s="70"/>
      <c r="D717" s="70"/>
      <c r="E717" s="70"/>
      <c r="F717" s="70"/>
      <c r="G717" s="70"/>
      <c r="H717" s="70"/>
      <c r="I717" s="70"/>
      <c r="J717" s="70"/>
    </row>
    <row r="718" spans="1:10" ht="15" x14ac:dyDescent="0.2">
      <c r="A718" s="70"/>
      <c r="B718" s="70"/>
      <c r="C718" s="70"/>
      <c r="D718" s="70"/>
      <c r="E718" s="70"/>
      <c r="F718" s="70"/>
      <c r="G718" s="70"/>
      <c r="H718" s="70"/>
      <c r="I718" s="70"/>
      <c r="J718" s="70"/>
    </row>
    <row r="719" spans="1:10" ht="15" x14ac:dyDescent="0.2">
      <c r="A719" s="70"/>
      <c r="B719" s="70"/>
      <c r="C719" s="70"/>
      <c r="D719" s="70"/>
      <c r="E719" s="70"/>
      <c r="F719" s="70"/>
      <c r="G719" s="70"/>
      <c r="H719" s="70"/>
      <c r="I719" s="70"/>
      <c r="J719" s="70"/>
    </row>
    <row r="720" spans="1:10" ht="15" x14ac:dyDescent="0.2">
      <c r="A720" s="70"/>
      <c r="B720" s="70"/>
      <c r="C720" s="70"/>
      <c r="D720" s="70"/>
      <c r="E720" s="70"/>
      <c r="F720" s="70"/>
      <c r="G720" s="70"/>
      <c r="H720" s="70"/>
      <c r="I720" s="70"/>
      <c r="J720" s="70"/>
    </row>
    <row r="721" spans="1:10" ht="15" x14ac:dyDescent="0.2">
      <c r="A721" s="70"/>
      <c r="B721" s="70"/>
      <c r="C721" s="70"/>
      <c r="D721" s="70"/>
      <c r="E721" s="70"/>
      <c r="F721" s="70"/>
      <c r="G721" s="70"/>
      <c r="H721" s="70"/>
      <c r="I721" s="70"/>
      <c r="J721" s="70"/>
    </row>
    <row r="722" spans="1:10" ht="15" x14ac:dyDescent="0.2">
      <c r="A722" s="70"/>
      <c r="B722" s="70"/>
      <c r="C722" s="70"/>
      <c r="D722" s="70"/>
      <c r="E722" s="70"/>
      <c r="F722" s="70"/>
      <c r="G722" s="70"/>
      <c r="H722" s="70"/>
      <c r="I722" s="70"/>
      <c r="J722" s="70"/>
    </row>
    <row r="723" spans="1:10" ht="15" x14ac:dyDescent="0.2">
      <c r="A723" s="70"/>
      <c r="B723" s="70"/>
      <c r="C723" s="70"/>
      <c r="D723" s="70"/>
      <c r="E723" s="70"/>
      <c r="F723" s="70"/>
      <c r="G723" s="70"/>
      <c r="H723" s="70"/>
      <c r="I723" s="70"/>
      <c r="J723" s="70"/>
    </row>
    <row r="724" spans="1:10" ht="15" x14ac:dyDescent="0.2">
      <c r="A724" s="70"/>
      <c r="B724" s="70"/>
      <c r="C724" s="70"/>
      <c r="D724" s="70"/>
      <c r="E724" s="70"/>
      <c r="F724" s="70"/>
      <c r="G724" s="70"/>
      <c r="H724" s="70"/>
      <c r="I724" s="70"/>
      <c r="J724" s="70"/>
    </row>
    <row r="725" spans="1:10" ht="15" x14ac:dyDescent="0.2">
      <c r="A725" s="70"/>
      <c r="B725" s="70"/>
      <c r="C725" s="70"/>
      <c r="D725" s="70"/>
      <c r="E725" s="70"/>
      <c r="F725" s="70"/>
      <c r="G725" s="70"/>
      <c r="H725" s="70"/>
      <c r="I725" s="70"/>
      <c r="J725" s="70"/>
    </row>
    <row r="726" spans="1:10" ht="15" x14ac:dyDescent="0.2">
      <c r="A726" s="70"/>
      <c r="B726" s="70"/>
      <c r="C726" s="70"/>
      <c r="D726" s="70"/>
      <c r="E726" s="70"/>
      <c r="F726" s="70"/>
      <c r="G726" s="70"/>
      <c r="H726" s="70"/>
      <c r="I726" s="70"/>
      <c r="J726" s="70"/>
    </row>
    <row r="727" spans="1:10" ht="15" x14ac:dyDescent="0.2">
      <c r="A727" s="70"/>
      <c r="B727" s="70"/>
      <c r="C727" s="70"/>
      <c r="D727" s="70"/>
      <c r="E727" s="70"/>
      <c r="F727" s="70"/>
      <c r="G727" s="70"/>
      <c r="H727" s="70"/>
      <c r="I727" s="70"/>
      <c r="J727" s="70"/>
    </row>
    <row r="728" spans="1:10" ht="15" x14ac:dyDescent="0.2">
      <c r="A728" s="70"/>
      <c r="B728" s="70"/>
      <c r="C728" s="70"/>
      <c r="D728" s="70"/>
      <c r="E728" s="70"/>
      <c r="F728" s="70"/>
      <c r="G728" s="70"/>
      <c r="H728" s="70"/>
      <c r="I728" s="70"/>
      <c r="J728" s="70"/>
    </row>
    <row r="729" spans="1:10" ht="15" x14ac:dyDescent="0.2">
      <c r="A729" s="70"/>
      <c r="B729" s="70"/>
      <c r="C729" s="70"/>
      <c r="D729" s="70"/>
      <c r="E729" s="70"/>
      <c r="F729" s="70"/>
      <c r="G729" s="70"/>
      <c r="H729" s="70"/>
      <c r="I729" s="70"/>
      <c r="J729" s="70"/>
    </row>
    <row r="730" spans="1:10" ht="15" x14ac:dyDescent="0.2">
      <c r="A730" s="70"/>
      <c r="B730" s="70"/>
      <c r="C730" s="70"/>
      <c r="D730" s="70"/>
      <c r="E730" s="70"/>
      <c r="F730" s="70"/>
      <c r="G730" s="70"/>
      <c r="H730" s="70"/>
      <c r="I730" s="70"/>
      <c r="J730" s="70"/>
    </row>
    <row r="731" spans="1:10" ht="15" x14ac:dyDescent="0.2">
      <c r="A731" s="70"/>
      <c r="B731" s="70"/>
      <c r="C731" s="70"/>
      <c r="D731" s="70"/>
      <c r="E731" s="70"/>
      <c r="F731" s="70"/>
      <c r="G731" s="70"/>
      <c r="H731" s="70"/>
      <c r="I731" s="70"/>
      <c r="J731" s="70"/>
    </row>
    <row r="732" spans="1:10" ht="15" x14ac:dyDescent="0.2">
      <c r="A732" s="70"/>
      <c r="B732" s="70"/>
      <c r="C732" s="70"/>
      <c r="D732" s="70"/>
      <c r="E732" s="70"/>
      <c r="F732" s="70"/>
      <c r="G732" s="70"/>
      <c r="H732" s="70"/>
      <c r="I732" s="70"/>
      <c r="J732" s="70"/>
    </row>
    <row r="733" spans="1:10" ht="15" x14ac:dyDescent="0.2">
      <c r="A733" s="70"/>
      <c r="B733" s="70"/>
      <c r="C733" s="70"/>
      <c r="D733" s="70"/>
      <c r="E733" s="70"/>
      <c r="F733" s="70"/>
      <c r="G733" s="70"/>
      <c r="H733" s="70"/>
      <c r="I733" s="70"/>
      <c r="J733" s="70"/>
    </row>
    <row r="734" spans="1:10" ht="15" x14ac:dyDescent="0.2">
      <c r="A734" s="70"/>
      <c r="B734" s="70"/>
      <c r="C734" s="70"/>
      <c r="D734" s="70"/>
      <c r="E734" s="70"/>
      <c r="F734" s="70"/>
      <c r="G734" s="70"/>
      <c r="H734" s="70"/>
      <c r="I734" s="70"/>
      <c r="J734" s="70"/>
    </row>
    <row r="735" spans="1:10" ht="15" x14ac:dyDescent="0.2">
      <c r="A735" s="70"/>
      <c r="B735" s="70"/>
      <c r="C735" s="70"/>
      <c r="D735" s="70"/>
      <c r="E735" s="70"/>
      <c r="F735" s="70"/>
      <c r="G735" s="70"/>
      <c r="H735" s="70"/>
      <c r="I735" s="70"/>
      <c r="J735" s="70"/>
    </row>
    <row r="736" spans="1:10" ht="15" x14ac:dyDescent="0.2">
      <c r="A736" s="70"/>
      <c r="B736" s="70"/>
      <c r="C736" s="70"/>
      <c r="D736" s="70"/>
      <c r="E736" s="70"/>
      <c r="F736" s="70"/>
      <c r="G736" s="70"/>
      <c r="H736" s="70"/>
      <c r="I736" s="70"/>
      <c r="J736" s="70"/>
    </row>
    <row r="737" spans="1:10" ht="15" x14ac:dyDescent="0.2">
      <c r="A737" s="70"/>
      <c r="B737" s="70"/>
      <c r="C737" s="70"/>
      <c r="D737" s="70"/>
      <c r="E737" s="70"/>
      <c r="F737" s="70"/>
      <c r="G737" s="70"/>
      <c r="H737" s="70"/>
      <c r="I737" s="70"/>
      <c r="J737" s="70"/>
    </row>
    <row r="738" spans="1:10" ht="15" x14ac:dyDescent="0.2">
      <c r="A738" s="70"/>
      <c r="B738" s="70"/>
      <c r="C738" s="70"/>
      <c r="D738" s="70"/>
      <c r="E738" s="70"/>
      <c r="F738" s="70"/>
      <c r="G738" s="70"/>
      <c r="H738" s="70"/>
      <c r="I738" s="70"/>
      <c r="J738" s="70"/>
    </row>
    <row r="739" spans="1:10" ht="15" x14ac:dyDescent="0.2">
      <c r="A739" s="70"/>
      <c r="B739" s="70"/>
      <c r="C739" s="70"/>
      <c r="D739" s="70"/>
      <c r="E739" s="70"/>
      <c r="F739" s="70"/>
      <c r="G739" s="70"/>
      <c r="H739" s="70"/>
      <c r="I739" s="70"/>
      <c r="J739" s="70"/>
    </row>
    <row r="740" spans="1:10" ht="15" x14ac:dyDescent="0.2">
      <c r="A740" s="70"/>
      <c r="B740" s="70"/>
      <c r="C740" s="70"/>
      <c r="D740" s="70"/>
      <c r="E740" s="70"/>
      <c r="F740" s="70"/>
      <c r="G740" s="70"/>
      <c r="H740" s="70"/>
      <c r="I740" s="70"/>
      <c r="J740" s="70"/>
    </row>
    <row r="741" spans="1:10" ht="15" x14ac:dyDescent="0.2">
      <c r="A741" s="70"/>
      <c r="B741" s="70"/>
      <c r="C741" s="70"/>
      <c r="D741" s="70"/>
      <c r="E741" s="70"/>
      <c r="F741" s="70"/>
      <c r="G741" s="70"/>
      <c r="H741" s="70"/>
      <c r="I741" s="70"/>
      <c r="J741" s="70"/>
    </row>
    <row r="742" spans="1:10" ht="15" x14ac:dyDescent="0.2">
      <c r="A742" s="70"/>
      <c r="B742" s="70"/>
      <c r="C742" s="70"/>
      <c r="D742" s="70"/>
      <c r="E742" s="70"/>
      <c r="F742" s="70"/>
      <c r="G742" s="70"/>
      <c r="H742" s="70"/>
      <c r="I742" s="70"/>
      <c r="J742" s="70"/>
    </row>
    <row r="743" spans="1:10" ht="15" x14ac:dyDescent="0.2">
      <c r="A743" s="70"/>
      <c r="B743" s="70"/>
      <c r="C743" s="70"/>
      <c r="D743" s="70"/>
      <c r="E743" s="70"/>
      <c r="F743" s="70"/>
      <c r="G743" s="70"/>
      <c r="H743" s="70"/>
      <c r="I743" s="70"/>
      <c r="J743" s="70"/>
    </row>
    <row r="744" spans="1:10" ht="15" x14ac:dyDescent="0.2">
      <c r="A744" s="70"/>
      <c r="B744" s="70"/>
      <c r="C744" s="70"/>
      <c r="D744" s="70"/>
      <c r="E744" s="70"/>
      <c r="F744" s="70"/>
      <c r="G744" s="70"/>
      <c r="H744" s="70"/>
      <c r="I744" s="70"/>
      <c r="J744" s="70"/>
    </row>
    <row r="745" spans="1:10" ht="15" x14ac:dyDescent="0.2">
      <c r="A745" s="70"/>
      <c r="B745" s="70"/>
      <c r="C745" s="70"/>
      <c r="D745" s="70"/>
      <c r="E745" s="70"/>
      <c r="F745" s="70"/>
      <c r="G745" s="70"/>
      <c r="H745" s="70"/>
      <c r="I745" s="70"/>
      <c r="J745" s="70"/>
    </row>
    <row r="746" spans="1:10" ht="15" x14ac:dyDescent="0.2">
      <c r="A746" s="70"/>
      <c r="B746" s="70"/>
      <c r="C746" s="70"/>
      <c r="D746" s="70"/>
      <c r="E746" s="70"/>
      <c r="F746" s="70"/>
      <c r="G746" s="70"/>
      <c r="H746" s="70"/>
      <c r="I746" s="70"/>
      <c r="J746" s="70"/>
    </row>
    <row r="747" spans="1:10" ht="15" x14ac:dyDescent="0.2">
      <c r="A747" s="70"/>
      <c r="B747" s="70"/>
      <c r="C747" s="70"/>
      <c r="D747" s="70"/>
      <c r="E747" s="70"/>
      <c r="F747" s="70"/>
      <c r="G747" s="70"/>
      <c r="H747" s="70"/>
      <c r="I747" s="70"/>
      <c r="J747" s="70"/>
    </row>
    <row r="748" spans="1:10" ht="15" x14ac:dyDescent="0.2">
      <c r="A748" s="70"/>
      <c r="B748" s="70"/>
      <c r="C748" s="70"/>
      <c r="D748" s="70"/>
      <c r="E748" s="70"/>
      <c r="F748" s="70"/>
      <c r="G748" s="70"/>
      <c r="H748" s="70"/>
      <c r="I748" s="70"/>
      <c r="J748" s="70"/>
    </row>
    <row r="749" spans="1:10" ht="15" x14ac:dyDescent="0.2">
      <c r="A749" s="70"/>
      <c r="B749" s="70"/>
      <c r="C749" s="70"/>
      <c r="D749" s="70"/>
      <c r="E749" s="70"/>
      <c r="F749" s="70"/>
      <c r="G749" s="70"/>
      <c r="H749" s="70"/>
      <c r="I749" s="70"/>
      <c r="J749" s="70"/>
    </row>
    <row r="750" spans="1:10" ht="15" x14ac:dyDescent="0.2">
      <c r="A750" s="70"/>
      <c r="B750" s="70"/>
      <c r="C750" s="70"/>
      <c r="D750" s="70"/>
      <c r="E750" s="70"/>
      <c r="F750" s="70"/>
      <c r="G750" s="70"/>
      <c r="H750" s="70"/>
      <c r="I750" s="70"/>
      <c r="J750" s="70"/>
    </row>
    <row r="751" spans="1:10" ht="15" x14ac:dyDescent="0.2">
      <c r="A751" s="70"/>
      <c r="B751" s="70"/>
      <c r="C751" s="70"/>
      <c r="D751" s="70"/>
      <c r="E751" s="70"/>
      <c r="F751" s="70"/>
      <c r="G751" s="70"/>
      <c r="H751" s="70"/>
      <c r="I751" s="70"/>
      <c r="J751" s="70"/>
    </row>
    <row r="752" spans="1:10" ht="15" x14ac:dyDescent="0.2">
      <c r="A752" s="70"/>
      <c r="B752" s="70"/>
      <c r="C752" s="70"/>
      <c r="D752" s="70"/>
      <c r="E752" s="70"/>
      <c r="F752" s="70"/>
      <c r="G752" s="70"/>
      <c r="H752" s="70"/>
      <c r="I752" s="70"/>
      <c r="J752" s="70"/>
    </row>
    <row r="753" spans="1:10" ht="15" x14ac:dyDescent="0.2">
      <c r="A753" s="70"/>
      <c r="B753" s="70"/>
      <c r="C753" s="70"/>
      <c r="D753" s="70"/>
      <c r="E753" s="70"/>
      <c r="F753" s="70"/>
      <c r="G753" s="70"/>
      <c r="H753" s="70"/>
      <c r="I753" s="70"/>
      <c r="J753" s="70"/>
    </row>
    <row r="754" spans="1:10" ht="15" x14ac:dyDescent="0.2">
      <c r="A754" s="70"/>
      <c r="B754" s="70"/>
      <c r="C754" s="70"/>
      <c r="D754" s="70"/>
      <c r="E754" s="70"/>
      <c r="F754" s="70"/>
      <c r="G754" s="70"/>
      <c r="H754" s="70"/>
      <c r="I754" s="70"/>
      <c r="J754" s="70"/>
    </row>
    <row r="755" spans="1:10" ht="15" x14ac:dyDescent="0.2">
      <c r="A755" s="70"/>
      <c r="B755" s="70"/>
      <c r="C755" s="70"/>
      <c r="D755" s="70"/>
      <c r="E755" s="70"/>
      <c r="F755" s="70"/>
      <c r="G755" s="70"/>
      <c r="H755" s="70"/>
      <c r="I755" s="70"/>
      <c r="J755" s="70"/>
    </row>
    <row r="756" spans="1:10" ht="15" x14ac:dyDescent="0.2">
      <c r="A756" s="70"/>
      <c r="B756" s="70"/>
      <c r="C756" s="70"/>
      <c r="D756" s="70"/>
      <c r="E756" s="70"/>
      <c r="F756" s="70"/>
      <c r="G756" s="70"/>
      <c r="H756" s="70"/>
      <c r="I756" s="70"/>
      <c r="J756" s="70"/>
    </row>
    <row r="757" spans="1:10" ht="15" x14ac:dyDescent="0.2">
      <c r="A757" s="70"/>
      <c r="B757" s="70"/>
      <c r="C757" s="70"/>
      <c r="D757" s="70"/>
      <c r="E757" s="70"/>
      <c r="F757" s="70"/>
      <c r="G757" s="70"/>
      <c r="H757" s="70"/>
      <c r="I757" s="70"/>
      <c r="J757" s="70"/>
    </row>
    <row r="758" spans="1:10" ht="15" x14ac:dyDescent="0.2">
      <c r="A758" s="70"/>
      <c r="B758" s="70"/>
      <c r="C758" s="70"/>
      <c r="D758" s="70"/>
      <c r="E758" s="70"/>
      <c r="F758" s="70"/>
      <c r="G758" s="70"/>
      <c r="H758" s="70"/>
      <c r="I758" s="70"/>
      <c r="J758" s="70"/>
    </row>
    <row r="759" spans="1:10" ht="15" x14ac:dyDescent="0.2">
      <c r="A759" s="70"/>
      <c r="B759" s="70"/>
      <c r="C759" s="70"/>
      <c r="D759" s="70"/>
      <c r="E759" s="70"/>
      <c r="F759" s="70"/>
      <c r="G759" s="70"/>
      <c r="H759" s="70"/>
      <c r="I759" s="70"/>
      <c r="J759" s="70"/>
    </row>
    <row r="760" spans="1:10" ht="15" x14ac:dyDescent="0.2">
      <c r="A760" s="70"/>
      <c r="B760" s="70"/>
      <c r="C760" s="70"/>
      <c r="D760" s="70"/>
      <c r="E760" s="70"/>
      <c r="F760" s="70"/>
      <c r="G760" s="70"/>
      <c r="H760" s="70"/>
      <c r="I760" s="70"/>
      <c r="J760" s="70"/>
    </row>
    <row r="761" spans="1:10" ht="15" x14ac:dyDescent="0.2">
      <c r="A761" s="70"/>
      <c r="B761" s="70"/>
      <c r="C761" s="70"/>
      <c r="D761" s="70"/>
      <c r="E761" s="70"/>
      <c r="F761" s="70"/>
      <c r="G761" s="70"/>
      <c r="H761" s="70"/>
      <c r="I761" s="70"/>
      <c r="J761" s="70"/>
    </row>
    <row r="762" spans="1:10" ht="15" x14ac:dyDescent="0.2">
      <c r="A762" s="70"/>
      <c r="B762" s="70"/>
      <c r="C762" s="70"/>
      <c r="D762" s="70"/>
      <c r="E762" s="70"/>
      <c r="F762" s="70"/>
      <c r="G762" s="70"/>
      <c r="H762" s="70"/>
      <c r="I762" s="70"/>
      <c r="J762" s="70"/>
    </row>
    <row r="763" spans="1:10" ht="15" x14ac:dyDescent="0.2">
      <c r="A763" s="70"/>
      <c r="B763" s="70"/>
      <c r="C763" s="70"/>
      <c r="D763" s="70"/>
      <c r="E763" s="70"/>
      <c r="F763" s="70"/>
      <c r="G763" s="70"/>
      <c r="H763" s="70"/>
      <c r="I763" s="70"/>
      <c r="J763" s="70"/>
    </row>
    <row r="764" spans="1:10" ht="15" x14ac:dyDescent="0.2">
      <c r="A764" s="70"/>
      <c r="B764" s="70"/>
      <c r="C764" s="70"/>
      <c r="D764" s="70"/>
      <c r="E764" s="70"/>
      <c r="F764" s="70"/>
      <c r="G764" s="70"/>
      <c r="H764" s="70"/>
      <c r="I764" s="70"/>
      <c r="J764" s="70"/>
    </row>
    <row r="765" spans="1:10" ht="15" x14ac:dyDescent="0.2">
      <c r="A765" s="70"/>
      <c r="B765" s="70"/>
      <c r="C765" s="70"/>
      <c r="D765" s="70"/>
      <c r="E765" s="70"/>
      <c r="F765" s="70"/>
      <c r="G765" s="70"/>
      <c r="H765" s="70"/>
      <c r="I765" s="70"/>
      <c r="J765" s="70"/>
    </row>
    <row r="766" spans="1:10" ht="15" x14ac:dyDescent="0.2">
      <c r="A766" s="70"/>
      <c r="B766" s="70"/>
      <c r="C766" s="70"/>
      <c r="D766" s="70"/>
      <c r="E766" s="70"/>
      <c r="F766" s="70"/>
      <c r="G766" s="70"/>
      <c r="H766" s="70"/>
      <c r="I766" s="70"/>
      <c r="J766" s="70"/>
    </row>
    <row r="767" spans="1:10" ht="15" x14ac:dyDescent="0.2">
      <c r="A767" s="70"/>
      <c r="B767" s="70"/>
      <c r="C767" s="70"/>
      <c r="D767" s="70"/>
      <c r="E767" s="70"/>
      <c r="F767" s="70"/>
      <c r="G767" s="70"/>
      <c r="H767" s="70"/>
      <c r="I767" s="70"/>
      <c r="J767" s="70"/>
    </row>
    <row r="768" spans="1:10" ht="15" x14ac:dyDescent="0.2">
      <c r="A768" s="70"/>
      <c r="B768" s="70"/>
      <c r="C768" s="70"/>
      <c r="D768" s="70"/>
      <c r="E768" s="70"/>
      <c r="F768" s="70"/>
      <c r="G768" s="70"/>
      <c r="H768" s="70"/>
      <c r="I768" s="70"/>
      <c r="J768" s="70"/>
    </row>
    <row r="769" spans="1:10" ht="15" x14ac:dyDescent="0.2">
      <c r="A769" s="70"/>
      <c r="B769" s="70"/>
      <c r="C769" s="70"/>
      <c r="D769" s="70"/>
      <c r="E769" s="70"/>
      <c r="F769" s="70"/>
      <c r="G769" s="70"/>
      <c r="H769" s="70"/>
      <c r="I769" s="70"/>
      <c r="J769" s="70"/>
    </row>
    <row r="770" spans="1:10" ht="15" x14ac:dyDescent="0.2">
      <c r="A770" s="70"/>
      <c r="B770" s="70"/>
      <c r="C770" s="70"/>
      <c r="D770" s="70"/>
      <c r="E770" s="70"/>
      <c r="F770" s="70"/>
      <c r="G770" s="70"/>
      <c r="H770" s="70"/>
      <c r="I770" s="70"/>
      <c r="J770" s="70"/>
    </row>
    <row r="771" spans="1:10" ht="15" x14ac:dyDescent="0.2">
      <c r="A771" s="70"/>
      <c r="B771" s="70"/>
      <c r="C771" s="70"/>
      <c r="D771" s="70"/>
      <c r="E771" s="70"/>
      <c r="F771" s="70"/>
      <c r="G771" s="70"/>
      <c r="H771" s="70"/>
      <c r="I771" s="70"/>
      <c r="J771" s="70"/>
    </row>
    <row r="772" spans="1:10" ht="15" x14ac:dyDescent="0.2">
      <c r="A772" s="70"/>
      <c r="B772" s="70"/>
      <c r="C772" s="70"/>
      <c r="D772" s="70"/>
      <c r="E772" s="70"/>
      <c r="F772" s="70"/>
      <c r="G772" s="70"/>
      <c r="H772" s="70"/>
      <c r="I772" s="70"/>
      <c r="J772" s="70"/>
    </row>
    <row r="773" spans="1:10" ht="15" x14ac:dyDescent="0.2">
      <c r="A773" s="70"/>
      <c r="B773" s="70"/>
      <c r="C773" s="70"/>
      <c r="D773" s="70"/>
      <c r="E773" s="70"/>
      <c r="F773" s="70"/>
      <c r="G773" s="70"/>
      <c r="H773" s="70"/>
      <c r="I773" s="70"/>
      <c r="J773" s="70"/>
    </row>
    <row r="774" spans="1:10" ht="15" x14ac:dyDescent="0.2">
      <c r="A774" s="70"/>
      <c r="B774" s="70"/>
      <c r="C774" s="70"/>
      <c r="D774" s="70"/>
      <c r="E774" s="70"/>
      <c r="F774" s="70"/>
      <c r="G774" s="70"/>
      <c r="H774" s="70"/>
      <c r="I774" s="70"/>
      <c r="J774" s="70"/>
    </row>
    <row r="775" spans="1:10" ht="15" x14ac:dyDescent="0.2">
      <c r="A775" s="70"/>
      <c r="B775" s="70"/>
      <c r="C775" s="70"/>
      <c r="D775" s="70"/>
      <c r="E775" s="70"/>
      <c r="F775" s="70"/>
      <c r="G775" s="70"/>
      <c r="H775" s="70"/>
      <c r="I775" s="70"/>
      <c r="J775" s="70"/>
    </row>
    <row r="776" spans="1:10" ht="15" x14ac:dyDescent="0.2">
      <c r="A776" s="70"/>
      <c r="B776" s="70"/>
      <c r="C776" s="70"/>
      <c r="D776" s="70"/>
      <c r="E776" s="70"/>
      <c r="F776" s="70"/>
      <c r="G776" s="70"/>
      <c r="H776" s="70"/>
      <c r="I776" s="70"/>
      <c r="J776" s="70"/>
    </row>
    <row r="777" spans="1:10" ht="15" x14ac:dyDescent="0.2">
      <c r="A777" s="70"/>
      <c r="B777" s="70"/>
      <c r="C777" s="70"/>
      <c r="D777" s="70"/>
      <c r="E777" s="70"/>
      <c r="F777" s="70"/>
      <c r="G777" s="70"/>
      <c r="H777" s="70"/>
      <c r="I777" s="70"/>
      <c r="J777" s="70"/>
    </row>
    <row r="778" spans="1:10" ht="15" x14ac:dyDescent="0.2">
      <c r="A778" s="70"/>
      <c r="B778" s="70"/>
      <c r="C778" s="70"/>
      <c r="D778" s="70"/>
      <c r="E778" s="70"/>
      <c r="F778" s="70"/>
      <c r="G778" s="70"/>
      <c r="H778" s="70"/>
      <c r="I778" s="70"/>
      <c r="J778" s="70"/>
    </row>
    <row r="779" spans="1:10" ht="15" x14ac:dyDescent="0.2">
      <c r="A779" s="70"/>
      <c r="B779" s="70"/>
      <c r="C779" s="70"/>
      <c r="D779" s="70"/>
      <c r="E779" s="70"/>
      <c r="F779" s="70"/>
      <c r="G779" s="70"/>
      <c r="H779" s="70"/>
      <c r="I779" s="70"/>
      <c r="J779" s="70"/>
    </row>
    <row r="780" spans="1:10" ht="15" x14ac:dyDescent="0.2">
      <c r="A780" s="70"/>
      <c r="B780" s="70"/>
      <c r="C780" s="70"/>
      <c r="D780" s="70"/>
      <c r="E780" s="70"/>
      <c r="F780" s="70"/>
      <c r="G780" s="70"/>
      <c r="H780" s="70"/>
      <c r="I780" s="70"/>
      <c r="J780" s="70"/>
    </row>
    <row r="781" spans="1:10" ht="15" x14ac:dyDescent="0.2">
      <c r="A781" s="70"/>
      <c r="B781" s="70"/>
      <c r="C781" s="70"/>
      <c r="D781" s="70"/>
      <c r="E781" s="70"/>
      <c r="F781" s="70"/>
      <c r="G781" s="70"/>
      <c r="H781" s="70"/>
      <c r="I781" s="70"/>
      <c r="J781" s="70"/>
    </row>
    <row r="782" spans="1:10" ht="15" x14ac:dyDescent="0.2">
      <c r="A782" s="70"/>
      <c r="B782" s="70"/>
      <c r="C782" s="70"/>
      <c r="D782" s="70"/>
      <c r="E782" s="70"/>
      <c r="F782" s="70"/>
      <c r="G782" s="70"/>
      <c r="H782" s="70"/>
      <c r="I782" s="70"/>
      <c r="J782" s="70"/>
    </row>
    <row r="783" spans="1:10" ht="15" x14ac:dyDescent="0.2">
      <c r="A783" s="70"/>
      <c r="B783" s="70"/>
      <c r="C783" s="70"/>
      <c r="D783" s="70"/>
      <c r="E783" s="70"/>
      <c r="F783" s="70"/>
      <c r="G783" s="70"/>
      <c r="H783" s="70"/>
      <c r="I783" s="70"/>
      <c r="J783" s="70"/>
    </row>
    <row r="784" spans="1:10" ht="15" x14ac:dyDescent="0.2">
      <c r="A784" s="70"/>
      <c r="B784" s="70"/>
      <c r="C784" s="70"/>
      <c r="D784" s="70"/>
      <c r="E784" s="70"/>
      <c r="F784" s="70"/>
      <c r="G784" s="70"/>
      <c r="H784" s="70"/>
      <c r="I784" s="70"/>
      <c r="J784" s="70"/>
    </row>
    <row r="785" spans="1:10" ht="15" x14ac:dyDescent="0.2">
      <c r="A785" s="70"/>
      <c r="B785" s="70"/>
      <c r="C785" s="70"/>
      <c r="D785" s="70"/>
      <c r="E785" s="70"/>
      <c r="F785" s="70"/>
      <c r="G785" s="70"/>
      <c r="H785" s="70"/>
      <c r="I785" s="70"/>
      <c r="J785" s="70"/>
    </row>
    <row r="786" spans="1:10" ht="15" x14ac:dyDescent="0.2">
      <c r="A786" s="70"/>
      <c r="B786" s="70"/>
      <c r="C786" s="70"/>
      <c r="D786" s="70"/>
      <c r="E786" s="70"/>
      <c r="F786" s="70"/>
      <c r="G786" s="70"/>
      <c r="H786" s="70"/>
      <c r="I786" s="70"/>
      <c r="J786" s="70"/>
    </row>
    <row r="787" spans="1:10" ht="15" x14ac:dyDescent="0.2">
      <c r="A787" s="70"/>
      <c r="B787" s="70"/>
      <c r="C787" s="70"/>
      <c r="D787" s="70"/>
      <c r="E787" s="70"/>
      <c r="F787" s="70"/>
      <c r="G787" s="70"/>
      <c r="H787" s="70"/>
      <c r="I787" s="70"/>
      <c r="J787" s="70"/>
    </row>
    <row r="788" spans="1:10" ht="15" x14ac:dyDescent="0.2">
      <c r="A788" s="70"/>
      <c r="B788" s="70"/>
      <c r="C788" s="70"/>
      <c r="D788" s="70"/>
      <c r="E788" s="70"/>
      <c r="F788" s="70"/>
      <c r="G788" s="70"/>
      <c r="H788" s="70"/>
      <c r="I788" s="70"/>
      <c r="J788" s="70"/>
    </row>
    <row r="789" spans="1:10" ht="15" x14ac:dyDescent="0.2">
      <c r="A789" s="70"/>
      <c r="B789" s="70"/>
      <c r="C789" s="70"/>
      <c r="D789" s="70"/>
      <c r="E789" s="70"/>
      <c r="F789" s="70"/>
      <c r="G789" s="70"/>
      <c r="H789" s="70"/>
      <c r="I789" s="70"/>
      <c r="J789" s="70"/>
    </row>
    <row r="790" spans="1:10" ht="15" x14ac:dyDescent="0.2">
      <c r="A790" s="70"/>
      <c r="B790" s="70"/>
      <c r="C790" s="70"/>
      <c r="D790" s="70"/>
      <c r="E790" s="70"/>
      <c r="F790" s="70"/>
      <c r="G790" s="70"/>
      <c r="H790" s="70"/>
      <c r="I790" s="70"/>
      <c r="J790" s="70"/>
    </row>
    <row r="791" spans="1:10" ht="15" x14ac:dyDescent="0.2">
      <c r="A791" s="70"/>
      <c r="B791" s="70"/>
      <c r="C791" s="70"/>
      <c r="D791" s="70"/>
      <c r="E791" s="70"/>
      <c r="F791" s="70"/>
      <c r="G791" s="70"/>
      <c r="H791" s="70"/>
      <c r="I791" s="70"/>
      <c r="J791" s="70"/>
    </row>
    <row r="792" spans="1:10" ht="15" x14ac:dyDescent="0.2">
      <c r="A792" s="70"/>
      <c r="B792" s="70"/>
      <c r="C792" s="70"/>
      <c r="D792" s="70"/>
      <c r="E792" s="70"/>
      <c r="F792" s="70"/>
      <c r="G792" s="70"/>
      <c r="H792" s="70"/>
      <c r="I792" s="70"/>
      <c r="J792" s="70"/>
    </row>
    <row r="793" spans="1:10" ht="15" x14ac:dyDescent="0.2">
      <c r="A793" s="70"/>
      <c r="B793" s="70"/>
      <c r="C793" s="70"/>
      <c r="D793" s="70"/>
      <c r="E793" s="70"/>
      <c r="F793" s="70"/>
      <c r="G793" s="70"/>
      <c r="H793" s="70"/>
      <c r="I793" s="70"/>
      <c r="J793" s="70"/>
    </row>
    <row r="794" spans="1:10" ht="15" x14ac:dyDescent="0.2">
      <c r="A794" s="70"/>
      <c r="B794" s="70"/>
      <c r="C794" s="70"/>
      <c r="D794" s="70"/>
      <c r="E794" s="70"/>
      <c r="F794" s="70"/>
      <c r="G794" s="70"/>
      <c r="H794" s="70"/>
      <c r="I794" s="70"/>
      <c r="J794" s="70"/>
    </row>
    <row r="795" spans="1:10" ht="15" x14ac:dyDescent="0.2">
      <c r="A795" s="70"/>
      <c r="B795" s="70"/>
      <c r="C795" s="70"/>
      <c r="D795" s="70"/>
      <c r="E795" s="70"/>
      <c r="F795" s="70"/>
      <c r="G795" s="70"/>
      <c r="H795" s="70"/>
      <c r="I795" s="70"/>
      <c r="J795" s="70"/>
    </row>
    <row r="796" spans="1:10" ht="15" x14ac:dyDescent="0.2">
      <c r="A796" s="70"/>
      <c r="B796" s="70"/>
      <c r="C796" s="70"/>
      <c r="D796" s="70"/>
      <c r="E796" s="70"/>
      <c r="F796" s="70"/>
      <c r="G796" s="70"/>
      <c r="H796" s="70"/>
      <c r="I796" s="70"/>
      <c r="J796" s="70"/>
    </row>
    <row r="797" spans="1:10" ht="15" x14ac:dyDescent="0.2">
      <c r="A797" s="70"/>
      <c r="B797" s="70"/>
      <c r="C797" s="70"/>
      <c r="D797" s="70"/>
      <c r="E797" s="70"/>
      <c r="F797" s="70"/>
      <c r="G797" s="70"/>
      <c r="H797" s="70"/>
      <c r="I797" s="70"/>
      <c r="J797" s="70"/>
    </row>
    <row r="798" spans="1:10" ht="15" x14ac:dyDescent="0.2">
      <c r="A798" s="70"/>
      <c r="B798" s="70"/>
      <c r="C798" s="70"/>
      <c r="D798" s="70"/>
      <c r="E798" s="70"/>
      <c r="F798" s="70"/>
      <c r="G798" s="70"/>
      <c r="H798" s="70"/>
      <c r="I798" s="70"/>
      <c r="J798" s="70"/>
    </row>
    <row r="799" spans="1:10" ht="15" x14ac:dyDescent="0.2">
      <c r="A799" s="70"/>
      <c r="B799" s="70"/>
      <c r="C799" s="70"/>
      <c r="D799" s="70"/>
      <c r="E799" s="70"/>
      <c r="F799" s="70"/>
      <c r="G799" s="70"/>
      <c r="H799" s="70"/>
      <c r="I799" s="70"/>
      <c r="J799" s="70"/>
    </row>
    <row r="800" spans="1:10" ht="15" x14ac:dyDescent="0.2">
      <c r="A800" s="70"/>
      <c r="B800" s="70"/>
      <c r="C800" s="70"/>
      <c r="D800" s="70"/>
      <c r="E800" s="70"/>
      <c r="F800" s="70"/>
      <c r="G800" s="70"/>
      <c r="H800" s="70"/>
      <c r="I800" s="70"/>
      <c r="J800" s="70"/>
    </row>
    <row r="801" spans="1:10" ht="15" x14ac:dyDescent="0.2">
      <c r="A801" s="70"/>
      <c r="B801" s="70"/>
      <c r="C801" s="70"/>
      <c r="D801" s="70"/>
      <c r="E801" s="70"/>
      <c r="F801" s="70"/>
      <c r="G801" s="70"/>
      <c r="H801" s="70"/>
      <c r="I801" s="70"/>
      <c r="J801" s="70"/>
    </row>
    <row r="802" spans="1:10" ht="15" x14ac:dyDescent="0.2">
      <c r="A802" s="70"/>
      <c r="B802" s="70"/>
      <c r="C802" s="70"/>
      <c r="D802" s="70"/>
      <c r="E802" s="70"/>
      <c r="F802" s="70"/>
      <c r="G802" s="70"/>
      <c r="H802" s="70"/>
      <c r="I802" s="70"/>
      <c r="J802" s="70"/>
    </row>
    <row r="803" spans="1:10" ht="15" x14ac:dyDescent="0.2">
      <c r="A803" s="70"/>
      <c r="B803" s="70"/>
      <c r="C803" s="70"/>
      <c r="D803" s="70"/>
      <c r="E803" s="70"/>
      <c r="F803" s="70"/>
      <c r="G803" s="70"/>
      <c r="H803" s="70"/>
      <c r="I803" s="70"/>
      <c r="J803" s="70"/>
    </row>
    <row r="804" spans="1:10" ht="15" x14ac:dyDescent="0.2">
      <c r="A804" s="70"/>
      <c r="B804" s="70"/>
      <c r="C804" s="70"/>
      <c r="D804" s="70"/>
      <c r="E804" s="70"/>
      <c r="F804" s="70"/>
      <c r="G804" s="70"/>
      <c r="H804" s="70"/>
      <c r="I804" s="70"/>
      <c r="J804" s="70"/>
    </row>
    <row r="805" spans="1:10" ht="15" x14ac:dyDescent="0.2">
      <c r="A805" s="70"/>
      <c r="B805" s="70"/>
      <c r="C805" s="70"/>
      <c r="D805" s="70"/>
      <c r="E805" s="70"/>
      <c r="F805" s="70"/>
      <c r="G805" s="70"/>
      <c r="H805" s="70"/>
      <c r="I805" s="70"/>
      <c r="J805" s="70"/>
    </row>
    <row r="806" spans="1:10" ht="15" x14ac:dyDescent="0.2">
      <c r="A806" s="70"/>
      <c r="B806" s="70"/>
      <c r="C806" s="70"/>
      <c r="D806" s="70"/>
      <c r="E806" s="70"/>
      <c r="F806" s="70"/>
      <c r="G806" s="70"/>
      <c r="H806" s="70"/>
      <c r="I806" s="70"/>
      <c r="J806" s="70"/>
    </row>
    <row r="807" spans="1:10" ht="15" x14ac:dyDescent="0.2">
      <c r="A807" s="70"/>
      <c r="B807" s="70"/>
      <c r="C807" s="70"/>
      <c r="D807" s="70"/>
      <c r="E807" s="70"/>
      <c r="F807" s="70"/>
      <c r="G807" s="70"/>
      <c r="H807" s="70"/>
      <c r="I807" s="70"/>
      <c r="J807" s="70"/>
    </row>
    <row r="808" spans="1:10" ht="15" x14ac:dyDescent="0.2">
      <c r="A808" s="70"/>
      <c r="B808" s="70"/>
      <c r="C808" s="70"/>
      <c r="D808" s="70"/>
      <c r="E808" s="70"/>
      <c r="F808" s="70"/>
      <c r="G808" s="70"/>
      <c r="H808" s="70"/>
      <c r="I808" s="70"/>
      <c r="J808" s="70"/>
    </row>
    <row r="809" spans="1:10" ht="15" x14ac:dyDescent="0.2">
      <c r="A809" s="70"/>
      <c r="B809" s="70"/>
      <c r="C809" s="70"/>
      <c r="D809" s="70"/>
      <c r="E809" s="70"/>
      <c r="F809" s="70"/>
      <c r="G809" s="70"/>
      <c r="H809" s="70"/>
      <c r="I809" s="70"/>
      <c r="J809" s="70"/>
    </row>
    <row r="810" spans="1:10" ht="15" x14ac:dyDescent="0.2">
      <c r="A810" s="70"/>
      <c r="B810" s="70"/>
      <c r="C810" s="70"/>
      <c r="D810" s="70"/>
      <c r="E810" s="70"/>
      <c r="F810" s="70"/>
      <c r="G810" s="70"/>
      <c r="H810" s="70"/>
      <c r="I810" s="70"/>
      <c r="J810" s="70"/>
    </row>
    <row r="811" spans="1:10" ht="15" x14ac:dyDescent="0.2">
      <c r="A811" s="70"/>
      <c r="B811" s="70"/>
      <c r="C811" s="70"/>
      <c r="D811" s="70"/>
      <c r="E811" s="70"/>
      <c r="F811" s="70"/>
      <c r="G811" s="70"/>
      <c r="H811" s="70"/>
      <c r="I811" s="70"/>
      <c r="J811" s="70"/>
    </row>
    <row r="812" spans="1:10" ht="15" x14ac:dyDescent="0.2">
      <c r="A812" s="70"/>
      <c r="B812" s="70"/>
      <c r="C812" s="70"/>
      <c r="D812" s="70"/>
      <c r="E812" s="70"/>
      <c r="F812" s="70"/>
      <c r="G812" s="70"/>
      <c r="H812" s="70"/>
      <c r="I812" s="70"/>
      <c r="J812" s="70"/>
    </row>
    <row r="813" spans="1:10" ht="15" x14ac:dyDescent="0.2">
      <c r="A813" s="70"/>
      <c r="B813" s="70"/>
      <c r="C813" s="70"/>
      <c r="D813" s="70"/>
      <c r="E813" s="70"/>
      <c r="F813" s="70"/>
      <c r="G813" s="70"/>
      <c r="H813" s="70"/>
      <c r="I813" s="70"/>
      <c r="J813" s="70"/>
    </row>
    <row r="814" spans="1:10" ht="15" x14ac:dyDescent="0.2">
      <c r="A814" s="70"/>
      <c r="B814" s="70"/>
      <c r="C814" s="70"/>
      <c r="D814" s="70"/>
      <c r="E814" s="70"/>
      <c r="F814" s="70"/>
      <c r="G814" s="70"/>
      <c r="H814" s="70"/>
      <c r="I814" s="70"/>
      <c r="J814" s="70"/>
    </row>
    <row r="815" spans="1:10" ht="15" x14ac:dyDescent="0.2">
      <c r="A815" s="70"/>
      <c r="B815" s="70"/>
      <c r="C815" s="70"/>
      <c r="D815" s="70"/>
      <c r="E815" s="70"/>
      <c r="F815" s="70"/>
      <c r="G815" s="70"/>
      <c r="H815" s="70"/>
      <c r="I815" s="70"/>
      <c r="J815" s="70"/>
    </row>
    <row r="816" spans="1:10" ht="15" x14ac:dyDescent="0.2">
      <c r="A816" s="70"/>
      <c r="B816" s="70"/>
      <c r="C816" s="70"/>
      <c r="D816" s="70"/>
      <c r="E816" s="70"/>
      <c r="F816" s="70"/>
      <c r="G816" s="70"/>
      <c r="H816" s="70"/>
      <c r="I816" s="70"/>
      <c r="J816" s="70"/>
    </row>
    <row r="817" spans="1:10" ht="15" x14ac:dyDescent="0.2">
      <c r="A817" s="70"/>
      <c r="B817" s="70"/>
      <c r="C817" s="70"/>
      <c r="D817" s="70"/>
      <c r="E817" s="70"/>
      <c r="F817" s="70"/>
      <c r="G817" s="70"/>
      <c r="H817" s="70"/>
      <c r="I817" s="70"/>
      <c r="J817" s="70"/>
    </row>
    <row r="818" spans="1:10" ht="15" x14ac:dyDescent="0.2">
      <c r="A818" s="70"/>
      <c r="B818" s="70"/>
      <c r="C818" s="70"/>
      <c r="D818" s="70"/>
      <c r="E818" s="70"/>
      <c r="F818" s="70"/>
      <c r="G818" s="70"/>
      <c r="H818" s="70"/>
      <c r="I818" s="70"/>
      <c r="J818" s="70"/>
    </row>
    <row r="819" spans="1:10" ht="15" x14ac:dyDescent="0.2">
      <c r="A819" s="70"/>
      <c r="B819" s="70"/>
      <c r="C819" s="70"/>
      <c r="D819" s="70"/>
      <c r="E819" s="70"/>
      <c r="F819" s="70"/>
      <c r="G819" s="70"/>
      <c r="H819" s="70"/>
      <c r="I819" s="70"/>
      <c r="J819" s="70"/>
    </row>
    <row r="820" spans="1:10" ht="15" x14ac:dyDescent="0.2">
      <c r="A820" s="70"/>
      <c r="B820" s="70"/>
      <c r="C820" s="70"/>
      <c r="D820" s="70"/>
      <c r="E820" s="70"/>
      <c r="F820" s="70"/>
      <c r="G820" s="70"/>
      <c r="H820" s="70"/>
      <c r="I820" s="70"/>
      <c r="J820" s="70"/>
    </row>
    <row r="821" spans="1:10" ht="15" x14ac:dyDescent="0.2">
      <c r="A821" s="70"/>
      <c r="B821" s="70"/>
      <c r="C821" s="70"/>
      <c r="D821" s="70"/>
      <c r="E821" s="70"/>
      <c r="F821" s="70"/>
      <c r="G821" s="70"/>
      <c r="H821" s="70"/>
      <c r="I821" s="70"/>
      <c r="J821" s="70"/>
    </row>
    <row r="822" spans="1:10" ht="15" x14ac:dyDescent="0.2">
      <c r="A822" s="70"/>
      <c r="B822" s="70"/>
      <c r="C822" s="70"/>
      <c r="D822" s="70"/>
      <c r="E822" s="70"/>
      <c r="F822" s="70"/>
      <c r="G822" s="70"/>
      <c r="H822" s="70"/>
      <c r="I822" s="70"/>
      <c r="J822" s="70"/>
    </row>
    <row r="823" spans="1:10" ht="15" x14ac:dyDescent="0.2">
      <c r="A823" s="70"/>
      <c r="B823" s="70"/>
      <c r="C823" s="70"/>
      <c r="D823" s="70"/>
      <c r="E823" s="70"/>
      <c r="F823" s="70"/>
      <c r="G823" s="70"/>
      <c r="H823" s="70"/>
      <c r="I823" s="70"/>
      <c r="J823" s="70"/>
    </row>
    <row r="824" spans="1:10" ht="15" x14ac:dyDescent="0.2">
      <c r="A824" s="70"/>
      <c r="B824" s="70"/>
      <c r="C824" s="70"/>
      <c r="D824" s="70"/>
      <c r="E824" s="70"/>
      <c r="F824" s="70"/>
      <c r="G824" s="70"/>
      <c r="H824" s="70"/>
      <c r="I824" s="70"/>
      <c r="J824" s="70"/>
    </row>
    <row r="825" spans="1:10" ht="15" x14ac:dyDescent="0.2">
      <c r="A825" s="70"/>
      <c r="B825" s="70"/>
      <c r="C825" s="70"/>
      <c r="D825" s="70"/>
      <c r="E825" s="70"/>
      <c r="F825" s="70"/>
      <c r="G825" s="70"/>
      <c r="H825" s="70"/>
      <c r="I825" s="70"/>
      <c r="J825" s="70"/>
    </row>
    <row r="826" spans="1:10" ht="15" x14ac:dyDescent="0.2">
      <c r="A826" s="70"/>
      <c r="B826" s="70"/>
      <c r="C826" s="70"/>
      <c r="D826" s="70"/>
      <c r="E826" s="70"/>
      <c r="F826" s="70"/>
      <c r="G826" s="70"/>
      <c r="H826" s="70"/>
      <c r="I826" s="70"/>
      <c r="J826" s="70"/>
    </row>
    <row r="827" spans="1:10" ht="15" x14ac:dyDescent="0.2">
      <c r="A827" s="70"/>
      <c r="B827" s="70"/>
      <c r="C827" s="70"/>
      <c r="D827" s="70"/>
      <c r="E827" s="70"/>
      <c r="F827" s="70"/>
      <c r="G827" s="70"/>
      <c r="H827" s="70"/>
      <c r="I827" s="70"/>
      <c r="J827" s="70"/>
    </row>
    <row r="828" spans="1:10" ht="15" x14ac:dyDescent="0.2">
      <c r="A828" s="70"/>
      <c r="B828" s="70"/>
      <c r="C828" s="70"/>
      <c r="D828" s="70"/>
      <c r="E828" s="70"/>
      <c r="F828" s="70"/>
      <c r="G828" s="70"/>
      <c r="H828" s="70"/>
      <c r="I828" s="70"/>
      <c r="J828" s="70"/>
    </row>
    <row r="829" spans="1:10" ht="15" x14ac:dyDescent="0.2">
      <c r="A829" s="70"/>
      <c r="B829" s="70"/>
      <c r="C829" s="70"/>
      <c r="D829" s="70"/>
      <c r="E829" s="70"/>
      <c r="F829" s="70"/>
      <c r="G829" s="70"/>
      <c r="H829" s="70"/>
      <c r="I829" s="70"/>
      <c r="J829" s="70"/>
    </row>
    <row r="830" spans="1:10" ht="15" x14ac:dyDescent="0.2">
      <c r="A830" s="70"/>
      <c r="B830" s="70"/>
      <c r="C830" s="70"/>
      <c r="D830" s="70"/>
      <c r="E830" s="70"/>
      <c r="F830" s="70"/>
      <c r="G830" s="70"/>
      <c r="H830" s="70"/>
      <c r="I830" s="70"/>
      <c r="J830" s="70"/>
    </row>
    <row r="831" spans="1:10" ht="15" x14ac:dyDescent="0.2">
      <c r="A831" s="70"/>
      <c r="B831" s="70"/>
      <c r="C831" s="70"/>
      <c r="D831" s="70"/>
      <c r="E831" s="70"/>
      <c r="F831" s="70"/>
      <c r="G831" s="70"/>
      <c r="H831" s="70"/>
      <c r="I831" s="70"/>
      <c r="J831" s="70"/>
    </row>
    <row r="832" spans="1:10" ht="15" x14ac:dyDescent="0.2">
      <c r="A832" s="70"/>
      <c r="B832" s="70"/>
      <c r="C832" s="70"/>
      <c r="D832" s="70"/>
      <c r="E832" s="70"/>
      <c r="F832" s="70"/>
      <c r="G832" s="70"/>
      <c r="H832" s="70"/>
      <c r="I832" s="70"/>
      <c r="J832" s="70"/>
    </row>
    <row r="833" spans="1:10" ht="15" x14ac:dyDescent="0.2">
      <c r="A833" s="70"/>
      <c r="B833" s="70"/>
      <c r="C833" s="70"/>
      <c r="D833" s="70"/>
      <c r="E833" s="70"/>
      <c r="F833" s="70"/>
      <c r="G833" s="70"/>
      <c r="H833" s="70"/>
      <c r="I833" s="70"/>
      <c r="J833" s="70"/>
    </row>
    <row r="834" spans="1:10" ht="15" x14ac:dyDescent="0.2">
      <c r="A834" s="70"/>
      <c r="B834" s="70"/>
      <c r="C834" s="70"/>
      <c r="D834" s="70"/>
      <c r="E834" s="70"/>
      <c r="F834" s="70"/>
      <c r="G834" s="70"/>
      <c r="H834" s="70"/>
      <c r="I834" s="70"/>
      <c r="J834" s="70"/>
    </row>
    <row r="835" spans="1:10" ht="15" x14ac:dyDescent="0.2">
      <c r="A835" s="70"/>
      <c r="B835" s="70"/>
      <c r="C835" s="70"/>
      <c r="D835" s="70"/>
      <c r="E835" s="70"/>
      <c r="F835" s="70"/>
      <c r="G835" s="70"/>
      <c r="H835" s="70"/>
      <c r="I835" s="70"/>
      <c r="J835" s="70"/>
    </row>
    <row r="836" spans="1:10" ht="15" x14ac:dyDescent="0.2">
      <c r="A836" s="70"/>
      <c r="B836" s="70"/>
      <c r="C836" s="70"/>
      <c r="D836" s="70"/>
      <c r="E836" s="70"/>
      <c r="F836" s="70"/>
      <c r="G836" s="70"/>
      <c r="H836" s="70"/>
      <c r="I836" s="70"/>
      <c r="J836" s="70"/>
    </row>
    <row r="837" spans="1:10" ht="15" x14ac:dyDescent="0.2">
      <c r="A837" s="70"/>
      <c r="B837" s="70"/>
      <c r="C837" s="70"/>
      <c r="D837" s="70"/>
      <c r="E837" s="70"/>
      <c r="F837" s="70"/>
      <c r="G837" s="70"/>
      <c r="H837" s="70"/>
      <c r="I837" s="70"/>
      <c r="J837" s="70"/>
    </row>
    <row r="838" spans="1:10" ht="15" x14ac:dyDescent="0.2">
      <c r="A838" s="70"/>
      <c r="B838" s="70"/>
      <c r="C838" s="70"/>
      <c r="D838" s="70"/>
      <c r="E838" s="70"/>
      <c r="F838" s="70"/>
      <c r="G838" s="70"/>
      <c r="H838" s="70"/>
      <c r="I838" s="70"/>
      <c r="J838" s="70"/>
    </row>
    <row r="839" spans="1:10" ht="15" x14ac:dyDescent="0.2">
      <c r="A839" s="70"/>
      <c r="B839" s="70"/>
      <c r="C839" s="70"/>
      <c r="D839" s="70"/>
      <c r="E839" s="70"/>
      <c r="F839" s="70"/>
      <c r="G839" s="70"/>
      <c r="H839" s="70"/>
      <c r="I839" s="70"/>
      <c r="J839" s="70"/>
    </row>
    <row r="840" spans="1:10" ht="15" x14ac:dyDescent="0.2">
      <c r="A840" s="70"/>
      <c r="B840" s="70"/>
      <c r="C840" s="70"/>
      <c r="D840" s="70"/>
      <c r="E840" s="70"/>
      <c r="F840" s="70"/>
      <c r="G840" s="70"/>
      <c r="H840" s="70"/>
      <c r="I840" s="70"/>
      <c r="J840" s="70"/>
    </row>
    <row r="841" spans="1:10" ht="15" x14ac:dyDescent="0.2">
      <c r="A841" s="70"/>
      <c r="B841" s="70"/>
      <c r="C841" s="70"/>
      <c r="D841" s="70"/>
      <c r="E841" s="70"/>
      <c r="F841" s="70"/>
      <c r="G841" s="70"/>
      <c r="H841" s="70"/>
      <c r="I841" s="70"/>
      <c r="J841" s="70"/>
    </row>
    <row r="842" spans="1:10" ht="15" x14ac:dyDescent="0.2">
      <c r="A842" s="70"/>
      <c r="B842" s="70"/>
      <c r="C842" s="70"/>
      <c r="D842" s="70"/>
      <c r="E842" s="70"/>
      <c r="F842" s="70"/>
      <c r="G842" s="70"/>
      <c r="H842" s="70"/>
      <c r="I842" s="70"/>
      <c r="J842" s="70"/>
    </row>
    <row r="843" spans="1:10" ht="15" x14ac:dyDescent="0.2">
      <c r="A843" s="70"/>
      <c r="B843" s="70"/>
      <c r="C843" s="70"/>
      <c r="D843" s="70"/>
      <c r="E843" s="70"/>
      <c r="F843" s="70"/>
      <c r="G843" s="70"/>
      <c r="H843" s="70"/>
      <c r="I843" s="70"/>
      <c r="J843" s="70"/>
    </row>
    <row r="844" spans="1:10" ht="15" x14ac:dyDescent="0.2">
      <c r="A844" s="70"/>
      <c r="B844" s="70"/>
      <c r="C844" s="70"/>
      <c r="D844" s="70"/>
      <c r="E844" s="70"/>
      <c r="F844" s="70"/>
      <c r="G844" s="70"/>
      <c r="H844" s="70"/>
      <c r="I844" s="70"/>
      <c r="J844" s="70"/>
    </row>
    <row r="845" spans="1:10" ht="15" x14ac:dyDescent="0.2">
      <c r="A845" s="70"/>
      <c r="B845" s="70"/>
      <c r="C845" s="70"/>
      <c r="D845" s="70"/>
      <c r="E845" s="70"/>
      <c r="F845" s="70"/>
      <c r="G845" s="70"/>
      <c r="H845" s="70"/>
      <c r="I845" s="70"/>
      <c r="J845" s="70"/>
    </row>
    <row r="846" spans="1:10" ht="15" x14ac:dyDescent="0.2">
      <c r="A846" s="70"/>
      <c r="B846" s="70"/>
      <c r="C846" s="70"/>
      <c r="D846" s="70"/>
      <c r="E846" s="70"/>
      <c r="F846" s="70"/>
      <c r="G846" s="70"/>
      <c r="H846" s="70"/>
      <c r="I846" s="70"/>
      <c r="J846" s="70"/>
    </row>
    <row r="847" spans="1:10" ht="15" x14ac:dyDescent="0.2">
      <c r="A847" s="70"/>
      <c r="B847" s="70"/>
      <c r="C847" s="70"/>
      <c r="D847" s="70"/>
      <c r="E847" s="70"/>
      <c r="F847" s="70"/>
      <c r="G847" s="70"/>
      <c r="H847" s="70"/>
      <c r="I847" s="70"/>
      <c r="J847" s="70"/>
    </row>
    <row r="848" spans="1:10" ht="15" x14ac:dyDescent="0.2">
      <c r="A848" s="70"/>
      <c r="B848" s="70"/>
      <c r="C848" s="70"/>
      <c r="D848" s="70"/>
      <c r="E848" s="70"/>
      <c r="F848" s="70"/>
      <c r="G848" s="70"/>
      <c r="H848" s="70"/>
      <c r="I848" s="70"/>
      <c r="J848" s="70"/>
    </row>
    <row r="849" spans="1:10" ht="15" x14ac:dyDescent="0.2">
      <c r="A849" s="70"/>
      <c r="B849" s="70"/>
      <c r="C849" s="70"/>
      <c r="D849" s="70"/>
      <c r="E849" s="70"/>
      <c r="F849" s="70"/>
      <c r="G849" s="70"/>
      <c r="H849" s="70"/>
      <c r="I849" s="70"/>
      <c r="J849" s="70"/>
    </row>
    <row r="850" spans="1:10" ht="15" x14ac:dyDescent="0.2">
      <c r="A850" s="70"/>
      <c r="B850" s="70"/>
      <c r="C850" s="70"/>
      <c r="D850" s="70"/>
      <c r="E850" s="70"/>
      <c r="F850" s="70"/>
      <c r="G850" s="70"/>
      <c r="H850" s="70"/>
      <c r="I850" s="70"/>
      <c r="J850" s="70"/>
    </row>
    <row r="851" spans="1:10" ht="15" x14ac:dyDescent="0.2">
      <c r="A851" s="70"/>
      <c r="B851" s="70"/>
      <c r="C851" s="70"/>
      <c r="D851" s="70"/>
      <c r="E851" s="70"/>
      <c r="F851" s="70"/>
      <c r="G851" s="70"/>
      <c r="H851" s="70"/>
      <c r="I851" s="70"/>
      <c r="J851" s="70"/>
    </row>
    <row r="852" spans="1:10" ht="15" x14ac:dyDescent="0.2">
      <c r="A852" s="70"/>
      <c r="B852" s="70"/>
      <c r="C852" s="70"/>
      <c r="D852" s="70"/>
      <c r="E852" s="70"/>
      <c r="F852" s="70"/>
      <c r="G852" s="70"/>
      <c r="H852" s="70"/>
      <c r="I852" s="70"/>
      <c r="J852" s="70"/>
    </row>
    <row r="853" spans="1:10" ht="15" x14ac:dyDescent="0.2">
      <c r="A853" s="70"/>
      <c r="B853" s="70"/>
      <c r="C853" s="70"/>
      <c r="D853" s="70"/>
      <c r="E853" s="70"/>
      <c r="F853" s="70"/>
      <c r="G853" s="70"/>
      <c r="H853" s="70"/>
      <c r="I853" s="70"/>
      <c r="J853" s="70"/>
    </row>
    <row r="854" spans="1:10" ht="15" x14ac:dyDescent="0.2">
      <c r="A854" s="70"/>
      <c r="B854" s="70"/>
      <c r="C854" s="70"/>
      <c r="D854" s="70"/>
      <c r="E854" s="70"/>
      <c r="F854" s="70"/>
      <c r="G854" s="70"/>
      <c r="H854" s="70"/>
      <c r="I854" s="70"/>
      <c r="J854" s="70"/>
    </row>
    <row r="855" spans="1:10" ht="15" x14ac:dyDescent="0.2">
      <c r="A855" s="70"/>
      <c r="B855" s="70"/>
      <c r="C855" s="70"/>
      <c r="D855" s="70"/>
      <c r="E855" s="70"/>
      <c r="F855" s="70"/>
      <c r="G855" s="70"/>
      <c r="H855" s="70"/>
      <c r="I855" s="70"/>
      <c r="J855" s="70"/>
    </row>
    <row r="856" spans="1:10" ht="15" x14ac:dyDescent="0.2">
      <c r="A856" s="70"/>
      <c r="B856" s="70"/>
      <c r="C856" s="70"/>
      <c r="D856" s="70"/>
      <c r="E856" s="70"/>
      <c r="F856" s="70"/>
      <c r="G856" s="70"/>
      <c r="H856" s="70"/>
      <c r="I856" s="70"/>
      <c r="J856" s="70"/>
    </row>
    <row r="857" spans="1:10" ht="15" x14ac:dyDescent="0.2">
      <c r="A857" s="70"/>
      <c r="B857" s="70"/>
      <c r="C857" s="70"/>
      <c r="D857" s="70"/>
      <c r="E857" s="70"/>
      <c r="F857" s="70"/>
      <c r="G857" s="70"/>
      <c r="H857" s="70"/>
      <c r="I857" s="70"/>
      <c r="J857" s="70"/>
    </row>
    <row r="858" spans="1:10" ht="15" x14ac:dyDescent="0.2">
      <c r="A858" s="70"/>
      <c r="B858" s="70"/>
      <c r="C858" s="70"/>
      <c r="D858" s="70"/>
      <c r="E858" s="70"/>
      <c r="F858" s="70"/>
      <c r="G858" s="70"/>
      <c r="H858" s="70"/>
      <c r="I858" s="70"/>
      <c r="J858" s="70"/>
    </row>
    <row r="859" spans="1:10" ht="15" x14ac:dyDescent="0.2">
      <c r="A859" s="70"/>
      <c r="B859" s="70"/>
      <c r="C859" s="70"/>
      <c r="D859" s="70"/>
      <c r="E859" s="70"/>
      <c r="F859" s="70"/>
      <c r="G859" s="70"/>
      <c r="H859" s="70"/>
      <c r="I859" s="70"/>
      <c r="J859" s="70"/>
    </row>
    <row r="860" spans="1:10" ht="15" x14ac:dyDescent="0.2">
      <c r="A860" s="70"/>
      <c r="B860" s="70"/>
      <c r="C860" s="70"/>
      <c r="D860" s="70"/>
      <c r="E860" s="70"/>
      <c r="F860" s="70"/>
      <c r="G860" s="70"/>
      <c r="H860" s="70"/>
      <c r="I860" s="70"/>
      <c r="J860" s="70"/>
    </row>
    <row r="861" spans="1:10" ht="15" x14ac:dyDescent="0.2">
      <c r="A861" s="70"/>
      <c r="B861" s="70"/>
      <c r="C861" s="70"/>
      <c r="D861" s="70"/>
      <c r="E861" s="70"/>
      <c r="F861" s="70"/>
      <c r="G861" s="70"/>
      <c r="H861" s="70"/>
      <c r="I861" s="70"/>
      <c r="J861" s="70"/>
    </row>
    <row r="862" spans="1:10" ht="15" x14ac:dyDescent="0.2">
      <c r="A862" s="70"/>
      <c r="B862" s="70"/>
      <c r="C862" s="70"/>
      <c r="D862" s="70"/>
      <c r="E862" s="70"/>
      <c r="F862" s="70"/>
      <c r="G862" s="70"/>
      <c r="H862" s="70"/>
      <c r="I862" s="70"/>
      <c r="J862" s="70"/>
    </row>
    <row r="863" spans="1:10" ht="15" x14ac:dyDescent="0.2">
      <c r="A863" s="70"/>
      <c r="B863" s="70"/>
      <c r="C863" s="70"/>
      <c r="D863" s="70"/>
      <c r="E863" s="70"/>
      <c r="F863" s="70"/>
      <c r="G863" s="70"/>
      <c r="H863" s="70"/>
      <c r="I863" s="70"/>
      <c r="J863" s="70"/>
    </row>
    <row r="864" spans="1:10" ht="15" x14ac:dyDescent="0.2">
      <c r="A864" s="70"/>
      <c r="B864" s="70"/>
      <c r="C864" s="70"/>
      <c r="D864" s="70"/>
      <c r="E864" s="70"/>
      <c r="F864" s="70"/>
      <c r="G864" s="70"/>
      <c r="H864" s="70"/>
      <c r="I864" s="70"/>
      <c r="J864" s="70"/>
    </row>
    <row r="865" spans="1:10" ht="15" x14ac:dyDescent="0.2">
      <c r="A865" s="70"/>
      <c r="B865" s="70"/>
      <c r="C865" s="70"/>
      <c r="D865" s="70"/>
      <c r="E865" s="70"/>
      <c r="F865" s="70"/>
      <c r="G865" s="70"/>
      <c r="H865" s="70"/>
      <c r="I865" s="70"/>
      <c r="J865" s="70"/>
    </row>
    <row r="866" spans="1:10" ht="15" x14ac:dyDescent="0.2">
      <c r="A866" s="70"/>
      <c r="B866" s="70"/>
      <c r="C866" s="70"/>
      <c r="D866" s="70"/>
      <c r="E866" s="70"/>
      <c r="F866" s="70"/>
      <c r="G866" s="70"/>
      <c r="H866" s="70"/>
      <c r="I866" s="70"/>
      <c r="J866" s="70"/>
    </row>
    <row r="867" spans="1:10" ht="15" x14ac:dyDescent="0.2">
      <c r="A867" s="70"/>
      <c r="B867" s="70"/>
      <c r="C867" s="70"/>
      <c r="D867" s="70"/>
      <c r="E867" s="70"/>
      <c r="F867" s="70"/>
      <c r="G867" s="70"/>
      <c r="H867" s="70"/>
      <c r="I867" s="70"/>
      <c r="J867" s="70"/>
    </row>
    <row r="868" spans="1:10" ht="15" x14ac:dyDescent="0.2">
      <c r="A868" s="70"/>
      <c r="B868" s="70"/>
      <c r="C868" s="70"/>
      <c r="D868" s="70"/>
      <c r="E868" s="70"/>
      <c r="F868" s="70"/>
      <c r="G868" s="70"/>
      <c r="H868" s="70"/>
      <c r="I868" s="70"/>
      <c r="J868" s="70"/>
    </row>
    <row r="869" spans="1:10" ht="15" x14ac:dyDescent="0.2">
      <c r="A869" s="70"/>
      <c r="B869" s="70"/>
      <c r="C869" s="70"/>
      <c r="D869" s="70"/>
      <c r="E869" s="70"/>
      <c r="F869" s="70"/>
      <c r="G869" s="70"/>
      <c r="H869" s="70"/>
      <c r="I869" s="70"/>
      <c r="J869" s="70"/>
    </row>
    <row r="870" spans="1:10" ht="15" x14ac:dyDescent="0.2">
      <c r="A870" s="70"/>
      <c r="B870" s="70"/>
      <c r="C870" s="70"/>
      <c r="D870" s="70"/>
      <c r="E870" s="70"/>
      <c r="F870" s="70"/>
      <c r="G870" s="70"/>
      <c r="H870" s="70"/>
      <c r="I870" s="70"/>
      <c r="J870" s="70"/>
    </row>
    <row r="871" spans="1:10" ht="15" x14ac:dyDescent="0.2">
      <c r="A871" s="70"/>
      <c r="B871" s="70"/>
      <c r="C871" s="70"/>
      <c r="D871" s="70"/>
      <c r="E871" s="70"/>
      <c r="F871" s="70"/>
      <c r="G871" s="70"/>
      <c r="H871" s="70"/>
      <c r="I871" s="70"/>
      <c r="J871" s="70"/>
    </row>
    <row r="872" spans="1:10" ht="15" x14ac:dyDescent="0.2">
      <c r="A872" s="70"/>
      <c r="B872" s="70"/>
      <c r="C872" s="70"/>
      <c r="D872" s="70"/>
      <c r="E872" s="70"/>
      <c r="F872" s="70"/>
      <c r="G872" s="70"/>
      <c r="H872" s="70"/>
      <c r="I872" s="70"/>
      <c r="J872" s="70"/>
    </row>
    <row r="873" spans="1:10" ht="15" x14ac:dyDescent="0.2">
      <c r="A873" s="70"/>
      <c r="B873" s="70"/>
      <c r="C873" s="70"/>
      <c r="D873" s="70"/>
      <c r="E873" s="70"/>
      <c r="F873" s="70"/>
      <c r="G873" s="70"/>
      <c r="H873" s="70"/>
      <c r="I873" s="70"/>
      <c r="J873" s="70"/>
    </row>
    <row r="874" spans="1:10" ht="15" x14ac:dyDescent="0.2">
      <c r="A874" s="70"/>
      <c r="B874" s="70"/>
      <c r="C874" s="70"/>
      <c r="D874" s="70"/>
      <c r="E874" s="70"/>
      <c r="F874" s="70"/>
      <c r="G874" s="70"/>
      <c r="H874" s="70"/>
      <c r="I874" s="70"/>
      <c r="J874" s="70"/>
    </row>
    <row r="875" spans="1:10" ht="15" x14ac:dyDescent="0.2">
      <c r="A875" s="70"/>
      <c r="B875" s="70"/>
      <c r="C875" s="70"/>
      <c r="D875" s="70"/>
      <c r="E875" s="70"/>
      <c r="F875" s="70"/>
      <c r="G875" s="70"/>
      <c r="H875" s="70"/>
      <c r="I875" s="70"/>
      <c r="J875" s="70"/>
    </row>
    <row r="876" spans="1:10" ht="15" x14ac:dyDescent="0.2">
      <c r="A876" s="70"/>
      <c r="B876" s="70"/>
      <c r="C876" s="70"/>
      <c r="D876" s="70"/>
      <c r="E876" s="70"/>
      <c r="F876" s="70"/>
      <c r="G876" s="70"/>
      <c r="H876" s="70"/>
      <c r="I876" s="70"/>
      <c r="J876" s="70"/>
    </row>
    <row r="877" spans="1:10" ht="15" x14ac:dyDescent="0.2">
      <c r="A877" s="70"/>
      <c r="B877" s="70"/>
      <c r="C877" s="70"/>
      <c r="D877" s="70"/>
      <c r="E877" s="70"/>
      <c r="F877" s="70"/>
      <c r="G877" s="70"/>
      <c r="H877" s="70"/>
      <c r="I877" s="70"/>
      <c r="J877" s="70"/>
    </row>
    <row r="878" spans="1:10" ht="15" x14ac:dyDescent="0.2">
      <c r="A878" s="70"/>
      <c r="B878" s="70"/>
      <c r="C878" s="70"/>
      <c r="D878" s="70"/>
      <c r="E878" s="70"/>
      <c r="F878" s="70"/>
      <c r="G878" s="70"/>
      <c r="H878" s="70"/>
      <c r="I878" s="70"/>
      <c r="J878" s="70"/>
    </row>
    <row r="879" spans="1:10" ht="15" x14ac:dyDescent="0.2">
      <c r="A879" s="70"/>
      <c r="B879" s="70"/>
      <c r="C879" s="70"/>
      <c r="D879" s="70"/>
      <c r="E879" s="70"/>
      <c r="F879" s="70"/>
      <c r="G879" s="70"/>
      <c r="H879" s="70"/>
      <c r="I879" s="70"/>
      <c r="J879" s="70"/>
    </row>
    <row r="880" spans="1:10" ht="15" x14ac:dyDescent="0.2">
      <c r="A880" s="70"/>
      <c r="B880" s="70"/>
      <c r="C880" s="70"/>
      <c r="D880" s="70"/>
      <c r="E880" s="70"/>
      <c r="F880" s="70"/>
      <c r="G880" s="70"/>
      <c r="H880" s="70"/>
      <c r="I880" s="70"/>
      <c r="J880" s="70"/>
    </row>
    <row r="881" spans="1:10" ht="15" x14ac:dyDescent="0.2">
      <c r="A881" s="70"/>
      <c r="B881" s="70"/>
      <c r="C881" s="70"/>
      <c r="D881" s="70"/>
      <c r="E881" s="70"/>
      <c r="F881" s="70"/>
      <c r="G881" s="70"/>
      <c r="H881" s="70"/>
      <c r="I881" s="70"/>
      <c r="J881" s="70"/>
    </row>
    <row r="882" spans="1:10" ht="15" x14ac:dyDescent="0.2">
      <c r="A882" s="70"/>
      <c r="B882" s="70"/>
      <c r="C882" s="70"/>
      <c r="D882" s="70"/>
      <c r="E882" s="70"/>
      <c r="F882" s="70"/>
      <c r="G882" s="70"/>
      <c r="H882" s="70"/>
      <c r="I882" s="70"/>
      <c r="J882" s="70"/>
    </row>
    <row r="883" spans="1:10" ht="15" x14ac:dyDescent="0.2">
      <c r="A883" s="70"/>
      <c r="B883" s="70"/>
      <c r="C883" s="70"/>
      <c r="D883" s="70"/>
      <c r="E883" s="70"/>
      <c r="F883" s="70"/>
      <c r="G883" s="70"/>
      <c r="H883" s="70"/>
      <c r="I883" s="70"/>
      <c r="J883" s="70"/>
    </row>
    <row r="884" spans="1:10" ht="15" x14ac:dyDescent="0.2">
      <c r="A884" s="70"/>
      <c r="B884" s="70"/>
      <c r="C884" s="70"/>
      <c r="D884" s="70"/>
      <c r="E884" s="70"/>
      <c r="F884" s="70"/>
      <c r="G884" s="70"/>
      <c r="H884" s="70"/>
      <c r="I884" s="70"/>
      <c r="J884" s="70"/>
    </row>
    <row r="885" spans="1:10" ht="15" x14ac:dyDescent="0.2">
      <c r="A885" s="70"/>
      <c r="B885" s="70"/>
      <c r="C885" s="70"/>
      <c r="D885" s="70"/>
      <c r="E885" s="70"/>
      <c r="F885" s="70"/>
      <c r="G885" s="70"/>
      <c r="H885" s="70"/>
      <c r="I885" s="70"/>
      <c r="J885" s="70"/>
    </row>
    <row r="886" spans="1:10" ht="15" x14ac:dyDescent="0.2">
      <c r="A886" s="70"/>
      <c r="B886" s="70"/>
      <c r="C886" s="70"/>
      <c r="D886" s="70"/>
      <c r="E886" s="70"/>
      <c r="F886" s="70"/>
      <c r="G886" s="70"/>
      <c r="H886" s="70"/>
      <c r="I886" s="70"/>
      <c r="J886" s="70"/>
    </row>
    <row r="887" spans="1:10" ht="15" x14ac:dyDescent="0.2">
      <c r="A887" s="70"/>
      <c r="B887" s="70"/>
      <c r="C887" s="70"/>
      <c r="D887" s="70"/>
      <c r="E887" s="70"/>
      <c r="F887" s="70"/>
      <c r="G887" s="70"/>
      <c r="H887" s="70"/>
      <c r="I887" s="70"/>
      <c r="J887" s="70"/>
    </row>
    <row r="888" spans="1:10" ht="15" x14ac:dyDescent="0.2">
      <c r="A888" s="70"/>
      <c r="B888" s="70"/>
      <c r="C888" s="70"/>
      <c r="D888" s="70"/>
      <c r="E888" s="70"/>
      <c r="F888" s="70"/>
      <c r="G888" s="70"/>
      <c r="H888" s="70"/>
      <c r="I888" s="70"/>
      <c r="J888" s="70"/>
    </row>
    <row r="889" spans="1:10" ht="15" x14ac:dyDescent="0.2">
      <c r="A889" s="70"/>
      <c r="B889" s="70"/>
      <c r="C889" s="70"/>
      <c r="D889" s="70"/>
      <c r="E889" s="70"/>
      <c r="F889" s="70"/>
      <c r="G889" s="70"/>
      <c r="H889" s="70"/>
      <c r="I889" s="70"/>
      <c r="J889" s="70"/>
    </row>
    <row r="890" spans="1:10" ht="15" x14ac:dyDescent="0.2">
      <c r="A890" s="70"/>
      <c r="B890" s="70"/>
      <c r="C890" s="70"/>
      <c r="D890" s="70"/>
      <c r="E890" s="70"/>
      <c r="F890" s="70"/>
      <c r="G890" s="70"/>
      <c r="H890" s="70"/>
      <c r="I890" s="70"/>
      <c r="J890" s="70"/>
    </row>
    <row r="891" spans="1:10" ht="15" x14ac:dyDescent="0.2">
      <c r="A891" s="70"/>
      <c r="B891" s="70"/>
      <c r="C891" s="70"/>
      <c r="D891" s="70"/>
      <c r="E891" s="70"/>
      <c r="F891" s="70"/>
      <c r="G891" s="70"/>
      <c r="H891" s="70"/>
      <c r="I891" s="70"/>
      <c r="J891" s="70"/>
    </row>
    <row r="892" spans="1:10" ht="15" x14ac:dyDescent="0.2">
      <c r="A892" s="70"/>
      <c r="B892" s="70"/>
      <c r="C892" s="70"/>
      <c r="D892" s="70"/>
      <c r="E892" s="70"/>
      <c r="F892" s="70"/>
      <c r="G892" s="70"/>
      <c r="H892" s="70"/>
      <c r="I892" s="70"/>
      <c r="J892" s="70"/>
    </row>
    <row r="893" spans="1:10" ht="15" x14ac:dyDescent="0.2">
      <c r="A893" s="70"/>
      <c r="B893" s="70"/>
      <c r="C893" s="70"/>
      <c r="D893" s="70"/>
      <c r="E893" s="70"/>
      <c r="F893" s="70"/>
      <c r="G893" s="70"/>
      <c r="H893" s="70"/>
      <c r="I893" s="70"/>
      <c r="J893" s="70"/>
    </row>
    <row r="894" spans="1:10" ht="15" x14ac:dyDescent="0.2">
      <c r="A894" s="70"/>
      <c r="B894" s="70"/>
      <c r="C894" s="70"/>
      <c r="D894" s="70"/>
      <c r="E894" s="70"/>
      <c r="F894" s="70"/>
      <c r="G894" s="70"/>
      <c r="H894" s="70"/>
      <c r="I894" s="70"/>
      <c r="J894" s="70"/>
    </row>
    <row r="895" spans="1:10" ht="15" x14ac:dyDescent="0.2">
      <c r="A895" s="70"/>
      <c r="B895" s="70"/>
      <c r="C895" s="70"/>
      <c r="D895" s="70"/>
      <c r="E895" s="70"/>
      <c r="F895" s="70"/>
      <c r="G895" s="70"/>
      <c r="H895" s="70"/>
      <c r="I895" s="70"/>
      <c r="J895" s="70"/>
    </row>
    <row r="896" spans="1:10" ht="15" x14ac:dyDescent="0.2">
      <c r="A896" s="70"/>
      <c r="B896" s="70"/>
      <c r="C896" s="70"/>
      <c r="D896" s="70"/>
      <c r="E896" s="70"/>
      <c r="F896" s="70"/>
      <c r="G896" s="70"/>
      <c r="H896" s="70"/>
      <c r="I896" s="70"/>
      <c r="J896" s="70"/>
    </row>
    <row r="897" spans="1:10" ht="15" x14ac:dyDescent="0.2">
      <c r="A897" s="70"/>
      <c r="B897" s="70"/>
      <c r="C897" s="70"/>
      <c r="D897" s="70"/>
      <c r="E897" s="70"/>
      <c r="F897" s="70"/>
      <c r="G897" s="70"/>
      <c r="H897" s="70"/>
      <c r="I897" s="70"/>
      <c r="J897" s="70"/>
    </row>
    <row r="898" spans="1:10" ht="15" x14ac:dyDescent="0.2">
      <c r="A898" s="70"/>
      <c r="B898" s="70"/>
      <c r="C898" s="70"/>
      <c r="D898" s="70"/>
      <c r="E898" s="70"/>
      <c r="F898" s="70"/>
      <c r="G898" s="70"/>
      <c r="H898" s="70"/>
      <c r="I898" s="70"/>
      <c r="J898" s="70"/>
    </row>
    <row r="899" spans="1:10" ht="15" x14ac:dyDescent="0.2">
      <c r="A899" s="70"/>
      <c r="B899" s="70"/>
      <c r="C899" s="70"/>
      <c r="D899" s="70"/>
      <c r="E899" s="70"/>
      <c r="F899" s="70"/>
      <c r="G899" s="70"/>
      <c r="H899" s="70"/>
      <c r="I899" s="70"/>
      <c r="J899" s="70"/>
    </row>
    <row r="900" spans="1:10" ht="15" x14ac:dyDescent="0.2">
      <c r="A900" s="70"/>
      <c r="B900" s="70"/>
      <c r="C900" s="70"/>
      <c r="D900" s="70"/>
      <c r="E900" s="70"/>
      <c r="F900" s="70"/>
      <c r="G900" s="70"/>
      <c r="H900" s="70"/>
      <c r="I900" s="70"/>
      <c r="J900" s="70"/>
    </row>
    <row r="901" spans="1:10" ht="15" x14ac:dyDescent="0.2">
      <c r="A901" s="70"/>
      <c r="B901" s="70"/>
      <c r="C901" s="70"/>
      <c r="D901" s="70"/>
      <c r="E901" s="70"/>
      <c r="F901" s="70"/>
      <c r="G901" s="70"/>
      <c r="H901" s="70"/>
      <c r="I901" s="70"/>
      <c r="J901" s="70"/>
    </row>
    <row r="902" spans="1:10" ht="15" x14ac:dyDescent="0.2">
      <c r="A902" s="70"/>
      <c r="B902" s="70"/>
      <c r="C902" s="70"/>
      <c r="D902" s="70"/>
      <c r="E902" s="70"/>
      <c r="F902" s="70"/>
      <c r="G902" s="70"/>
      <c r="H902" s="70"/>
      <c r="I902" s="70"/>
      <c r="J902" s="70"/>
    </row>
    <row r="903" spans="1:10" ht="15" x14ac:dyDescent="0.2">
      <c r="A903" s="70"/>
      <c r="B903" s="70"/>
      <c r="C903" s="70"/>
      <c r="D903" s="70"/>
      <c r="E903" s="70"/>
      <c r="F903" s="70"/>
      <c r="G903" s="70"/>
      <c r="H903" s="70"/>
      <c r="I903" s="70"/>
      <c r="J903" s="70"/>
    </row>
    <row r="904" spans="1:10" ht="15" x14ac:dyDescent="0.2">
      <c r="A904" s="70"/>
      <c r="B904" s="70"/>
      <c r="C904" s="70"/>
      <c r="D904" s="70"/>
      <c r="E904" s="70"/>
      <c r="F904" s="70"/>
      <c r="G904" s="70"/>
      <c r="H904" s="70"/>
      <c r="I904" s="70"/>
      <c r="J904" s="70"/>
    </row>
    <row r="905" spans="1:10" ht="15" x14ac:dyDescent="0.2">
      <c r="A905" s="70"/>
      <c r="B905" s="70"/>
      <c r="C905" s="70"/>
      <c r="D905" s="70"/>
      <c r="E905" s="70"/>
      <c r="F905" s="70"/>
      <c r="G905" s="70"/>
      <c r="H905" s="70"/>
      <c r="I905" s="70"/>
      <c r="J905" s="70"/>
    </row>
    <row r="906" spans="1:10" ht="15" x14ac:dyDescent="0.2">
      <c r="A906" s="70"/>
      <c r="B906" s="70"/>
      <c r="C906" s="70"/>
      <c r="D906" s="70"/>
      <c r="E906" s="70"/>
      <c r="F906" s="70"/>
      <c r="G906" s="70"/>
      <c r="H906" s="70"/>
      <c r="I906" s="70"/>
      <c r="J906" s="70"/>
    </row>
    <row r="907" spans="1:10" ht="15" x14ac:dyDescent="0.2">
      <c r="A907" s="70"/>
      <c r="B907" s="70"/>
      <c r="C907" s="70"/>
      <c r="D907" s="70"/>
      <c r="E907" s="70"/>
      <c r="F907" s="70"/>
      <c r="G907" s="70"/>
      <c r="H907" s="70"/>
      <c r="I907" s="70"/>
      <c r="J907" s="70"/>
    </row>
    <row r="908" spans="1:10" ht="15" x14ac:dyDescent="0.2">
      <c r="A908" s="70"/>
      <c r="B908" s="70"/>
      <c r="C908" s="70"/>
      <c r="D908" s="70"/>
      <c r="E908" s="70"/>
      <c r="F908" s="70"/>
      <c r="G908" s="70"/>
      <c r="H908" s="70"/>
      <c r="I908" s="70"/>
      <c r="J908" s="70"/>
    </row>
    <row r="909" spans="1:10" ht="15" x14ac:dyDescent="0.2">
      <c r="A909" s="70"/>
      <c r="B909" s="70"/>
      <c r="C909" s="70"/>
      <c r="D909" s="70"/>
      <c r="E909" s="70"/>
      <c r="F909" s="70"/>
      <c r="G909" s="70"/>
      <c r="H909" s="70"/>
      <c r="I909" s="70"/>
      <c r="J909" s="70"/>
    </row>
    <row r="910" spans="1:10" ht="15" x14ac:dyDescent="0.2">
      <c r="A910" s="70"/>
      <c r="B910" s="70"/>
      <c r="C910" s="70"/>
      <c r="D910" s="70"/>
      <c r="E910" s="70"/>
      <c r="F910" s="70"/>
      <c r="G910" s="70"/>
      <c r="H910" s="70"/>
      <c r="I910" s="70"/>
      <c r="J910" s="70"/>
    </row>
    <row r="911" spans="1:10" ht="15" x14ac:dyDescent="0.2">
      <c r="A911" s="70"/>
      <c r="B911" s="70"/>
      <c r="C911" s="70"/>
      <c r="D911" s="70"/>
      <c r="E911" s="70"/>
      <c r="F911" s="70"/>
      <c r="G911" s="70"/>
      <c r="H911" s="70"/>
      <c r="I911" s="70"/>
      <c r="J911" s="70"/>
    </row>
    <row r="912" spans="1:10" ht="15" x14ac:dyDescent="0.2">
      <c r="A912" s="70"/>
      <c r="B912" s="70"/>
      <c r="C912" s="70"/>
      <c r="D912" s="70"/>
      <c r="E912" s="70"/>
      <c r="F912" s="70"/>
      <c r="G912" s="70"/>
      <c r="H912" s="70"/>
      <c r="I912" s="70"/>
      <c r="J912" s="70"/>
    </row>
    <row r="913" spans="1:10" ht="15" x14ac:dyDescent="0.2">
      <c r="A913" s="70"/>
      <c r="B913" s="70"/>
      <c r="C913" s="70"/>
      <c r="D913" s="70"/>
      <c r="E913" s="70"/>
      <c r="F913" s="70"/>
      <c r="G913" s="70"/>
      <c r="H913" s="70"/>
      <c r="I913" s="70"/>
      <c r="J913" s="70"/>
    </row>
    <row r="914" spans="1:10" ht="15" x14ac:dyDescent="0.2">
      <c r="A914" s="70"/>
      <c r="B914" s="70"/>
      <c r="C914" s="70"/>
      <c r="D914" s="70"/>
      <c r="E914" s="70"/>
      <c r="F914" s="70"/>
      <c r="G914" s="70"/>
      <c r="H914" s="70"/>
      <c r="I914" s="70"/>
      <c r="J914" s="70"/>
    </row>
    <row r="915" spans="1:10" ht="15" x14ac:dyDescent="0.2">
      <c r="A915" s="70"/>
      <c r="B915" s="70"/>
      <c r="C915" s="70"/>
      <c r="D915" s="70"/>
      <c r="E915" s="70"/>
      <c r="F915" s="70"/>
      <c r="G915" s="70"/>
      <c r="H915" s="70"/>
      <c r="I915" s="70"/>
      <c r="J915" s="70"/>
    </row>
    <row r="916" spans="1:10" ht="15" x14ac:dyDescent="0.2">
      <c r="A916" s="70"/>
      <c r="B916" s="70"/>
      <c r="C916" s="70"/>
      <c r="D916" s="70"/>
      <c r="E916" s="70"/>
      <c r="F916" s="70"/>
      <c r="G916" s="70"/>
      <c r="H916" s="70"/>
      <c r="I916" s="70"/>
      <c r="J916" s="70"/>
    </row>
    <row r="917" spans="1:10" ht="15" x14ac:dyDescent="0.2">
      <c r="A917" s="70"/>
      <c r="B917" s="70"/>
      <c r="C917" s="70"/>
      <c r="D917" s="70"/>
      <c r="E917" s="70"/>
      <c r="F917" s="70"/>
      <c r="G917" s="70"/>
      <c r="H917" s="70"/>
      <c r="I917" s="70"/>
      <c r="J917" s="70"/>
    </row>
    <row r="918" spans="1:10" ht="15" x14ac:dyDescent="0.2">
      <c r="A918" s="70"/>
      <c r="B918" s="70"/>
      <c r="C918" s="70"/>
      <c r="D918" s="70"/>
      <c r="E918" s="70"/>
      <c r="F918" s="70"/>
      <c r="G918" s="70"/>
      <c r="H918" s="70"/>
      <c r="I918" s="70"/>
      <c r="J918" s="70"/>
    </row>
    <row r="919" spans="1:10" ht="15" x14ac:dyDescent="0.2">
      <c r="A919" s="70"/>
      <c r="B919" s="70"/>
      <c r="C919" s="70"/>
      <c r="D919" s="70"/>
      <c r="E919" s="70"/>
      <c r="F919" s="70"/>
      <c r="G919" s="70"/>
      <c r="H919" s="70"/>
      <c r="I919" s="70"/>
      <c r="J919" s="70"/>
    </row>
    <row r="920" spans="1:10" ht="15" x14ac:dyDescent="0.2">
      <c r="A920" s="70"/>
      <c r="B920" s="70"/>
      <c r="C920" s="70"/>
      <c r="D920" s="70"/>
      <c r="E920" s="70"/>
      <c r="F920" s="70"/>
      <c r="G920" s="70"/>
      <c r="H920" s="70"/>
      <c r="I920" s="70"/>
      <c r="J920" s="70"/>
    </row>
    <row r="921" spans="1:10" ht="15" x14ac:dyDescent="0.2">
      <c r="A921" s="70"/>
      <c r="B921" s="70"/>
      <c r="C921" s="70"/>
      <c r="D921" s="70"/>
      <c r="E921" s="70"/>
      <c r="F921" s="70"/>
      <c r="G921" s="70"/>
      <c r="H921" s="70"/>
      <c r="I921" s="70"/>
      <c r="J921" s="70"/>
    </row>
    <row r="922" spans="1:10" ht="15" x14ac:dyDescent="0.2">
      <c r="A922" s="70"/>
      <c r="B922" s="70"/>
      <c r="C922" s="70"/>
      <c r="D922" s="70"/>
      <c r="E922" s="70"/>
      <c r="F922" s="70"/>
      <c r="G922" s="70"/>
      <c r="H922" s="70"/>
      <c r="I922" s="70"/>
      <c r="J922" s="70"/>
    </row>
    <row r="923" spans="1:10" ht="15" x14ac:dyDescent="0.2">
      <c r="A923" s="70"/>
      <c r="B923" s="70"/>
      <c r="C923" s="70"/>
      <c r="D923" s="70"/>
      <c r="E923" s="70"/>
      <c r="F923" s="70"/>
      <c r="G923" s="70"/>
      <c r="H923" s="70"/>
      <c r="I923" s="70"/>
      <c r="J923" s="70"/>
    </row>
    <row r="924" spans="1:10" ht="15" x14ac:dyDescent="0.2">
      <c r="A924" s="70"/>
      <c r="B924" s="70"/>
      <c r="C924" s="70"/>
      <c r="D924" s="70"/>
      <c r="E924" s="70"/>
      <c r="F924" s="70"/>
      <c r="G924" s="70"/>
      <c r="H924" s="70"/>
      <c r="I924" s="70"/>
      <c r="J924" s="70"/>
    </row>
    <row r="925" spans="1:10" ht="15" x14ac:dyDescent="0.2">
      <c r="A925" s="70"/>
      <c r="B925" s="70"/>
      <c r="C925" s="70"/>
      <c r="D925" s="70"/>
      <c r="E925" s="70"/>
      <c r="F925" s="70"/>
      <c r="G925" s="70"/>
      <c r="H925" s="70"/>
      <c r="I925" s="70"/>
      <c r="J925" s="70"/>
    </row>
    <row r="926" spans="1:10" ht="15" x14ac:dyDescent="0.2">
      <c r="A926" s="70"/>
      <c r="B926" s="70"/>
      <c r="C926" s="70"/>
      <c r="D926" s="70"/>
      <c r="E926" s="70"/>
      <c r="F926" s="70"/>
      <c r="G926" s="70"/>
      <c r="H926" s="70"/>
      <c r="I926" s="70"/>
      <c r="J926" s="70"/>
    </row>
    <row r="927" spans="1:10" ht="15" x14ac:dyDescent="0.2">
      <c r="A927" s="70"/>
      <c r="B927" s="70"/>
      <c r="C927" s="70"/>
      <c r="D927" s="70"/>
      <c r="E927" s="70"/>
      <c r="F927" s="70"/>
      <c r="G927" s="70"/>
      <c r="H927" s="70"/>
      <c r="I927" s="70"/>
      <c r="J927" s="70"/>
    </row>
    <row r="928" spans="1:10" ht="15" x14ac:dyDescent="0.2">
      <c r="A928" s="70"/>
      <c r="B928" s="70"/>
      <c r="C928" s="70"/>
      <c r="D928" s="70"/>
      <c r="E928" s="70"/>
      <c r="F928" s="70"/>
      <c r="G928" s="70"/>
      <c r="H928" s="70"/>
      <c r="I928" s="70"/>
      <c r="J928" s="70"/>
    </row>
    <row r="929" spans="1:10" ht="15" x14ac:dyDescent="0.2">
      <c r="A929" s="70"/>
      <c r="B929" s="70"/>
      <c r="C929" s="70"/>
      <c r="D929" s="70"/>
      <c r="E929" s="70"/>
      <c r="F929" s="70"/>
      <c r="G929" s="70"/>
      <c r="H929" s="70"/>
      <c r="I929" s="70"/>
      <c r="J929" s="70"/>
    </row>
    <row r="930" spans="1:10" ht="15" x14ac:dyDescent="0.2">
      <c r="A930" s="70"/>
      <c r="B930" s="70"/>
      <c r="C930" s="70"/>
      <c r="D930" s="70"/>
      <c r="E930" s="70"/>
      <c r="F930" s="70"/>
      <c r="G930" s="70"/>
      <c r="H930" s="70"/>
      <c r="I930" s="70"/>
      <c r="J930" s="70"/>
    </row>
    <row r="931" spans="1:10" ht="15" x14ac:dyDescent="0.2">
      <c r="A931" s="70"/>
      <c r="B931" s="70"/>
      <c r="C931" s="70"/>
      <c r="D931" s="70"/>
      <c r="E931" s="70"/>
      <c r="F931" s="70"/>
      <c r="G931" s="70"/>
      <c r="H931" s="70"/>
      <c r="I931" s="70"/>
      <c r="J931" s="70"/>
    </row>
    <row r="932" spans="1:10" ht="15" x14ac:dyDescent="0.2">
      <c r="A932" s="70"/>
      <c r="B932" s="70"/>
      <c r="C932" s="70"/>
      <c r="D932" s="70"/>
      <c r="E932" s="70"/>
      <c r="F932" s="70"/>
      <c r="G932" s="70"/>
      <c r="H932" s="70"/>
      <c r="I932" s="70"/>
      <c r="J932" s="70"/>
    </row>
    <row r="933" spans="1:10" ht="15" x14ac:dyDescent="0.2">
      <c r="A933" s="70"/>
      <c r="B933" s="70"/>
      <c r="C933" s="70"/>
      <c r="D933" s="70"/>
      <c r="E933" s="70"/>
      <c r="F933" s="70"/>
      <c r="G933" s="70"/>
      <c r="H933" s="70"/>
      <c r="I933" s="70"/>
      <c r="J933" s="70"/>
    </row>
    <row r="934" spans="1:10" ht="15" x14ac:dyDescent="0.2">
      <c r="A934" s="70"/>
      <c r="B934" s="70"/>
      <c r="C934" s="70"/>
      <c r="D934" s="70"/>
      <c r="E934" s="70"/>
      <c r="F934" s="70"/>
      <c r="G934" s="70"/>
      <c r="H934" s="70"/>
      <c r="I934" s="70"/>
      <c r="J934" s="70"/>
    </row>
    <row r="935" spans="1:10" ht="15" x14ac:dyDescent="0.2">
      <c r="A935" s="70"/>
      <c r="B935" s="70"/>
      <c r="C935" s="70"/>
      <c r="D935" s="70"/>
      <c r="E935" s="70"/>
      <c r="F935" s="70"/>
      <c r="G935" s="70"/>
      <c r="H935" s="70"/>
      <c r="I935" s="70"/>
      <c r="J935" s="70"/>
    </row>
    <row r="936" spans="1:10" ht="15" x14ac:dyDescent="0.2">
      <c r="A936" s="70"/>
      <c r="B936" s="70"/>
      <c r="C936" s="70"/>
      <c r="D936" s="70"/>
      <c r="E936" s="70"/>
      <c r="F936" s="70"/>
      <c r="G936" s="70"/>
      <c r="H936" s="70"/>
      <c r="I936" s="70"/>
      <c r="J936" s="70"/>
    </row>
    <row r="937" spans="1:10" ht="15" x14ac:dyDescent="0.2">
      <c r="A937" s="70"/>
      <c r="B937" s="70"/>
      <c r="C937" s="70"/>
      <c r="D937" s="70"/>
      <c r="E937" s="70"/>
      <c r="F937" s="70"/>
      <c r="G937" s="70"/>
      <c r="H937" s="70"/>
      <c r="I937" s="70"/>
      <c r="J937" s="70"/>
    </row>
    <row r="938" spans="1:10" ht="15" x14ac:dyDescent="0.2">
      <c r="A938" s="70"/>
      <c r="B938" s="70"/>
      <c r="C938" s="70"/>
      <c r="D938" s="70"/>
      <c r="E938" s="70"/>
      <c r="F938" s="70"/>
      <c r="G938" s="70"/>
      <c r="H938" s="70"/>
      <c r="I938" s="70"/>
      <c r="J938" s="70"/>
    </row>
    <row r="939" spans="1:10" ht="15" x14ac:dyDescent="0.2">
      <c r="A939" s="70"/>
      <c r="B939" s="70"/>
      <c r="C939" s="70"/>
      <c r="D939" s="70"/>
      <c r="E939" s="70"/>
      <c r="F939" s="70"/>
      <c r="G939" s="70"/>
      <c r="H939" s="70"/>
      <c r="I939" s="70"/>
      <c r="J939" s="70"/>
    </row>
    <row r="940" spans="1:10" ht="15" x14ac:dyDescent="0.2">
      <c r="A940" s="70"/>
      <c r="B940" s="70"/>
      <c r="C940" s="70"/>
      <c r="D940" s="70"/>
      <c r="E940" s="70"/>
      <c r="F940" s="70"/>
      <c r="G940" s="70"/>
      <c r="H940" s="70"/>
      <c r="I940" s="70"/>
      <c r="J940" s="70"/>
    </row>
    <row r="941" spans="1:10" ht="15" x14ac:dyDescent="0.2">
      <c r="A941" s="70"/>
      <c r="B941" s="70"/>
      <c r="C941" s="70"/>
      <c r="D941" s="70"/>
      <c r="E941" s="70"/>
      <c r="F941" s="70"/>
      <c r="G941" s="70"/>
      <c r="H941" s="70"/>
      <c r="I941" s="70"/>
      <c r="J941" s="70"/>
    </row>
    <row r="942" spans="1:10" ht="15" x14ac:dyDescent="0.2">
      <c r="A942" s="70"/>
      <c r="B942" s="70"/>
      <c r="C942" s="70"/>
      <c r="D942" s="70"/>
      <c r="E942" s="70"/>
      <c r="F942" s="70"/>
      <c r="G942" s="70"/>
      <c r="H942" s="70"/>
      <c r="I942" s="70"/>
      <c r="J942" s="70"/>
    </row>
    <row r="943" spans="1:10" ht="15" x14ac:dyDescent="0.2">
      <c r="A943" s="70"/>
      <c r="B943" s="70"/>
      <c r="C943" s="70"/>
      <c r="D943" s="70"/>
      <c r="E943" s="70"/>
      <c r="F943" s="70"/>
      <c r="G943" s="70"/>
      <c r="H943" s="70"/>
      <c r="I943" s="70"/>
      <c r="J943" s="70"/>
    </row>
    <row r="944" spans="1:10" ht="15" x14ac:dyDescent="0.2">
      <c r="A944" s="70"/>
      <c r="B944" s="70"/>
      <c r="C944" s="70"/>
      <c r="D944" s="70"/>
      <c r="E944" s="70"/>
      <c r="F944" s="70"/>
      <c r="G944" s="70"/>
      <c r="H944" s="70"/>
      <c r="I944" s="70"/>
      <c r="J944" s="70"/>
    </row>
    <row r="945" spans="1:10" ht="15" x14ac:dyDescent="0.2">
      <c r="A945" s="70"/>
      <c r="B945" s="70"/>
      <c r="C945" s="70"/>
      <c r="D945" s="70"/>
      <c r="E945" s="70"/>
      <c r="F945" s="70"/>
      <c r="G945" s="70"/>
      <c r="H945" s="70"/>
      <c r="I945" s="70"/>
      <c r="J945" s="70"/>
    </row>
    <row r="946" spans="1:10" ht="15" x14ac:dyDescent="0.2">
      <c r="A946" s="70"/>
      <c r="B946" s="70"/>
      <c r="C946" s="70"/>
      <c r="D946" s="70"/>
      <c r="E946" s="70"/>
      <c r="F946" s="70"/>
      <c r="G946" s="70"/>
      <c r="H946" s="70"/>
      <c r="I946" s="70"/>
      <c r="J946" s="70"/>
    </row>
    <row r="947" spans="1:10" ht="15" x14ac:dyDescent="0.2">
      <c r="A947" s="70"/>
      <c r="B947" s="70"/>
      <c r="C947" s="70"/>
      <c r="D947" s="70"/>
      <c r="E947" s="70"/>
      <c r="F947" s="70"/>
      <c r="G947" s="70"/>
      <c r="H947" s="70"/>
      <c r="I947" s="70"/>
      <c r="J947" s="70"/>
    </row>
    <row r="948" spans="1:10" ht="15" x14ac:dyDescent="0.2">
      <c r="A948" s="70"/>
      <c r="B948" s="70"/>
      <c r="C948" s="70"/>
      <c r="D948" s="70"/>
      <c r="E948" s="70"/>
      <c r="F948" s="70"/>
      <c r="G948" s="70"/>
      <c r="H948" s="70"/>
      <c r="I948" s="70"/>
      <c r="J948" s="70"/>
    </row>
    <row r="949" spans="1:10" ht="15" x14ac:dyDescent="0.2">
      <c r="A949" s="70"/>
      <c r="B949" s="70"/>
      <c r="C949" s="70"/>
      <c r="D949" s="70"/>
      <c r="E949" s="70"/>
      <c r="F949" s="70"/>
      <c r="G949" s="70"/>
      <c r="H949" s="70"/>
      <c r="I949" s="70"/>
      <c r="J949" s="70"/>
    </row>
    <row r="950" spans="1:10" ht="15" x14ac:dyDescent="0.2">
      <c r="A950" s="70"/>
      <c r="B950" s="70"/>
      <c r="C950" s="70"/>
      <c r="D950" s="70"/>
      <c r="E950" s="70"/>
      <c r="F950" s="70"/>
      <c r="G950" s="70"/>
      <c r="H950" s="70"/>
      <c r="I950" s="70"/>
      <c r="J950" s="70"/>
    </row>
    <row r="951" spans="1:10" ht="15" x14ac:dyDescent="0.2">
      <c r="A951" s="70"/>
      <c r="B951" s="70"/>
      <c r="C951" s="70"/>
      <c r="D951" s="70"/>
      <c r="E951" s="70"/>
      <c r="F951" s="70"/>
      <c r="G951" s="70"/>
      <c r="H951" s="70"/>
      <c r="I951" s="70"/>
      <c r="J951" s="70"/>
    </row>
    <row r="952" spans="1:10" ht="15" x14ac:dyDescent="0.2">
      <c r="A952" s="70"/>
      <c r="B952" s="70"/>
      <c r="C952" s="70"/>
      <c r="D952" s="70"/>
      <c r="E952" s="70"/>
      <c r="F952" s="70"/>
      <c r="G952" s="70"/>
      <c r="H952" s="70"/>
      <c r="I952" s="70"/>
      <c r="J952" s="70"/>
    </row>
    <row r="953" spans="1:10" ht="15" x14ac:dyDescent="0.2">
      <c r="A953" s="70"/>
      <c r="B953" s="70"/>
      <c r="C953" s="70"/>
      <c r="D953" s="70"/>
      <c r="E953" s="70"/>
      <c r="F953" s="70"/>
      <c r="G953" s="70"/>
      <c r="H953" s="70"/>
      <c r="I953" s="70"/>
      <c r="J953" s="70"/>
    </row>
    <row r="954" spans="1:10" ht="15" x14ac:dyDescent="0.2">
      <c r="A954" s="70"/>
      <c r="B954" s="70"/>
      <c r="C954" s="70"/>
      <c r="D954" s="70"/>
      <c r="E954" s="70"/>
      <c r="F954" s="70"/>
      <c r="G954" s="70"/>
      <c r="H954" s="70"/>
      <c r="I954" s="70"/>
      <c r="J954" s="70"/>
    </row>
    <row r="955" spans="1:10" ht="15" x14ac:dyDescent="0.2">
      <c r="A955" s="70"/>
      <c r="B955" s="70"/>
      <c r="C955" s="70"/>
      <c r="D955" s="70"/>
      <c r="E955" s="70"/>
      <c r="F955" s="70"/>
      <c r="G955" s="70"/>
      <c r="H955" s="70"/>
      <c r="I955" s="70"/>
      <c r="J955" s="70"/>
    </row>
    <row r="956" spans="1:10" ht="15" x14ac:dyDescent="0.2">
      <c r="A956" s="70"/>
      <c r="B956" s="70"/>
      <c r="C956" s="70"/>
      <c r="D956" s="70"/>
      <c r="E956" s="70"/>
      <c r="F956" s="70"/>
      <c r="G956" s="70"/>
      <c r="H956" s="70"/>
      <c r="I956" s="70"/>
      <c r="J956" s="70"/>
    </row>
    <row r="957" spans="1:10" ht="15" x14ac:dyDescent="0.2">
      <c r="A957" s="70"/>
      <c r="B957" s="70"/>
      <c r="C957" s="70"/>
      <c r="D957" s="70"/>
      <c r="E957" s="70"/>
      <c r="F957" s="70"/>
      <c r="G957" s="70"/>
      <c r="H957" s="70"/>
      <c r="I957" s="70"/>
      <c r="J957" s="70"/>
    </row>
    <row r="958" spans="1:10" ht="15" x14ac:dyDescent="0.2">
      <c r="A958" s="70"/>
      <c r="B958" s="70"/>
      <c r="C958" s="70"/>
      <c r="D958" s="70"/>
      <c r="E958" s="70"/>
      <c r="F958" s="70"/>
      <c r="G958" s="70"/>
      <c r="H958" s="70"/>
      <c r="I958" s="70"/>
      <c r="J958" s="70"/>
    </row>
    <row r="959" spans="1:10" ht="15" x14ac:dyDescent="0.2">
      <c r="A959" s="70"/>
      <c r="B959" s="70"/>
      <c r="C959" s="70"/>
      <c r="D959" s="70"/>
      <c r="E959" s="70"/>
      <c r="F959" s="70"/>
      <c r="G959" s="70"/>
      <c r="H959" s="70"/>
      <c r="I959" s="70"/>
      <c r="J959" s="70"/>
    </row>
    <row r="960" spans="1:10" ht="15" x14ac:dyDescent="0.2">
      <c r="A960" s="70"/>
      <c r="B960" s="70"/>
      <c r="C960" s="70"/>
      <c r="D960" s="70"/>
      <c r="E960" s="70"/>
      <c r="F960" s="70"/>
      <c r="G960" s="70"/>
      <c r="H960" s="70"/>
      <c r="I960" s="70"/>
      <c r="J960" s="70"/>
    </row>
    <row r="961" spans="1:10" ht="15" x14ac:dyDescent="0.2">
      <c r="A961" s="70"/>
      <c r="B961" s="70"/>
      <c r="C961" s="70"/>
      <c r="D961" s="70"/>
      <c r="E961" s="70"/>
      <c r="F961" s="70"/>
      <c r="G961" s="70"/>
      <c r="H961" s="70"/>
      <c r="I961" s="70"/>
      <c r="J961" s="70"/>
    </row>
    <row r="962" spans="1:10" ht="15" x14ac:dyDescent="0.2">
      <c r="A962" s="70"/>
      <c r="B962" s="70"/>
      <c r="C962" s="70"/>
      <c r="D962" s="70"/>
      <c r="E962" s="70"/>
      <c r="F962" s="70"/>
      <c r="G962" s="70"/>
      <c r="H962" s="70"/>
      <c r="I962" s="70"/>
      <c r="J962" s="70"/>
    </row>
    <row r="963" spans="1:10" ht="15" x14ac:dyDescent="0.2">
      <c r="A963" s="70"/>
      <c r="B963" s="70"/>
      <c r="C963" s="70"/>
      <c r="D963" s="70"/>
      <c r="E963" s="70"/>
      <c r="F963" s="70"/>
      <c r="G963" s="70"/>
      <c r="H963" s="70"/>
      <c r="I963" s="70"/>
      <c r="J963" s="70"/>
    </row>
    <row r="964" spans="1:10" ht="15" x14ac:dyDescent="0.2">
      <c r="A964" s="70"/>
      <c r="B964" s="70"/>
      <c r="C964" s="70"/>
      <c r="D964" s="70"/>
      <c r="E964" s="70"/>
      <c r="F964" s="70"/>
      <c r="G964" s="70"/>
      <c r="H964" s="70"/>
      <c r="I964" s="70"/>
      <c r="J964" s="70"/>
    </row>
    <row r="965" spans="1:10" ht="15" x14ac:dyDescent="0.2">
      <c r="A965" s="70"/>
      <c r="B965" s="70"/>
      <c r="C965" s="70"/>
      <c r="D965" s="70"/>
      <c r="E965" s="70"/>
      <c r="F965" s="70"/>
      <c r="G965" s="70"/>
      <c r="H965" s="70"/>
      <c r="I965" s="70"/>
      <c r="J965" s="70"/>
    </row>
    <row r="966" spans="1:10" ht="15" x14ac:dyDescent="0.2">
      <c r="A966" s="70"/>
      <c r="B966" s="70"/>
      <c r="C966" s="70"/>
      <c r="D966" s="70"/>
      <c r="E966" s="70"/>
      <c r="F966" s="70"/>
      <c r="G966" s="70"/>
      <c r="H966" s="70"/>
      <c r="I966" s="70"/>
      <c r="J966" s="70"/>
    </row>
    <row r="967" spans="1:10" ht="15" x14ac:dyDescent="0.2">
      <c r="A967" s="70"/>
      <c r="B967" s="70"/>
      <c r="C967" s="70"/>
      <c r="D967" s="70"/>
      <c r="E967" s="70"/>
      <c r="F967" s="70"/>
      <c r="G967" s="70"/>
      <c r="H967" s="70"/>
      <c r="I967" s="70"/>
      <c r="J967" s="70"/>
    </row>
    <row r="968" spans="1:10" ht="15" x14ac:dyDescent="0.2">
      <c r="A968" s="70"/>
      <c r="B968" s="70"/>
      <c r="C968" s="70"/>
      <c r="D968" s="70"/>
      <c r="E968" s="70"/>
      <c r="F968" s="70"/>
      <c r="G968" s="70"/>
      <c r="H968" s="70"/>
      <c r="I968" s="70"/>
      <c r="J968" s="70"/>
    </row>
    <row r="969" spans="1:10" ht="15" x14ac:dyDescent="0.2">
      <c r="A969" s="70"/>
      <c r="B969" s="70"/>
      <c r="C969" s="70"/>
      <c r="D969" s="70"/>
      <c r="E969" s="70"/>
      <c r="F969" s="70"/>
      <c r="G969" s="70"/>
      <c r="H969" s="70"/>
      <c r="I969" s="70"/>
      <c r="J969" s="70"/>
    </row>
    <row r="970" spans="1:10" ht="15" x14ac:dyDescent="0.2">
      <c r="A970" s="70"/>
      <c r="B970" s="70"/>
      <c r="C970" s="70"/>
      <c r="D970" s="70"/>
      <c r="E970" s="70"/>
      <c r="F970" s="70"/>
      <c r="G970" s="70"/>
      <c r="H970" s="70"/>
      <c r="I970" s="70"/>
      <c r="J970" s="70"/>
    </row>
    <row r="971" spans="1:10" ht="15" x14ac:dyDescent="0.2">
      <c r="A971" s="70"/>
      <c r="B971" s="70"/>
      <c r="C971" s="70"/>
      <c r="D971" s="70"/>
      <c r="E971" s="70"/>
      <c r="F971" s="70"/>
      <c r="G971" s="70"/>
      <c r="H971" s="70"/>
      <c r="I971" s="70"/>
      <c r="J971" s="70"/>
    </row>
    <row r="972" spans="1:10" ht="15" x14ac:dyDescent="0.2">
      <c r="A972" s="70"/>
      <c r="B972" s="70"/>
      <c r="C972" s="70"/>
      <c r="D972" s="70"/>
      <c r="E972" s="70"/>
      <c r="F972" s="70"/>
      <c r="G972" s="70"/>
      <c r="H972" s="70"/>
      <c r="I972" s="70"/>
      <c r="J972" s="70"/>
    </row>
    <row r="973" spans="1:10" ht="15" x14ac:dyDescent="0.2">
      <c r="A973" s="70"/>
      <c r="B973" s="70"/>
      <c r="C973" s="70"/>
      <c r="D973" s="70"/>
      <c r="E973" s="70"/>
      <c r="F973" s="70"/>
      <c r="G973" s="70"/>
      <c r="H973" s="70"/>
      <c r="I973" s="70"/>
      <c r="J973" s="70"/>
    </row>
    <row r="974" spans="1:10" ht="15" x14ac:dyDescent="0.2">
      <c r="A974" s="70"/>
      <c r="B974" s="70"/>
      <c r="C974" s="70"/>
      <c r="D974" s="70"/>
      <c r="E974" s="70"/>
      <c r="F974" s="70"/>
      <c r="G974" s="70"/>
      <c r="H974" s="70"/>
      <c r="I974" s="70"/>
      <c r="J974" s="70"/>
    </row>
    <row r="975" spans="1:10" ht="15" x14ac:dyDescent="0.2">
      <c r="A975" s="70"/>
      <c r="B975" s="70"/>
      <c r="C975" s="70"/>
      <c r="D975" s="70"/>
      <c r="E975" s="70"/>
      <c r="F975" s="70"/>
      <c r="G975" s="70"/>
      <c r="H975" s="70"/>
      <c r="I975" s="70"/>
      <c r="J975" s="70"/>
    </row>
    <row r="976" spans="1:10" ht="15" x14ac:dyDescent="0.2">
      <c r="A976" s="70"/>
      <c r="B976" s="70"/>
      <c r="C976" s="70"/>
      <c r="D976" s="70"/>
      <c r="E976" s="70"/>
      <c r="F976" s="70"/>
      <c r="G976" s="70"/>
      <c r="H976" s="70"/>
      <c r="I976" s="70"/>
      <c r="J976" s="70"/>
    </row>
    <row r="977" spans="1:10" ht="15" x14ac:dyDescent="0.2">
      <c r="A977" s="70"/>
      <c r="B977" s="70"/>
      <c r="C977" s="70"/>
      <c r="D977" s="70"/>
      <c r="E977" s="70"/>
      <c r="F977" s="70"/>
      <c r="G977" s="70"/>
      <c r="H977" s="70"/>
      <c r="I977" s="70"/>
      <c r="J977" s="70"/>
    </row>
    <row r="978" spans="1:10" ht="15" x14ac:dyDescent="0.2">
      <c r="A978" s="70"/>
      <c r="B978" s="70"/>
      <c r="C978" s="70"/>
      <c r="D978" s="70"/>
      <c r="E978" s="70"/>
      <c r="F978" s="70"/>
      <c r="G978" s="70"/>
      <c r="H978" s="70"/>
      <c r="I978" s="70"/>
      <c r="J978" s="70"/>
    </row>
    <row r="979" spans="1:10" ht="15" x14ac:dyDescent="0.2">
      <c r="A979" s="70"/>
      <c r="B979" s="70"/>
      <c r="C979" s="70"/>
      <c r="D979" s="70"/>
      <c r="E979" s="70"/>
      <c r="F979" s="70"/>
      <c r="G979" s="70"/>
      <c r="H979" s="70"/>
      <c r="I979" s="70"/>
      <c r="J979" s="70"/>
    </row>
    <row r="980" spans="1:10" ht="15" x14ac:dyDescent="0.2">
      <c r="A980" s="70"/>
      <c r="B980" s="70"/>
      <c r="C980" s="70"/>
      <c r="D980" s="70"/>
      <c r="E980" s="70"/>
      <c r="F980" s="70"/>
      <c r="G980" s="70"/>
      <c r="H980" s="70"/>
      <c r="I980" s="70"/>
      <c r="J980" s="70"/>
    </row>
    <row r="981" spans="1:10" ht="15" x14ac:dyDescent="0.2">
      <c r="A981" s="70"/>
      <c r="B981" s="70"/>
      <c r="C981" s="70"/>
      <c r="D981" s="70"/>
      <c r="E981" s="70"/>
      <c r="F981" s="70"/>
      <c r="G981" s="70"/>
      <c r="H981" s="70"/>
      <c r="I981" s="70"/>
      <c r="J981" s="70"/>
    </row>
    <row r="982" spans="1:10" ht="15" x14ac:dyDescent="0.2">
      <c r="A982" s="70"/>
      <c r="B982" s="70"/>
      <c r="C982" s="70"/>
      <c r="D982" s="70"/>
      <c r="E982" s="70"/>
      <c r="F982" s="70"/>
      <c r="G982" s="70"/>
      <c r="H982" s="70"/>
      <c r="I982" s="70"/>
      <c r="J982" s="70"/>
    </row>
    <row r="983" spans="1:10" ht="15" x14ac:dyDescent="0.2">
      <c r="A983" s="70"/>
      <c r="B983" s="70"/>
      <c r="C983" s="70"/>
      <c r="D983" s="70"/>
      <c r="E983" s="70"/>
      <c r="F983" s="70"/>
      <c r="G983" s="70"/>
      <c r="H983" s="70"/>
      <c r="I983" s="70"/>
      <c r="J983" s="70"/>
    </row>
    <row r="984" spans="1:10" ht="15" x14ac:dyDescent="0.2">
      <c r="A984" s="70"/>
      <c r="B984" s="70"/>
      <c r="C984" s="70"/>
      <c r="D984" s="70"/>
      <c r="E984" s="70"/>
      <c r="F984" s="70"/>
      <c r="G984" s="70"/>
      <c r="H984" s="70"/>
      <c r="I984" s="70"/>
      <c r="J984" s="70"/>
    </row>
    <row r="985" spans="1:10" ht="15" x14ac:dyDescent="0.2">
      <c r="A985" s="70"/>
      <c r="B985" s="70"/>
      <c r="C985" s="70"/>
      <c r="D985" s="70"/>
      <c r="E985" s="70"/>
      <c r="F985" s="70"/>
      <c r="G985" s="70"/>
      <c r="H985" s="70"/>
      <c r="I985" s="70"/>
      <c r="J985" s="70"/>
    </row>
    <row r="986" spans="1:10" ht="15" x14ac:dyDescent="0.2">
      <c r="A986" s="70"/>
      <c r="B986" s="70"/>
      <c r="C986" s="70"/>
      <c r="D986" s="70"/>
      <c r="E986" s="70"/>
      <c r="F986" s="70"/>
      <c r="G986" s="70"/>
      <c r="H986" s="70"/>
      <c r="I986" s="70"/>
      <c r="J986" s="70"/>
    </row>
    <row r="987" spans="1:10" ht="15" x14ac:dyDescent="0.2">
      <c r="A987" s="70"/>
      <c r="B987" s="70"/>
      <c r="C987" s="70"/>
      <c r="D987" s="70"/>
      <c r="E987" s="70"/>
      <c r="F987" s="70"/>
      <c r="G987" s="70"/>
      <c r="H987" s="70"/>
      <c r="I987" s="70"/>
      <c r="J987" s="70"/>
    </row>
    <row r="988" spans="1:10" ht="15" x14ac:dyDescent="0.2">
      <c r="A988" s="70"/>
      <c r="B988" s="70"/>
      <c r="C988" s="70"/>
      <c r="D988" s="70"/>
      <c r="E988" s="70"/>
      <c r="F988" s="70"/>
      <c r="G988" s="70"/>
      <c r="H988" s="70"/>
      <c r="I988" s="70"/>
      <c r="J988" s="70"/>
    </row>
    <row r="989" spans="1:10" ht="15" x14ac:dyDescent="0.2">
      <c r="A989" s="70"/>
      <c r="B989" s="70"/>
      <c r="C989" s="70"/>
      <c r="D989" s="70"/>
      <c r="E989" s="70"/>
      <c r="F989" s="70"/>
      <c r="G989" s="70"/>
      <c r="H989" s="70"/>
      <c r="I989" s="70"/>
      <c r="J989" s="70"/>
    </row>
    <row r="990" spans="1:10" ht="15" x14ac:dyDescent="0.2">
      <c r="A990" s="70"/>
      <c r="B990" s="70"/>
      <c r="C990" s="70"/>
      <c r="D990" s="70"/>
      <c r="E990" s="70"/>
      <c r="F990" s="70"/>
      <c r="G990" s="70"/>
      <c r="H990" s="70"/>
      <c r="I990" s="70"/>
      <c r="J990" s="70"/>
    </row>
    <row r="991" spans="1:10" ht="15" x14ac:dyDescent="0.2">
      <c r="A991" s="70"/>
      <c r="B991" s="70"/>
      <c r="C991" s="70"/>
      <c r="D991" s="70"/>
      <c r="E991" s="70"/>
      <c r="F991" s="70"/>
      <c r="G991" s="70"/>
      <c r="H991" s="70"/>
      <c r="I991" s="70"/>
      <c r="J991" s="70"/>
    </row>
    <row r="992" spans="1:10" ht="15" x14ac:dyDescent="0.2">
      <c r="A992" s="70"/>
      <c r="B992" s="70"/>
      <c r="C992" s="70"/>
      <c r="D992" s="70"/>
      <c r="E992" s="70"/>
      <c r="F992" s="70"/>
      <c r="G992" s="70"/>
      <c r="H992" s="70"/>
      <c r="I992" s="70"/>
      <c r="J992" s="70"/>
    </row>
    <row r="993" spans="1:10" ht="15" x14ac:dyDescent="0.2">
      <c r="A993" s="70"/>
      <c r="B993" s="70"/>
      <c r="C993" s="70"/>
      <c r="D993" s="70"/>
      <c r="E993" s="70"/>
      <c r="F993" s="70"/>
      <c r="G993" s="70"/>
      <c r="H993" s="70"/>
      <c r="I993" s="70"/>
      <c r="J993" s="70"/>
    </row>
    <row r="994" spans="1:10" ht="15" x14ac:dyDescent="0.2">
      <c r="A994" s="70"/>
      <c r="B994" s="70"/>
      <c r="C994" s="70"/>
      <c r="D994" s="70"/>
      <c r="E994" s="70"/>
      <c r="F994" s="70"/>
      <c r="G994" s="70"/>
      <c r="H994" s="70"/>
      <c r="I994" s="70"/>
      <c r="J994" s="70"/>
    </row>
    <row r="995" spans="1:10" ht="15" x14ac:dyDescent="0.2">
      <c r="A995" s="70"/>
      <c r="B995" s="70"/>
      <c r="C995" s="70"/>
      <c r="D995" s="70"/>
      <c r="E995" s="70"/>
      <c r="F995" s="70"/>
      <c r="G995" s="70"/>
      <c r="H995" s="70"/>
      <c r="I995" s="70"/>
      <c r="J995" s="70"/>
    </row>
    <row r="996" spans="1:10" ht="15" x14ac:dyDescent="0.2">
      <c r="A996" s="70"/>
      <c r="B996" s="70"/>
      <c r="C996" s="70"/>
      <c r="D996" s="70"/>
      <c r="E996" s="70"/>
      <c r="F996" s="70"/>
      <c r="G996" s="70"/>
      <c r="H996" s="70"/>
      <c r="I996" s="70"/>
      <c r="J996" s="70"/>
    </row>
    <row r="997" spans="1:10" ht="15" x14ac:dyDescent="0.2">
      <c r="A997" s="70"/>
      <c r="B997" s="70"/>
      <c r="C997" s="70"/>
      <c r="D997" s="70"/>
      <c r="E997" s="70"/>
      <c r="F997" s="70"/>
      <c r="G997" s="70"/>
      <c r="H997" s="70"/>
      <c r="I997" s="70"/>
      <c r="J997" s="70"/>
    </row>
    <row r="998" spans="1:10" ht="15" x14ac:dyDescent="0.2">
      <c r="A998" s="70"/>
      <c r="B998" s="70"/>
      <c r="C998" s="70"/>
      <c r="D998" s="70"/>
      <c r="E998" s="70"/>
      <c r="F998" s="70"/>
      <c r="G998" s="70"/>
      <c r="H998" s="70"/>
      <c r="I998" s="70"/>
      <c r="J998" s="70"/>
    </row>
    <row r="999" spans="1:10" ht="15" x14ac:dyDescent="0.2">
      <c r="A999" s="70"/>
      <c r="B999" s="70"/>
      <c r="C999" s="70"/>
      <c r="D999" s="70"/>
      <c r="E999" s="70"/>
      <c r="F999" s="70"/>
      <c r="G999" s="70"/>
      <c r="H999" s="70"/>
      <c r="I999" s="70"/>
      <c r="J999" s="70"/>
    </row>
    <row r="1000" spans="1:10" ht="15" x14ac:dyDescent="0.2">
      <c r="A1000" s="70"/>
      <c r="B1000" s="70"/>
      <c r="C1000" s="70"/>
      <c r="D1000" s="70"/>
      <c r="E1000" s="70"/>
      <c r="F1000" s="70"/>
      <c r="G1000" s="70"/>
      <c r="H1000" s="70"/>
      <c r="I1000" s="70"/>
      <c r="J1000" s="70"/>
    </row>
    <row r="1001" spans="1:10" ht="15" x14ac:dyDescent="0.2">
      <c r="A1001" s="70"/>
      <c r="B1001" s="70"/>
      <c r="C1001" s="70"/>
      <c r="D1001" s="70"/>
      <c r="E1001" s="70"/>
      <c r="F1001" s="70"/>
      <c r="G1001" s="70"/>
      <c r="H1001" s="70"/>
      <c r="I1001" s="70"/>
      <c r="J1001" s="70"/>
    </row>
    <row r="1002" spans="1:10" ht="15" x14ac:dyDescent="0.2">
      <c r="A1002" s="70"/>
      <c r="B1002" s="70"/>
      <c r="C1002" s="70"/>
      <c r="D1002" s="70"/>
      <c r="E1002" s="70"/>
      <c r="F1002" s="70"/>
      <c r="G1002" s="70"/>
      <c r="H1002" s="70"/>
      <c r="I1002" s="70"/>
      <c r="J1002" s="70"/>
    </row>
    <row r="1003" spans="1:10" ht="15" x14ac:dyDescent="0.2">
      <c r="A1003" s="70"/>
      <c r="B1003" s="70"/>
      <c r="C1003" s="70"/>
      <c r="D1003" s="70"/>
      <c r="E1003" s="70"/>
      <c r="F1003" s="70"/>
      <c r="G1003" s="70"/>
      <c r="H1003" s="70"/>
      <c r="I1003" s="70"/>
      <c r="J1003" s="70"/>
    </row>
    <row r="1004" spans="1:10" ht="15" x14ac:dyDescent="0.2">
      <c r="A1004" s="70"/>
      <c r="B1004" s="70"/>
      <c r="C1004" s="70"/>
      <c r="D1004" s="70"/>
      <c r="E1004" s="70"/>
      <c r="F1004" s="70"/>
      <c r="G1004" s="70"/>
      <c r="H1004" s="70"/>
      <c r="I1004" s="70"/>
      <c r="J1004" s="70"/>
    </row>
    <row r="1005" spans="1:10" ht="15" x14ac:dyDescent="0.2">
      <c r="A1005" s="70"/>
      <c r="B1005" s="70"/>
      <c r="C1005" s="70"/>
      <c r="D1005" s="70"/>
      <c r="E1005" s="70"/>
      <c r="F1005" s="70"/>
      <c r="G1005" s="70"/>
      <c r="H1005" s="70"/>
      <c r="I1005" s="70"/>
      <c r="J1005" s="70"/>
    </row>
    <row r="1006" spans="1:10" ht="15" x14ac:dyDescent="0.2">
      <c r="A1006" s="70"/>
      <c r="B1006" s="70"/>
      <c r="C1006" s="70"/>
      <c r="D1006" s="70"/>
      <c r="E1006" s="70"/>
      <c r="F1006" s="70"/>
      <c r="G1006" s="70"/>
      <c r="H1006" s="70"/>
      <c r="I1006" s="70"/>
      <c r="J1006" s="70"/>
    </row>
    <row r="1007" spans="1:10" ht="15" x14ac:dyDescent="0.2">
      <c r="A1007" s="70"/>
      <c r="B1007" s="70"/>
      <c r="C1007" s="70"/>
      <c r="D1007" s="70"/>
      <c r="E1007" s="70"/>
      <c r="F1007" s="70"/>
      <c r="G1007" s="70"/>
      <c r="H1007" s="70"/>
      <c r="I1007" s="70"/>
      <c r="J1007" s="70"/>
    </row>
    <row r="1008" spans="1:10" ht="15" x14ac:dyDescent="0.2">
      <c r="A1008" s="70"/>
      <c r="B1008" s="70"/>
      <c r="C1008" s="70"/>
      <c r="D1008" s="70"/>
      <c r="E1008" s="70"/>
      <c r="F1008" s="70"/>
      <c r="G1008" s="70"/>
      <c r="H1008" s="70"/>
      <c r="I1008" s="70"/>
      <c r="J1008" s="70"/>
    </row>
    <row r="1009" spans="1:10" ht="15" x14ac:dyDescent="0.2">
      <c r="A1009" s="70"/>
      <c r="B1009" s="70"/>
      <c r="C1009" s="70"/>
      <c r="D1009" s="70"/>
      <c r="E1009" s="70"/>
      <c r="F1009" s="70"/>
      <c r="G1009" s="70"/>
      <c r="H1009" s="70"/>
      <c r="I1009" s="70"/>
      <c r="J1009" s="70"/>
    </row>
    <row r="1010" spans="1:10" ht="15" x14ac:dyDescent="0.2">
      <c r="A1010" s="70"/>
      <c r="B1010" s="70"/>
      <c r="C1010" s="70"/>
      <c r="D1010" s="70"/>
      <c r="E1010" s="70"/>
      <c r="F1010" s="70"/>
      <c r="G1010" s="70"/>
      <c r="H1010" s="70"/>
      <c r="I1010" s="70"/>
      <c r="J1010" s="70"/>
    </row>
    <row r="1011" spans="1:10" ht="15" x14ac:dyDescent="0.2">
      <c r="A1011" s="70"/>
      <c r="B1011" s="70"/>
      <c r="C1011" s="70"/>
      <c r="D1011" s="70"/>
      <c r="E1011" s="70"/>
      <c r="F1011" s="70"/>
      <c r="G1011" s="70"/>
      <c r="H1011" s="70"/>
      <c r="I1011" s="70"/>
      <c r="J1011" s="70"/>
    </row>
    <row r="1012" spans="1:10" ht="15" x14ac:dyDescent="0.2">
      <c r="A1012" s="70"/>
      <c r="B1012" s="70"/>
      <c r="C1012" s="70"/>
      <c r="D1012" s="70"/>
      <c r="E1012" s="70"/>
      <c r="F1012" s="70"/>
      <c r="G1012" s="70"/>
      <c r="H1012" s="70"/>
      <c r="I1012" s="70"/>
      <c r="J1012" s="70"/>
    </row>
    <row r="1013" spans="1:10" ht="15" x14ac:dyDescent="0.2">
      <c r="A1013" s="70"/>
      <c r="B1013" s="70"/>
      <c r="C1013" s="70"/>
      <c r="D1013" s="70"/>
      <c r="E1013" s="70"/>
      <c r="F1013" s="70"/>
      <c r="G1013" s="70"/>
      <c r="H1013" s="70"/>
      <c r="I1013" s="70"/>
      <c r="J1013" s="70"/>
    </row>
    <row r="1014" spans="1:10" ht="15" x14ac:dyDescent="0.2">
      <c r="A1014" s="70"/>
      <c r="B1014" s="70"/>
      <c r="C1014" s="70"/>
      <c r="D1014" s="70"/>
      <c r="E1014" s="70"/>
      <c r="F1014" s="70"/>
      <c r="G1014" s="70"/>
      <c r="H1014" s="70"/>
      <c r="I1014" s="70"/>
      <c r="J1014" s="70"/>
    </row>
    <row r="1015" spans="1:10" ht="15" x14ac:dyDescent="0.2">
      <c r="A1015" s="70"/>
      <c r="B1015" s="70"/>
      <c r="C1015" s="70"/>
      <c r="D1015" s="70"/>
      <c r="E1015" s="70"/>
      <c r="F1015" s="70"/>
      <c r="G1015" s="70"/>
      <c r="H1015" s="70"/>
      <c r="I1015" s="70"/>
      <c r="J1015" s="70"/>
    </row>
    <row r="1016" spans="1:10" ht="15" x14ac:dyDescent="0.2">
      <c r="A1016" s="70"/>
      <c r="B1016" s="70"/>
      <c r="C1016" s="70"/>
      <c r="D1016" s="70"/>
      <c r="E1016" s="70"/>
      <c r="F1016" s="70"/>
      <c r="G1016" s="70"/>
      <c r="H1016" s="70"/>
      <c r="I1016" s="70"/>
      <c r="J1016" s="70"/>
    </row>
    <row r="1017" spans="1:10" ht="15" x14ac:dyDescent="0.2">
      <c r="A1017" s="70"/>
      <c r="B1017" s="70"/>
      <c r="C1017" s="70"/>
      <c r="D1017" s="70"/>
      <c r="E1017" s="70"/>
      <c r="F1017" s="70"/>
      <c r="G1017" s="70"/>
      <c r="H1017" s="70"/>
      <c r="I1017" s="70"/>
      <c r="J1017" s="70"/>
    </row>
    <row r="1018" spans="1:10" ht="15" x14ac:dyDescent="0.2">
      <c r="A1018" s="70"/>
      <c r="B1018" s="70"/>
      <c r="C1018" s="70"/>
      <c r="D1018" s="70"/>
      <c r="E1018" s="70"/>
      <c r="F1018" s="70"/>
      <c r="G1018" s="70"/>
      <c r="H1018" s="70"/>
      <c r="I1018" s="70"/>
      <c r="J1018" s="70"/>
    </row>
    <row r="1019" spans="1:10" ht="15" x14ac:dyDescent="0.2">
      <c r="A1019" s="70"/>
      <c r="B1019" s="70"/>
      <c r="C1019" s="70"/>
      <c r="D1019" s="70"/>
      <c r="E1019" s="70"/>
      <c r="F1019" s="70"/>
      <c r="G1019" s="70"/>
      <c r="H1019" s="70"/>
      <c r="I1019" s="70"/>
      <c r="J1019" s="70"/>
    </row>
    <row r="1020" spans="1:10" ht="15" x14ac:dyDescent="0.2">
      <c r="A1020" s="70"/>
      <c r="B1020" s="70"/>
      <c r="C1020" s="70"/>
      <c r="D1020" s="70"/>
      <c r="E1020" s="70"/>
      <c r="F1020" s="70"/>
      <c r="G1020" s="70"/>
      <c r="H1020" s="70"/>
      <c r="I1020" s="70"/>
      <c r="J1020" s="70"/>
    </row>
    <row r="1021" spans="1:10" ht="15" x14ac:dyDescent="0.2">
      <c r="A1021" s="70"/>
      <c r="B1021" s="70"/>
      <c r="C1021" s="70"/>
      <c r="D1021" s="70"/>
      <c r="E1021" s="70"/>
      <c r="F1021" s="70"/>
      <c r="G1021" s="70"/>
      <c r="H1021" s="70"/>
      <c r="I1021" s="70"/>
      <c r="J1021" s="70"/>
    </row>
    <row r="1022" spans="1:10" ht="15" x14ac:dyDescent="0.2">
      <c r="A1022" s="70"/>
      <c r="B1022" s="70"/>
      <c r="C1022" s="70"/>
      <c r="D1022" s="70"/>
      <c r="E1022" s="70"/>
      <c r="F1022" s="70"/>
      <c r="G1022" s="70"/>
      <c r="H1022" s="70"/>
      <c r="I1022" s="70"/>
      <c r="J1022" s="70"/>
    </row>
    <row r="1023" spans="1:10" ht="15" x14ac:dyDescent="0.2">
      <c r="A1023" s="70"/>
      <c r="B1023" s="70"/>
      <c r="C1023" s="70"/>
      <c r="D1023" s="70"/>
      <c r="E1023" s="70"/>
      <c r="F1023" s="70"/>
      <c r="G1023" s="70"/>
      <c r="H1023" s="70"/>
      <c r="I1023" s="70"/>
      <c r="J1023" s="70"/>
    </row>
    <row r="1024" spans="1:10" ht="15" x14ac:dyDescent="0.2">
      <c r="A1024" s="70"/>
      <c r="B1024" s="70"/>
      <c r="C1024" s="70"/>
      <c r="D1024" s="70"/>
      <c r="E1024" s="70"/>
      <c r="F1024" s="70"/>
      <c r="G1024" s="70"/>
      <c r="H1024" s="70"/>
      <c r="I1024" s="70"/>
      <c r="J1024" s="70"/>
    </row>
    <row r="1025" spans="1:10" ht="15" x14ac:dyDescent="0.2">
      <c r="A1025" s="70"/>
      <c r="B1025" s="70"/>
      <c r="C1025" s="70"/>
      <c r="D1025" s="70"/>
      <c r="E1025" s="70"/>
      <c r="F1025" s="70"/>
      <c r="G1025" s="70"/>
      <c r="H1025" s="70"/>
      <c r="I1025" s="70"/>
      <c r="J1025" s="70"/>
    </row>
    <row r="1026" spans="1:10" ht="15" x14ac:dyDescent="0.2">
      <c r="A1026" s="70"/>
      <c r="B1026" s="70"/>
      <c r="C1026" s="70"/>
      <c r="D1026" s="70"/>
      <c r="E1026" s="70"/>
      <c r="F1026" s="70"/>
      <c r="G1026" s="70"/>
      <c r="H1026" s="70"/>
      <c r="I1026" s="70"/>
      <c r="J1026" s="70"/>
    </row>
    <row r="1027" spans="1:10" ht="15" x14ac:dyDescent="0.2">
      <c r="A1027" s="70"/>
      <c r="B1027" s="70"/>
      <c r="C1027" s="70"/>
      <c r="D1027" s="70"/>
      <c r="E1027" s="70"/>
      <c r="F1027" s="70"/>
      <c r="G1027" s="70"/>
      <c r="H1027" s="70"/>
      <c r="I1027" s="70"/>
      <c r="J1027" s="70"/>
    </row>
    <row r="1028" spans="1:10" ht="15" x14ac:dyDescent="0.2">
      <c r="A1028" s="70"/>
      <c r="B1028" s="70"/>
      <c r="C1028" s="70"/>
      <c r="D1028" s="70"/>
      <c r="E1028" s="70"/>
      <c r="F1028" s="70"/>
      <c r="G1028" s="70"/>
      <c r="H1028" s="70"/>
      <c r="I1028" s="70"/>
      <c r="J1028" s="70"/>
    </row>
    <row r="1029" spans="1:10" ht="15" x14ac:dyDescent="0.2">
      <c r="A1029" s="70"/>
      <c r="B1029" s="70"/>
      <c r="C1029" s="70"/>
      <c r="D1029" s="70"/>
      <c r="E1029" s="70"/>
      <c r="F1029" s="70"/>
      <c r="G1029" s="70"/>
      <c r="H1029" s="70"/>
      <c r="I1029" s="70"/>
      <c r="J1029" s="70"/>
    </row>
    <row r="1030" spans="1:10" ht="15" x14ac:dyDescent="0.2">
      <c r="A1030" s="70"/>
      <c r="B1030" s="70"/>
      <c r="C1030" s="70"/>
      <c r="D1030" s="70"/>
      <c r="E1030" s="70"/>
      <c r="F1030" s="70"/>
      <c r="G1030" s="70"/>
      <c r="H1030" s="70"/>
      <c r="I1030" s="70"/>
      <c r="J1030" s="70"/>
    </row>
    <row r="1031" spans="1:10" ht="15" x14ac:dyDescent="0.2">
      <c r="A1031" s="70"/>
      <c r="B1031" s="70"/>
      <c r="C1031" s="70"/>
      <c r="D1031" s="70"/>
      <c r="E1031" s="70"/>
      <c r="F1031" s="70"/>
      <c r="G1031" s="70"/>
      <c r="H1031" s="70"/>
      <c r="I1031" s="70"/>
      <c r="J1031" s="70"/>
    </row>
    <row r="1032" spans="1:10" ht="15" x14ac:dyDescent="0.2">
      <c r="A1032" s="70"/>
      <c r="B1032" s="70"/>
      <c r="C1032" s="70"/>
      <c r="D1032" s="70"/>
      <c r="E1032" s="70"/>
      <c r="F1032" s="70"/>
      <c r="G1032" s="70"/>
      <c r="H1032" s="70"/>
      <c r="I1032" s="70"/>
      <c r="J1032" s="70"/>
    </row>
    <row r="1033" spans="1:10" ht="15" x14ac:dyDescent="0.2">
      <c r="A1033" s="70"/>
      <c r="B1033" s="70"/>
      <c r="C1033" s="70"/>
      <c r="D1033" s="70"/>
      <c r="E1033" s="70"/>
      <c r="F1033" s="70"/>
      <c r="G1033" s="70"/>
      <c r="H1033" s="70"/>
      <c r="I1033" s="70"/>
      <c r="J1033" s="70"/>
    </row>
    <row r="1034" spans="1:10" ht="15" x14ac:dyDescent="0.2">
      <c r="A1034" s="70"/>
      <c r="B1034" s="70"/>
      <c r="C1034" s="70"/>
      <c r="D1034" s="70"/>
      <c r="E1034" s="70"/>
      <c r="F1034" s="70"/>
      <c r="G1034" s="70"/>
      <c r="H1034" s="70"/>
      <c r="I1034" s="70"/>
      <c r="J1034" s="70"/>
    </row>
    <row r="1035" spans="1:10" ht="15" x14ac:dyDescent="0.2">
      <c r="A1035" s="70"/>
      <c r="B1035" s="70"/>
      <c r="C1035" s="70"/>
      <c r="D1035" s="70"/>
      <c r="E1035" s="70"/>
      <c r="F1035" s="70"/>
      <c r="G1035" s="70"/>
      <c r="H1035" s="70"/>
      <c r="I1035" s="70"/>
      <c r="J1035" s="70"/>
    </row>
    <row r="1036" spans="1:10" ht="15" x14ac:dyDescent="0.2">
      <c r="A1036" s="70"/>
      <c r="B1036" s="70"/>
      <c r="C1036" s="70"/>
      <c r="D1036" s="70"/>
      <c r="E1036" s="70"/>
      <c r="F1036" s="70"/>
      <c r="G1036" s="70"/>
      <c r="H1036" s="70"/>
      <c r="I1036" s="70"/>
      <c r="J1036" s="70"/>
    </row>
    <row r="1037" spans="1:10" ht="15" x14ac:dyDescent="0.2">
      <c r="A1037" s="70"/>
      <c r="B1037" s="70"/>
      <c r="C1037" s="70"/>
      <c r="D1037" s="70"/>
      <c r="E1037" s="70"/>
      <c r="F1037" s="70"/>
      <c r="G1037" s="70"/>
      <c r="H1037" s="70"/>
      <c r="I1037" s="70"/>
      <c r="J1037" s="70"/>
    </row>
    <row r="1038" spans="1:10" ht="15" x14ac:dyDescent="0.2">
      <c r="A1038" s="70"/>
      <c r="B1038" s="70"/>
      <c r="C1038" s="70"/>
      <c r="D1038" s="70"/>
      <c r="E1038" s="70"/>
      <c r="F1038" s="70"/>
      <c r="G1038" s="70"/>
      <c r="H1038" s="70"/>
      <c r="I1038" s="70"/>
      <c r="J1038" s="70"/>
    </row>
    <row r="1039" spans="1:10" ht="15" x14ac:dyDescent="0.2">
      <c r="A1039" s="70"/>
      <c r="B1039" s="70"/>
      <c r="C1039" s="70"/>
      <c r="D1039" s="70"/>
      <c r="E1039" s="70"/>
      <c r="F1039" s="70"/>
      <c r="G1039" s="70"/>
      <c r="H1039" s="70"/>
      <c r="I1039" s="70"/>
      <c r="J1039" s="70"/>
    </row>
    <row r="1040" spans="1:10" ht="15" x14ac:dyDescent="0.2">
      <c r="A1040" s="70"/>
      <c r="B1040" s="70"/>
      <c r="C1040" s="70"/>
      <c r="D1040" s="70"/>
      <c r="E1040" s="70"/>
      <c r="F1040" s="70"/>
      <c r="G1040" s="70"/>
      <c r="H1040" s="70"/>
      <c r="I1040" s="70"/>
      <c r="J1040" s="70"/>
    </row>
    <row r="1041" spans="1:10" ht="15" x14ac:dyDescent="0.2">
      <c r="A1041" s="70"/>
      <c r="B1041" s="70"/>
      <c r="C1041" s="70"/>
      <c r="D1041" s="70"/>
      <c r="E1041" s="70"/>
      <c r="F1041" s="70"/>
      <c r="G1041" s="70"/>
      <c r="H1041" s="70"/>
      <c r="I1041" s="70"/>
      <c r="J1041" s="70"/>
    </row>
    <row r="1042" spans="1:10" ht="15" x14ac:dyDescent="0.2">
      <c r="A1042" s="70"/>
      <c r="B1042" s="70"/>
      <c r="C1042" s="70"/>
      <c r="D1042" s="70"/>
      <c r="E1042" s="70"/>
      <c r="F1042" s="70"/>
      <c r="G1042" s="70"/>
      <c r="H1042" s="70"/>
      <c r="I1042" s="70"/>
      <c r="J1042" s="70"/>
    </row>
    <row r="1043" spans="1:10" ht="15" x14ac:dyDescent="0.2">
      <c r="A1043" s="70"/>
      <c r="B1043" s="70"/>
      <c r="C1043" s="70"/>
      <c r="D1043" s="70"/>
      <c r="E1043" s="70"/>
      <c r="F1043" s="70"/>
      <c r="G1043" s="70"/>
      <c r="H1043" s="70"/>
      <c r="I1043" s="70"/>
      <c r="J1043" s="70"/>
    </row>
    <row r="1044" spans="1:10" ht="15" x14ac:dyDescent="0.2">
      <c r="A1044" s="70"/>
      <c r="B1044" s="70"/>
      <c r="C1044" s="70"/>
      <c r="D1044" s="70"/>
      <c r="E1044" s="70"/>
      <c r="F1044" s="70"/>
      <c r="G1044" s="70"/>
      <c r="H1044" s="70"/>
      <c r="I1044" s="70"/>
      <c r="J1044" s="70"/>
    </row>
    <row r="1045" spans="1:10" ht="15" x14ac:dyDescent="0.2">
      <c r="A1045" s="70"/>
      <c r="B1045" s="70"/>
      <c r="C1045" s="70"/>
      <c r="D1045" s="70"/>
      <c r="E1045" s="70"/>
      <c r="F1045" s="70"/>
      <c r="G1045" s="70"/>
      <c r="H1045" s="70"/>
      <c r="I1045" s="70"/>
      <c r="J1045" s="70"/>
    </row>
    <row r="1046" spans="1:10" ht="15" x14ac:dyDescent="0.2">
      <c r="A1046" s="70"/>
      <c r="B1046" s="70"/>
      <c r="C1046" s="70"/>
      <c r="D1046" s="70"/>
      <c r="E1046" s="70"/>
      <c r="F1046" s="70"/>
      <c r="G1046" s="70"/>
      <c r="H1046" s="70"/>
      <c r="I1046" s="70"/>
      <c r="J1046" s="70"/>
    </row>
    <row r="1047" spans="1:10" ht="15" x14ac:dyDescent="0.2">
      <c r="A1047" s="70"/>
      <c r="B1047" s="70"/>
      <c r="C1047" s="70"/>
      <c r="D1047" s="70"/>
      <c r="E1047" s="70"/>
      <c r="F1047" s="70"/>
      <c r="G1047" s="70"/>
      <c r="H1047" s="70"/>
      <c r="I1047" s="70"/>
      <c r="J1047" s="70"/>
    </row>
    <row r="1048" spans="1:10" ht="15" x14ac:dyDescent="0.2">
      <c r="A1048" s="70"/>
      <c r="B1048" s="70"/>
      <c r="C1048" s="70"/>
      <c r="D1048" s="70"/>
      <c r="E1048" s="70"/>
      <c r="F1048" s="70"/>
      <c r="G1048" s="70"/>
      <c r="H1048" s="70"/>
      <c r="I1048" s="70"/>
      <c r="J1048" s="70"/>
    </row>
    <row r="1049" spans="1:10" ht="15" x14ac:dyDescent="0.2">
      <c r="A1049" s="70"/>
      <c r="B1049" s="70"/>
      <c r="C1049" s="70"/>
      <c r="D1049" s="70"/>
      <c r="E1049" s="70"/>
      <c r="F1049" s="70"/>
      <c r="G1049" s="70"/>
      <c r="H1049" s="70"/>
      <c r="I1049" s="70"/>
      <c r="J1049" s="70"/>
    </row>
    <row r="1050" spans="1:10" ht="15" x14ac:dyDescent="0.2">
      <c r="A1050" s="70"/>
      <c r="B1050" s="70"/>
      <c r="C1050" s="70"/>
      <c r="D1050" s="70"/>
      <c r="E1050" s="70"/>
      <c r="F1050" s="70"/>
      <c r="G1050" s="70"/>
      <c r="H1050" s="70"/>
      <c r="I1050" s="70"/>
      <c r="J1050" s="70"/>
    </row>
    <row r="1051" spans="1:10" ht="15" x14ac:dyDescent="0.2">
      <c r="A1051" s="70"/>
      <c r="B1051" s="70"/>
      <c r="C1051" s="70"/>
      <c r="D1051" s="70"/>
      <c r="E1051" s="70"/>
      <c r="F1051" s="70"/>
      <c r="G1051" s="70"/>
      <c r="H1051" s="70"/>
      <c r="I1051" s="70"/>
      <c r="J1051" s="70"/>
    </row>
    <row r="1052" spans="1:10" ht="15" x14ac:dyDescent="0.2">
      <c r="A1052" s="70"/>
      <c r="B1052" s="70"/>
      <c r="C1052" s="70"/>
      <c r="D1052" s="70"/>
      <c r="E1052" s="70"/>
      <c r="F1052" s="70"/>
      <c r="G1052" s="70"/>
      <c r="H1052" s="70"/>
      <c r="I1052" s="70"/>
      <c r="J1052" s="70"/>
    </row>
    <row r="1053" spans="1:10" ht="15" x14ac:dyDescent="0.2">
      <c r="A1053" s="70"/>
      <c r="B1053" s="70"/>
      <c r="C1053" s="70"/>
      <c r="D1053" s="70"/>
      <c r="E1053" s="70"/>
      <c r="F1053" s="70"/>
      <c r="G1053" s="70"/>
      <c r="H1053" s="70"/>
      <c r="I1053" s="70"/>
      <c r="J1053" s="70"/>
    </row>
    <row r="1054" spans="1:10" ht="15" x14ac:dyDescent="0.2">
      <c r="A1054" s="70"/>
      <c r="B1054" s="70"/>
      <c r="C1054" s="70"/>
      <c r="D1054" s="70"/>
      <c r="E1054" s="70"/>
      <c r="F1054" s="70"/>
      <c r="G1054" s="70"/>
      <c r="H1054" s="70"/>
      <c r="I1054" s="70"/>
      <c r="J1054" s="70"/>
    </row>
    <row r="1055" spans="1:10" ht="15" x14ac:dyDescent="0.2">
      <c r="A1055" s="70"/>
      <c r="B1055" s="70"/>
      <c r="C1055" s="70"/>
      <c r="D1055" s="70"/>
      <c r="E1055" s="70"/>
      <c r="F1055" s="70"/>
      <c r="G1055" s="70"/>
      <c r="H1055" s="70"/>
      <c r="I1055" s="70"/>
      <c r="J1055" s="70"/>
    </row>
    <row r="1056" spans="1:10" ht="15" x14ac:dyDescent="0.2">
      <c r="A1056" s="70"/>
      <c r="B1056" s="70"/>
      <c r="C1056" s="70"/>
      <c r="D1056" s="70"/>
      <c r="E1056" s="70"/>
      <c r="F1056" s="70"/>
      <c r="G1056" s="70"/>
      <c r="H1056" s="70"/>
      <c r="I1056" s="70"/>
      <c r="J1056" s="70"/>
    </row>
    <row r="1057" spans="1:10" ht="15" x14ac:dyDescent="0.2">
      <c r="A1057" s="70"/>
      <c r="B1057" s="70"/>
      <c r="C1057" s="70"/>
      <c r="D1057" s="70"/>
      <c r="E1057" s="70"/>
      <c r="F1057" s="70"/>
      <c r="G1057" s="70"/>
      <c r="H1057" s="70"/>
      <c r="I1057" s="70"/>
      <c r="J1057" s="70"/>
    </row>
    <row r="1058" spans="1:10" ht="15" x14ac:dyDescent="0.2">
      <c r="A1058" s="70"/>
      <c r="B1058" s="70"/>
      <c r="C1058" s="70"/>
      <c r="D1058" s="70"/>
      <c r="E1058" s="70"/>
      <c r="F1058" s="70"/>
      <c r="G1058" s="70"/>
      <c r="H1058" s="70"/>
      <c r="I1058" s="70"/>
      <c r="J1058" s="70"/>
    </row>
    <row r="1059" spans="1:10" ht="15" x14ac:dyDescent="0.2">
      <c r="A1059" s="70"/>
      <c r="B1059" s="70"/>
      <c r="C1059" s="70"/>
      <c r="D1059" s="70"/>
      <c r="E1059" s="70"/>
      <c r="F1059" s="70"/>
      <c r="G1059" s="70"/>
      <c r="H1059" s="70"/>
      <c r="I1059" s="70"/>
      <c r="J1059" s="70"/>
    </row>
    <row r="1060" spans="1:10" ht="15" x14ac:dyDescent="0.2">
      <c r="A1060" s="70"/>
      <c r="B1060" s="70"/>
      <c r="C1060" s="70"/>
      <c r="D1060" s="70"/>
      <c r="E1060" s="70"/>
      <c r="F1060" s="70"/>
      <c r="G1060" s="70"/>
      <c r="H1060" s="70"/>
      <c r="I1060" s="70"/>
      <c r="J1060" s="70"/>
    </row>
    <row r="1061" spans="1:10" ht="15" x14ac:dyDescent="0.2">
      <c r="A1061" s="70"/>
      <c r="B1061" s="70"/>
      <c r="C1061" s="70"/>
      <c r="D1061" s="70"/>
      <c r="E1061" s="70"/>
      <c r="F1061" s="70"/>
      <c r="G1061" s="70"/>
      <c r="H1061" s="70"/>
      <c r="I1061" s="70"/>
      <c r="J1061" s="70"/>
    </row>
    <row r="1062" spans="1:10" ht="15" x14ac:dyDescent="0.2">
      <c r="A1062" s="70"/>
      <c r="B1062" s="70"/>
      <c r="C1062" s="70"/>
      <c r="D1062" s="70"/>
      <c r="E1062" s="70"/>
      <c r="F1062" s="70"/>
      <c r="G1062" s="70"/>
      <c r="H1062" s="70"/>
      <c r="I1062" s="70"/>
      <c r="J1062" s="70"/>
    </row>
    <row r="1063" spans="1:10" ht="15" x14ac:dyDescent="0.2">
      <c r="A1063" s="70"/>
      <c r="B1063" s="70"/>
      <c r="C1063" s="70"/>
      <c r="D1063" s="70"/>
      <c r="E1063" s="70"/>
      <c r="F1063" s="70"/>
      <c r="G1063" s="70"/>
      <c r="H1063" s="70"/>
      <c r="I1063" s="70"/>
      <c r="J1063" s="70"/>
    </row>
    <row r="1064" spans="1:10" ht="15" x14ac:dyDescent="0.2">
      <c r="A1064" s="70"/>
      <c r="B1064" s="70"/>
      <c r="C1064" s="70"/>
      <c r="D1064" s="70"/>
      <c r="E1064" s="70"/>
      <c r="F1064" s="70"/>
      <c r="G1064" s="70"/>
      <c r="H1064" s="70"/>
      <c r="I1064" s="70"/>
      <c r="J1064" s="70"/>
    </row>
    <row r="1065" spans="1:10" ht="15" x14ac:dyDescent="0.2">
      <c r="A1065" s="70"/>
      <c r="B1065" s="70"/>
      <c r="C1065" s="70"/>
      <c r="D1065" s="70"/>
      <c r="E1065" s="70"/>
      <c r="F1065" s="70"/>
      <c r="G1065" s="70"/>
      <c r="H1065" s="70"/>
      <c r="I1065" s="70"/>
      <c r="J1065" s="70"/>
    </row>
    <row r="1066" spans="1:10" ht="15" x14ac:dyDescent="0.2">
      <c r="A1066" s="70"/>
      <c r="B1066" s="70"/>
      <c r="C1066" s="70"/>
      <c r="D1066" s="70"/>
      <c r="E1066" s="70"/>
      <c r="F1066" s="70"/>
      <c r="G1066" s="70"/>
      <c r="H1066" s="70"/>
      <c r="I1066" s="70"/>
      <c r="J1066" s="70"/>
    </row>
    <row r="1067" spans="1:10" ht="15" x14ac:dyDescent="0.2">
      <c r="A1067" s="70"/>
      <c r="B1067" s="70"/>
      <c r="C1067" s="70"/>
      <c r="D1067" s="70"/>
      <c r="E1067" s="70"/>
      <c r="F1067" s="70"/>
      <c r="G1067" s="70"/>
      <c r="H1067" s="70"/>
      <c r="I1067" s="70"/>
      <c r="J1067" s="70"/>
    </row>
    <row r="1068" spans="1:10" ht="15" x14ac:dyDescent="0.2">
      <c r="A1068" s="70"/>
      <c r="B1068" s="70"/>
      <c r="C1068" s="70"/>
      <c r="D1068" s="70"/>
      <c r="E1068" s="70"/>
      <c r="F1068" s="70"/>
      <c r="G1068" s="70"/>
      <c r="H1068" s="70"/>
      <c r="I1068" s="70"/>
      <c r="J1068" s="70"/>
    </row>
    <row r="1069" spans="1:10" ht="15" x14ac:dyDescent="0.2">
      <c r="A1069" s="70"/>
      <c r="B1069" s="70"/>
      <c r="C1069" s="70"/>
      <c r="D1069" s="70"/>
      <c r="E1069" s="70"/>
      <c r="F1069" s="70"/>
      <c r="G1069" s="70"/>
      <c r="H1069" s="70"/>
      <c r="I1069" s="70"/>
      <c r="J1069" s="70"/>
    </row>
    <row r="1070" spans="1:10" ht="15" x14ac:dyDescent="0.2">
      <c r="A1070" s="70"/>
      <c r="B1070" s="70"/>
      <c r="C1070" s="70"/>
      <c r="D1070" s="70"/>
      <c r="E1070" s="70"/>
      <c r="F1070" s="70"/>
      <c r="G1070" s="70"/>
      <c r="H1070" s="70"/>
      <c r="I1070" s="70"/>
      <c r="J1070" s="70"/>
    </row>
    <row r="1071" spans="1:10" ht="15" x14ac:dyDescent="0.2">
      <c r="A1071" s="70"/>
      <c r="B1071" s="70"/>
      <c r="C1071" s="70"/>
      <c r="D1071" s="70"/>
      <c r="E1071" s="70"/>
      <c r="F1071" s="70"/>
      <c r="G1071" s="70"/>
      <c r="H1071" s="70"/>
      <c r="I1071" s="70"/>
      <c r="J1071" s="70"/>
    </row>
    <row r="1072" spans="1:10" ht="15" x14ac:dyDescent="0.2">
      <c r="A1072" s="70"/>
      <c r="B1072" s="70"/>
      <c r="C1072" s="70"/>
      <c r="D1072" s="70"/>
      <c r="E1072" s="70"/>
      <c r="F1072" s="70"/>
      <c r="G1072" s="70"/>
      <c r="H1072" s="70"/>
      <c r="I1072" s="70"/>
      <c r="J1072" s="70"/>
    </row>
    <row r="1073" spans="1:10" ht="15" x14ac:dyDescent="0.2">
      <c r="A1073" s="70"/>
      <c r="B1073" s="70"/>
      <c r="C1073" s="70"/>
      <c r="D1073" s="70"/>
      <c r="E1073" s="70"/>
      <c r="F1073" s="70"/>
      <c r="G1073" s="70"/>
      <c r="H1073" s="70"/>
      <c r="I1073" s="70"/>
      <c r="J1073" s="70"/>
    </row>
    <row r="1074" spans="1:10" ht="15" x14ac:dyDescent="0.2">
      <c r="A1074" s="70"/>
      <c r="B1074" s="70"/>
      <c r="C1074" s="70"/>
      <c r="D1074" s="70"/>
      <c r="E1074" s="70"/>
      <c r="F1074" s="70"/>
      <c r="G1074" s="70"/>
      <c r="H1074" s="70"/>
      <c r="I1074" s="70"/>
      <c r="J1074" s="70"/>
    </row>
    <row r="1075" spans="1:10" ht="15" x14ac:dyDescent="0.2">
      <c r="A1075" s="70"/>
      <c r="B1075" s="70"/>
      <c r="C1075" s="70"/>
      <c r="D1075" s="70"/>
      <c r="E1075" s="70"/>
      <c r="F1075" s="70"/>
      <c r="G1075" s="70"/>
      <c r="H1075" s="70"/>
      <c r="I1075" s="70"/>
      <c r="J1075" s="70"/>
    </row>
    <row r="1076" spans="1:10" ht="15" x14ac:dyDescent="0.2">
      <c r="A1076" s="70"/>
      <c r="B1076" s="70"/>
      <c r="C1076" s="70"/>
      <c r="D1076" s="70"/>
      <c r="E1076" s="70"/>
      <c r="F1076" s="70"/>
      <c r="G1076" s="70"/>
      <c r="H1076" s="70"/>
      <c r="I1076" s="70"/>
      <c r="J1076" s="70"/>
    </row>
    <row r="1077" spans="1:10" ht="15" x14ac:dyDescent="0.2">
      <c r="A1077" s="70"/>
      <c r="B1077" s="70"/>
      <c r="C1077" s="70"/>
      <c r="D1077" s="70"/>
      <c r="E1077" s="70"/>
      <c r="F1077" s="70"/>
      <c r="G1077" s="70"/>
      <c r="H1077" s="70"/>
      <c r="I1077" s="70"/>
      <c r="J1077" s="70"/>
    </row>
    <row r="1078" spans="1:10" ht="15" x14ac:dyDescent="0.2">
      <c r="A1078" s="70"/>
      <c r="B1078" s="70"/>
      <c r="C1078" s="70"/>
      <c r="D1078" s="70"/>
      <c r="E1078" s="70"/>
      <c r="F1078" s="70"/>
      <c r="G1078" s="70"/>
      <c r="H1078" s="70"/>
      <c r="I1078" s="70"/>
      <c r="J1078" s="70"/>
    </row>
    <row r="1079" spans="1:10" ht="15" x14ac:dyDescent="0.2">
      <c r="A1079" s="70"/>
      <c r="B1079" s="70"/>
      <c r="C1079" s="70"/>
      <c r="D1079" s="70"/>
      <c r="E1079" s="70"/>
      <c r="F1079" s="70"/>
      <c r="G1079" s="70"/>
      <c r="H1079" s="70"/>
      <c r="I1079" s="70"/>
      <c r="J1079" s="70"/>
    </row>
    <row r="1080" spans="1:10" ht="15" x14ac:dyDescent="0.2">
      <c r="A1080" s="70"/>
      <c r="B1080" s="70"/>
      <c r="C1080" s="70"/>
      <c r="D1080" s="70"/>
      <c r="E1080" s="70"/>
      <c r="F1080" s="70"/>
      <c r="G1080" s="70"/>
      <c r="H1080" s="70"/>
      <c r="I1080" s="70"/>
      <c r="J1080" s="70"/>
    </row>
    <row r="1081" spans="1:10" ht="15" x14ac:dyDescent="0.2">
      <c r="A1081" s="70"/>
      <c r="B1081" s="70"/>
      <c r="C1081" s="70"/>
      <c r="D1081" s="70"/>
      <c r="E1081" s="70"/>
      <c r="F1081" s="70"/>
      <c r="G1081" s="70"/>
      <c r="H1081" s="70"/>
      <c r="I1081" s="70"/>
      <c r="J1081" s="70"/>
    </row>
    <row r="1082" spans="1:10" ht="15" x14ac:dyDescent="0.2">
      <c r="A1082" s="70"/>
      <c r="B1082" s="70"/>
      <c r="C1082" s="70"/>
      <c r="D1082" s="70"/>
      <c r="E1082" s="70"/>
      <c r="F1082" s="70"/>
      <c r="G1082" s="70"/>
      <c r="H1082" s="70"/>
      <c r="I1082" s="70"/>
      <c r="J1082" s="70"/>
    </row>
    <row r="1083" spans="1:10" ht="15" x14ac:dyDescent="0.2">
      <c r="A1083" s="70"/>
      <c r="B1083" s="70"/>
      <c r="C1083" s="70"/>
      <c r="D1083" s="70"/>
      <c r="E1083" s="70"/>
      <c r="F1083" s="70"/>
      <c r="G1083" s="70"/>
      <c r="H1083" s="70"/>
      <c r="I1083" s="70"/>
      <c r="J1083" s="70"/>
    </row>
    <row r="1084" spans="1:10" ht="15" x14ac:dyDescent="0.2">
      <c r="A1084" s="70"/>
      <c r="B1084" s="70"/>
      <c r="C1084" s="70"/>
      <c r="D1084" s="70"/>
      <c r="E1084" s="70"/>
      <c r="F1084" s="70"/>
      <c r="G1084" s="70"/>
      <c r="H1084" s="70"/>
      <c r="I1084" s="70"/>
      <c r="J1084" s="70"/>
    </row>
    <row r="1085" spans="1:10" ht="15" x14ac:dyDescent="0.2">
      <c r="A1085" s="70"/>
      <c r="B1085" s="70"/>
      <c r="C1085" s="70"/>
      <c r="D1085" s="70"/>
      <c r="E1085" s="70"/>
      <c r="F1085" s="70"/>
      <c r="G1085" s="70"/>
      <c r="H1085" s="70"/>
      <c r="I1085" s="70"/>
      <c r="J1085" s="70"/>
    </row>
    <row r="1086" spans="1:10" ht="15" x14ac:dyDescent="0.2">
      <c r="A1086" s="70"/>
      <c r="B1086" s="70"/>
      <c r="C1086" s="70"/>
      <c r="D1086" s="70"/>
      <c r="E1086" s="70"/>
      <c r="F1086" s="70"/>
      <c r="G1086" s="70"/>
      <c r="H1086" s="70"/>
      <c r="I1086" s="70"/>
      <c r="J1086" s="70"/>
    </row>
    <row r="1087" spans="1:10" ht="15" x14ac:dyDescent="0.2">
      <c r="A1087" s="70"/>
      <c r="B1087" s="70"/>
      <c r="C1087" s="70"/>
      <c r="D1087" s="70"/>
      <c r="E1087" s="70"/>
      <c r="F1087" s="70"/>
      <c r="G1087" s="70"/>
      <c r="H1087" s="70"/>
      <c r="I1087" s="70"/>
      <c r="J1087" s="70"/>
    </row>
    <row r="1088" spans="1:10" ht="15" x14ac:dyDescent="0.2">
      <c r="A1088" s="70"/>
      <c r="B1088" s="70"/>
      <c r="C1088" s="70"/>
      <c r="D1088" s="70"/>
      <c r="E1088" s="70"/>
      <c r="F1088" s="70"/>
      <c r="G1088" s="70"/>
      <c r="H1088" s="70"/>
      <c r="I1088" s="70"/>
      <c r="J1088" s="70"/>
    </row>
    <row r="1089" spans="1:10" ht="15" x14ac:dyDescent="0.2">
      <c r="A1089" s="70"/>
      <c r="B1089" s="70"/>
      <c r="C1089" s="70"/>
      <c r="D1089" s="70"/>
      <c r="E1089" s="70"/>
      <c r="F1089" s="70"/>
      <c r="G1089" s="70"/>
      <c r="H1089" s="70"/>
      <c r="I1089" s="70"/>
      <c r="J1089" s="70"/>
    </row>
    <row r="1090" spans="1:10" ht="15" x14ac:dyDescent="0.2">
      <c r="A1090" s="70"/>
      <c r="B1090" s="70"/>
      <c r="C1090" s="70"/>
      <c r="D1090" s="70"/>
      <c r="E1090" s="70"/>
      <c r="F1090" s="70"/>
      <c r="G1090" s="70"/>
      <c r="H1090" s="70"/>
      <c r="I1090" s="70"/>
      <c r="J1090" s="70"/>
    </row>
    <row r="1091" spans="1:10" ht="15" x14ac:dyDescent="0.2">
      <c r="A1091" s="70"/>
      <c r="B1091" s="70"/>
      <c r="C1091" s="70"/>
      <c r="D1091" s="70"/>
      <c r="E1091" s="70"/>
      <c r="F1091" s="70"/>
      <c r="G1091" s="70"/>
      <c r="H1091" s="70"/>
      <c r="I1091" s="70"/>
      <c r="J1091" s="70"/>
    </row>
    <row r="1092" spans="1:10" ht="15" x14ac:dyDescent="0.2">
      <c r="A1092" s="70"/>
      <c r="B1092" s="70"/>
      <c r="C1092" s="70"/>
      <c r="D1092" s="70"/>
      <c r="E1092" s="70"/>
      <c r="F1092" s="70"/>
      <c r="G1092" s="70"/>
      <c r="H1092" s="70"/>
      <c r="I1092" s="70"/>
      <c r="J1092" s="70"/>
    </row>
    <row r="1093" spans="1:10" ht="15" x14ac:dyDescent="0.2">
      <c r="A1093" s="70"/>
      <c r="B1093" s="70"/>
      <c r="C1093" s="70"/>
      <c r="D1093" s="70"/>
      <c r="E1093" s="70"/>
      <c r="F1093" s="70"/>
      <c r="G1093" s="70"/>
      <c r="H1093" s="70"/>
      <c r="I1093" s="70"/>
      <c r="J1093" s="70"/>
    </row>
    <row r="1094" spans="1:10" ht="15" x14ac:dyDescent="0.2">
      <c r="A1094" s="70"/>
      <c r="B1094" s="70"/>
      <c r="C1094" s="70"/>
      <c r="D1094" s="70"/>
      <c r="E1094" s="70"/>
      <c r="F1094" s="70"/>
      <c r="G1094" s="70"/>
      <c r="H1094" s="70"/>
      <c r="I1094" s="70"/>
      <c r="J1094" s="70"/>
    </row>
    <row r="1095" spans="1:10" ht="15" x14ac:dyDescent="0.2">
      <c r="A1095" s="70"/>
      <c r="B1095" s="70"/>
      <c r="C1095" s="70"/>
      <c r="D1095" s="70"/>
      <c r="E1095" s="70"/>
      <c r="F1095" s="70"/>
      <c r="G1095" s="70"/>
      <c r="H1095" s="70"/>
      <c r="I1095" s="70"/>
      <c r="J1095" s="70"/>
    </row>
    <row r="1096" spans="1:10" ht="15" x14ac:dyDescent="0.2">
      <c r="A1096" s="70"/>
      <c r="B1096" s="70"/>
      <c r="C1096" s="70"/>
      <c r="D1096" s="70"/>
      <c r="E1096" s="70"/>
      <c r="F1096" s="70"/>
      <c r="G1096" s="70"/>
      <c r="H1096" s="70"/>
      <c r="I1096" s="70"/>
      <c r="J1096" s="70"/>
    </row>
    <row r="1097" spans="1:10" ht="15" x14ac:dyDescent="0.2">
      <c r="A1097" s="70"/>
      <c r="B1097" s="70"/>
      <c r="C1097" s="70"/>
      <c r="D1097" s="70"/>
      <c r="E1097" s="70"/>
      <c r="F1097" s="70"/>
      <c r="G1097" s="70"/>
      <c r="H1097" s="70"/>
      <c r="I1097" s="70"/>
      <c r="J1097" s="70"/>
    </row>
    <row r="1098" spans="1:10" ht="15" x14ac:dyDescent="0.2">
      <c r="A1098" s="70"/>
      <c r="B1098" s="70"/>
      <c r="C1098" s="70"/>
      <c r="D1098" s="70"/>
      <c r="E1098" s="70"/>
      <c r="F1098" s="70"/>
      <c r="G1098" s="70"/>
      <c r="H1098" s="70"/>
      <c r="I1098" s="70"/>
      <c r="J1098" s="70"/>
    </row>
    <row r="1099" spans="1:10" ht="15" x14ac:dyDescent="0.2">
      <c r="A1099" s="70"/>
      <c r="B1099" s="70"/>
      <c r="C1099" s="70"/>
      <c r="D1099" s="70"/>
      <c r="E1099" s="70"/>
      <c r="F1099" s="70"/>
      <c r="G1099" s="70"/>
      <c r="H1099" s="70"/>
      <c r="I1099" s="70"/>
      <c r="J1099" s="70"/>
    </row>
    <row r="1100" spans="1:10" ht="15" x14ac:dyDescent="0.2">
      <c r="A1100" s="70"/>
      <c r="B1100" s="70"/>
      <c r="C1100" s="70"/>
      <c r="D1100" s="70"/>
      <c r="E1100" s="70"/>
      <c r="F1100" s="70"/>
      <c r="G1100" s="70"/>
      <c r="H1100" s="70"/>
      <c r="I1100" s="70"/>
      <c r="J1100" s="70"/>
    </row>
    <row r="1101" spans="1:10" ht="15" x14ac:dyDescent="0.2">
      <c r="A1101" s="70"/>
      <c r="B1101" s="70"/>
      <c r="C1101" s="70"/>
      <c r="D1101" s="70"/>
      <c r="E1101" s="70"/>
      <c r="F1101" s="70"/>
      <c r="G1101" s="70"/>
      <c r="H1101" s="70"/>
      <c r="I1101" s="70"/>
      <c r="J1101" s="70"/>
    </row>
    <row r="1102" spans="1:10" ht="15" x14ac:dyDescent="0.2">
      <c r="A1102" s="70"/>
      <c r="B1102" s="70"/>
      <c r="C1102" s="70"/>
      <c r="D1102" s="70"/>
      <c r="E1102" s="70"/>
      <c r="F1102" s="70"/>
      <c r="G1102" s="70"/>
      <c r="H1102" s="70"/>
      <c r="I1102" s="70"/>
      <c r="J1102" s="70"/>
    </row>
    <row r="1103" spans="1:10" ht="15" x14ac:dyDescent="0.2">
      <c r="A1103" s="70"/>
      <c r="B1103" s="70"/>
      <c r="C1103" s="70"/>
      <c r="D1103" s="70"/>
      <c r="E1103" s="70"/>
      <c r="F1103" s="70"/>
      <c r="G1103" s="70"/>
      <c r="H1103" s="70"/>
      <c r="I1103" s="70"/>
      <c r="J1103" s="70"/>
    </row>
    <row r="1104" spans="1:10" ht="15" x14ac:dyDescent="0.2">
      <c r="A1104" s="70"/>
      <c r="B1104" s="70"/>
      <c r="C1104" s="70"/>
      <c r="D1104" s="70"/>
      <c r="E1104" s="70"/>
      <c r="F1104" s="70"/>
      <c r="G1104" s="70"/>
      <c r="H1104" s="70"/>
      <c r="I1104" s="70"/>
      <c r="J1104" s="70"/>
    </row>
    <row r="1105" spans="1:10" ht="15" x14ac:dyDescent="0.2">
      <c r="A1105" s="70"/>
      <c r="B1105" s="70"/>
      <c r="C1105" s="70"/>
      <c r="D1105" s="70"/>
      <c r="E1105" s="70"/>
      <c r="F1105" s="70"/>
      <c r="G1105" s="70"/>
      <c r="H1105" s="70"/>
      <c r="I1105" s="70"/>
      <c r="J1105" s="70"/>
    </row>
    <row r="1106" spans="1:10" ht="15" x14ac:dyDescent="0.2">
      <c r="A1106" s="70"/>
      <c r="B1106" s="70"/>
      <c r="C1106" s="70"/>
      <c r="D1106" s="70"/>
      <c r="E1106" s="70"/>
      <c r="F1106" s="70"/>
      <c r="G1106" s="70"/>
      <c r="H1106" s="70"/>
      <c r="I1106" s="70"/>
      <c r="J1106" s="70"/>
    </row>
    <row r="1107" spans="1:10" ht="15" x14ac:dyDescent="0.2">
      <c r="A1107" s="70"/>
      <c r="B1107" s="70"/>
      <c r="C1107" s="70"/>
      <c r="D1107" s="70"/>
      <c r="E1107" s="70"/>
      <c r="F1107" s="70"/>
      <c r="G1107" s="70"/>
      <c r="H1107" s="70"/>
      <c r="I1107" s="70"/>
      <c r="J1107" s="70"/>
    </row>
    <row r="1108" spans="1:10" ht="15" x14ac:dyDescent="0.2">
      <c r="A1108" s="70"/>
      <c r="B1108" s="70"/>
      <c r="C1108" s="70"/>
      <c r="D1108" s="70"/>
      <c r="E1108" s="70"/>
      <c r="F1108" s="70"/>
      <c r="G1108" s="70"/>
      <c r="H1108" s="70"/>
      <c r="I1108" s="70"/>
      <c r="J1108" s="70"/>
    </row>
    <row r="1109" spans="1:10" ht="15" x14ac:dyDescent="0.2">
      <c r="A1109" s="70"/>
      <c r="B1109" s="70"/>
      <c r="C1109" s="70"/>
      <c r="D1109" s="70"/>
      <c r="E1109" s="70"/>
      <c r="F1109" s="70"/>
      <c r="G1109" s="70"/>
      <c r="H1109" s="70"/>
      <c r="I1109" s="70"/>
      <c r="J1109" s="70"/>
    </row>
    <row r="1110" spans="1:10" ht="15" x14ac:dyDescent="0.2">
      <c r="A1110" s="70"/>
      <c r="B1110" s="70"/>
      <c r="C1110" s="70"/>
      <c r="D1110" s="70"/>
      <c r="E1110" s="70"/>
      <c r="F1110" s="70"/>
      <c r="G1110" s="70"/>
      <c r="H1110" s="70"/>
      <c r="I1110" s="70"/>
      <c r="J1110" s="70"/>
    </row>
    <row r="1111" spans="1:10" ht="15" x14ac:dyDescent="0.2">
      <c r="A1111" s="70"/>
      <c r="B1111" s="70"/>
      <c r="C1111" s="70"/>
      <c r="D1111" s="70"/>
      <c r="E1111" s="70"/>
      <c r="F1111" s="70"/>
      <c r="G1111" s="70"/>
      <c r="H1111" s="70"/>
      <c r="I1111" s="70"/>
      <c r="J1111" s="70"/>
    </row>
    <row r="1112" spans="1:10" ht="15" x14ac:dyDescent="0.2">
      <c r="A1112" s="70"/>
      <c r="B1112" s="70"/>
      <c r="C1112" s="70"/>
      <c r="D1112" s="70"/>
      <c r="E1112" s="70"/>
      <c r="F1112" s="70"/>
      <c r="G1112" s="70"/>
      <c r="H1112" s="70"/>
      <c r="I1112" s="70"/>
      <c r="J1112" s="70"/>
    </row>
    <row r="1113" spans="1:10" ht="15" x14ac:dyDescent="0.2">
      <c r="A1113" s="70"/>
      <c r="B1113" s="70"/>
      <c r="C1113" s="70"/>
      <c r="D1113" s="70"/>
      <c r="E1113" s="70"/>
      <c r="F1113" s="70"/>
      <c r="G1113" s="70"/>
      <c r="H1113" s="70"/>
      <c r="I1113" s="70"/>
      <c r="J1113" s="70"/>
    </row>
    <row r="1114" spans="1:10" ht="15" x14ac:dyDescent="0.2">
      <c r="A1114" s="70"/>
      <c r="B1114" s="70"/>
      <c r="C1114" s="70"/>
      <c r="D1114" s="70"/>
      <c r="E1114" s="70"/>
      <c r="F1114" s="70"/>
      <c r="G1114" s="70"/>
      <c r="H1114" s="70"/>
      <c r="I1114" s="70"/>
      <c r="J1114" s="70"/>
    </row>
    <row r="1115" spans="1:10" ht="15" x14ac:dyDescent="0.2">
      <c r="A1115" s="70"/>
      <c r="B1115" s="70"/>
      <c r="C1115" s="70"/>
      <c r="D1115" s="70"/>
      <c r="E1115" s="70"/>
      <c r="F1115" s="70"/>
      <c r="G1115" s="70"/>
      <c r="H1115" s="70"/>
      <c r="I1115" s="70"/>
      <c r="J1115" s="70"/>
    </row>
    <row r="1116" spans="1:10" ht="15" x14ac:dyDescent="0.2">
      <c r="A1116" s="70"/>
      <c r="B1116" s="70"/>
      <c r="C1116" s="70"/>
      <c r="D1116" s="70"/>
      <c r="E1116" s="70"/>
      <c r="F1116" s="70"/>
      <c r="G1116" s="70"/>
      <c r="H1116" s="70"/>
      <c r="I1116" s="70"/>
      <c r="J1116" s="70"/>
    </row>
    <row r="1117" spans="1:10" ht="15" x14ac:dyDescent="0.2">
      <c r="A1117" s="70"/>
      <c r="B1117" s="70"/>
      <c r="C1117" s="70"/>
      <c r="D1117" s="70"/>
      <c r="E1117" s="70"/>
      <c r="F1117" s="70"/>
      <c r="G1117" s="70"/>
      <c r="H1117" s="70"/>
      <c r="I1117" s="70"/>
      <c r="J1117" s="70"/>
    </row>
    <row r="1118" spans="1:10" ht="15" x14ac:dyDescent="0.2">
      <c r="A1118" s="70"/>
      <c r="B1118" s="70"/>
      <c r="C1118" s="70"/>
      <c r="D1118" s="70"/>
      <c r="E1118" s="70"/>
      <c r="F1118" s="70"/>
      <c r="G1118" s="70"/>
      <c r="H1118" s="70"/>
      <c r="I1118" s="70"/>
      <c r="J1118" s="70"/>
    </row>
    <row r="1119" spans="1:10" ht="15" x14ac:dyDescent="0.2">
      <c r="A1119" s="70"/>
      <c r="B1119" s="70"/>
      <c r="C1119" s="70"/>
      <c r="D1119" s="70"/>
      <c r="E1119" s="70"/>
      <c r="F1119" s="70"/>
      <c r="G1119" s="70"/>
      <c r="H1119" s="70"/>
      <c r="I1119" s="70"/>
      <c r="J1119" s="70"/>
    </row>
    <row r="1120" spans="1:10" ht="15" x14ac:dyDescent="0.2">
      <c r="A1120" s="70"/>
      <c r="B1120" s="70"/>
      <c r="C1120" s="70"/>
      <c r="D1120" s="70"/>
      <c r="E1120" s="70"/>
      <c r="F1120" s="70"/>
      <c r="G1120" s="70"/>
      <c r="H1120" s="70"/>
      <c r="I1120" s="70"/>
      <c r="J1120" s="70"/>
    </row>
    <row r="1121" spans="1:10" ht="15" x14ac:dyDescent="0.2">
      <c r="A1121" s="70"/>
      <c r="B1121" s="70"/>
      <c r="C1121" s="70"/>
      <c r="D1121" s="70"/>
      <c r="E1121" s="70"/>
      <c r="F1121" s="70"/>
      <c r="G1121" s="70"/>
      <c r="H1121" s="70"/>
      <c r="I1121" s="70"/>
      <c r="J1121" s="70"/>
    </row>
    <row r="1122" spans="1:10" ht="15" x14ac:dyDescent="0.2">
      <c r="A1122" s="70"/>
      <c r="B1122" s="70"/>
      <c r="C1122" s="70"/>
      <c r="D1122" s="70"/>
      <c r="E1122" s="70"/>
      <c r="F1122" s="70"/>
      <c r="G1122" s="70"/>
      <c r="H1122" s="70"/>
      <c r="I1122" s="70"/>
      <c r="J1122" s="70"/>
    </row>
    <row r="1123" spans="1:10" ht="15" x14ac:dyDescent="0.2">
      <c r="A1123" s="70"/>
      <c r="B1123" s="70"/>
      <c r="C1123" s="70"/>
      <c r="D1123" s="70"/>
      <c r="E1123" s="70"/>
      <c r="F1123" s="70"/>
      <c r="G1123" s="70"/>
      <c r="H1123" s="70"/>
      <c r="I1123" s="70"/>
      <c r="J1123" s="70"/>
    </row>
    <row r="1124" spans="1:10" ht="15" x14ac:dyDescent="0.2">
      <c r="A1124" s="70"/>
      <c r="B1124" s="70"/>
      <c r="C1124" s="70"/>
      <c r="D1124" s="70"/>
      <c r="E1124" s="70"/>
      <c r="F1124" s="70"/>
      <c r="G1124" s="70"/>
      <c r="H1124" s="70"/>
      <c r="I1124" s="70"/>
      <c r="J1124" s="70"/>
    </row>
    <row r="1125" spans="1:10" ht="15" x14ac:dyDescent="0.2">
      <c r="A1125" s="70"/>
      <c r="B1125" s="70"/>
      <c r="C1125" s="70"/>
      <c r="D1125" s="70"/>
      <c r="E1125" s="70"/>
      <c r="F1125" s="70"/>
      <c r="G1125" s="70"/>
      <c r="H1125" s="70"/>
      <c r="I1125" s="70"/>
      <c r="J1125" s="70"/>
    </row>
    <row r="1126" spans="1:10" ht="15" x14ac:dyDescent="0.2">
      <c r="A1126" s="70"/>
      <c r="B1126" s="70"/>
      <c r="C1126" s="70"/>
      <c r="D1126" s="70"/>
      <c r="E1126" s="70"/>
      <c r="F1126" s="70"/>
      <c r="G1126" s="70"/>
      <c r="H1126" s="70"/>
      <c r="I1126" s="70"/>
      <c r="J1126" s="70"/>
    </row>
    <row r="1127" spans="1:10" ht="15" x14ac:dyDescent="0.2">
      <c r="A1127" s="70"/>
      <c r="B1127" s="70"/>
      <c r="C1127" s="70"/>
      <c r="D1127" s="70"/>
      <c r="E1127" s="70"/>
      <c r="F1127" s="70"/>
      <c r="G1127" s="70"/>
      <c r="H1127" s="70"/>
      <c r="I1127" s="70"/>
      <c r="J1127" s="70"/>
    </row>
    <row r="1128" spans="1:10" ht="15" x14ac:dyDescent="0.2">
      <c r="A1128" s="70"/>
      <c r="B1128" s="70"/>
      <c r="C1128" s="70"/>
      <c r="D1128" s="70"/>
      <c r="E1128" s="70"/>
      <c r="F1128" s="70"/>
      <c r="G1128" s="70"/>
      <c r="H1128" s="70"/>
      <c r="I1128" s="70"/>
      <c r="J1128" s="70"/>
    </row>
    <row r="1129" spans="1:10" ht="15" x14ac:dyDescent="0.2">
      <c r="A1129" s="70"/>
      <c r="B1129" s="70"/>
      <c r="C1129" s="70"/>
      <c r="D1129" s="70"/>
      <c r="E1129" s="70"/>
      <c r="F1129" s="70"/>
      <c r="G1129" s="70"/>
      <c r="H1129" s="70"/>
      <c r="I1129" s="70"/>
      <c r="J1129" s="70"/>
    </row>
    <row r="1130" spans="1:10" ht="15" x14ac:dyDescent="0.2">
      <c r="A1130" s="70"/>
      <c r="B1130" s="70"/>
      <c r="C1130" s="70"/>
      <c r="D1130" s="70"/>
      <c r="E1130" s="70"/>
      <c r="F1130" s="70"/>
      <c r="G1130" s="70"/>
      <c r="H1130" s="70"/>
      <c r="I1130" s="70"/>
      <c r="J1130" s="70"/>
    </row>
    <row r="1131" spans="1:10" ht="15" x14ac:dyDescent="0.2">
      <c r="A1131" s="70"/>
      <c r="B1131" s="70"/>
      <c r="C1131" s="70"/>
      <c r="D1131" s="70"/>
      <c r="E1131" s="70"/>
      <c r="F1131" s="70"/>
      <c r="G1131" s="70"/>
      <c r="H1131" s="70"/>
      <c r="I1131" s="70"/>
      <c r="J1131" s="70"/>
    </row>
    <row r="1132" spans="1:10" ht="15" x14ac:dyDescent="0.2">
      <c r="A1132" s="70"/>
      <c r="B1132" s="70"/>
      <c r="C1132" s="70"/>
      <c r="D1132" s="70"/>
      <c r="E1132" s="70"/>
      <c r="F1132" s="70"/>
      <c r="G1132" s="70"/>
      <c r="H1132" s="70"/>
      <c r="I1132" s="70"/>
      <c r="J1132" s="70"/>
    </row>
    <row r="1133" spans="1:10" ht="15" x14ac:dyDescent="0.2">
      <c r="A1133" s="70"/>
      <c r="B1133" s="70"/>
      <c r="C1133" s="70"/>
      <c r="D1133" s="70"/>
      <c r="E1133" s="70"/>
      <c r="F1133" s="70"/>
      <c r="G1133" s="70"/>
      <c r="H1133" s="70"/>
      <c r="I1133" s="70"/>
      <c r="J1133" s="70"/>
    </row>
    <row r="1134" spans="1:10" ht="15" x14ac:dyDescent="0.2">
      <c r="A1134" s="70"/>
      <c r="B1134" s="70"/>
      <c r="C1134" s="70"/>
      <c r="D1134" s="70"/>
      <c r="E1134" s="70"/>
      <c r="F1134" s="70"/>
      <c r="G1134" s="70"/>
      <c r="H1134" s="70"/>
      <c r="I1134" s="70"/>
      <c r="J1134" s="70"/>
    </row>
    <row r="1135" spans="1:10" ht="15" x14ac:dyDescent="0.2">
      <c r="A1135" s="70"/>
      <c r="B1135" s="70"/>
      <c r="C1135" s="70"/>
      <c r="D1135" s="70"/>
      <c r="E1135" s="70"/>
      <c r="F1135" s="70"/>
      <c r="G1135" s="70"/>
      <c r="H1135" s="70"/>
      <c r="I1135" s="70"/>
      <c r="J1135" s="70"/>
    </row>
    <row r="1136" spans="1:10" ht="15" x14ac:dyDescent="0.2">
      <c r="A1136" s="70"/>
      <c r="B1136" s="70"/>
      <c r="C1136" s="70"/>
      <c r="D1136" s="70"/>
      <c r="E1136" s="70"/>
      <c r="F1136" s="70"/>
      <c r="G1136" s="70"/>
      <c r="H1136" s="70"/>
      <c r="I1136" s="70"/>
      <c r="J1136" s="70"/>
    </row>
    <row r="1137" spans="1:10" ht="15" x14ac:dyDescent="0.2">
      <c r="A1137" s="70"/>
      <c r="B1137" s="70"/>
      <c r="C1137" s="70"/>
      <c r="D1137" s="70"/>
      <c r="E1137" s="70"/>
      <c r="F1137" s="70"/>
      <c r="G1137" s="70"/>
      <c r="H1137" s="70"/>
      <c r="I1137" s="70"/>
      <c r="J1137" s="70"/>
    </row>
    <row r="1138" spans="1:10" ht="15" x14ac:dyDescent="0.2">
      <c r="A1138" s="70"/>
      <c r="B1138" s="70"/>
      <c r="C1138" s="70"/>
      <c r="D1138" s="70"/>
      <c r="E1138" s="70"/>
      <c r="F1138" s="70"/>
      <c r="G1138" s="70"/>
      <c r="H1138" s="70"/>
      <c r="I1138" s="70"/>
      <c r="J1138" s="70"/>
    </row>
    <row r="1139" spans="1:10" ht="15" x14ac:dyDescent="0.2">
      <c r="A1139" s="70"/>
      <c r="B1139" s="70"/>
      <c r="C1139" s="70"/>
      <c r="D1139" s="70"/>
      <c r="E1139" s="70"/>
      <c r="F1139" s="70"/>
      <c r="G1139" s="70"/>
      <c r="H1139" s="70"/>
      <c r="I1139" s="70"/>
      <c r="J1139" s="70"/>
    </row>
    <row r="1140" spans="1:10" ht="15" x14ac:dyDescent="0.2">
      <c r="A1140" s="70"/>
      <c r="B1140" s="70"/>
      <c r="C1140" s="70"/>
      <c r="D1140" s="70"/>
      <c r="E1140" s="70"/>
      <c r="F1140" s="70"/>
      <c r="G1140" s="70"/>
      <c r="H1140" s="70"/>
      <c r="I1140" s="70"/>
      <c r="J1140" s="70"/>
    </row>
    <row r="1141" spans="1:10" ht="15" x14ac:dyDescent="0.2">
      <c r="A1141" s="70"/>
      <c r="B1141" s="70"/>
      <c r="C1141" s="70"/>
      <c r="D1141" s="70"/>
      <c r="E1141" s="70"/>
      <c r="F1141" s="70"/>
      <c r="G1141" s="70"/>
      <c r="H1141" s="70"/>
      <c r="I1141" s="70"/>
      <c r="J1141" s="70"/>
    </row>
    <row r="1142" spans="1:10" ht="15" x14ac:dyDescent="0.2">
      <c r="A1142" s="70"/>
      <c r="B1142" s="70"/>
      <c r="C1142" s="70"/>
      <c r="D1142" s="70"/>
      <c r="E1142" s="70"/>
      <c r="F1142" s="70"/>
      <c r="G1142" s="70"/>
      <c r="H1142" s="70"/>
      <c r="I1142" s="70"/>
      <c r="J1142" s="70"/>
    </row>
    <row r="1143" spans="1:10" ht="15" x14ac:dyDescent="0.2">
      <c r="A1143" s="70"/>
      <c r="B1143" s="70"/>
      <c r="C1143" s="70"/>
      <c r="D1143" s="70"/>
      <c r="E1143" s="70"/>
      <c r="F1143" s="70"/>
      <c r="G1143" s="70"/>
      <c r="H1143" s="70"/>
      <c r="I1143" s="70"/>
      <c r="J1143" s="70"/>
    </row>
    <row r="1144" spans="1:10" ht="15" x14ac:dyDescent="0.2">
      <c r="A1144" s="70"/>
      <c r="B1144" s="70"/>
      <c r="C1144" s="70"/>
      <c r="D1144" s="70"/>
      <c r="E1144" s="70"/>
      <c r="F1144" s="70"/>
      <c r="G1144" s="70"/>
      <c r="H1144" s="70"/>
      <c r="I1144" s="70"/>
      <c r="J1144" s="70"/>
    </row>
    <row r="1145" spans="1:10" ht="15" x14ac:dyDescent="0.2">
      <c r="A1145" s="70"/>
      <c r="B1145" s="70"/>
      <c r="C1145" s="70"/>
      <c r="D1145" s="70"/>
      <c r="E1145" s="70"/>
      <c r="F1145" s="70"/>
      <c r="G1145" s="70"/>
      <c r="H1145" s="70"/>
      <c r="I1145" s="70"/>
      <c r="J1145" s="70"/>
    </row>
    <row r="1146" spans="1:10" ht="15" x14ac:dyDescent="0.2">
      <c r="A1146" s="70"/>
      <c r="B1146" s="70"/>
      <c r="C1146" s="70"/>
      <c r="D1146" s="70"/>
      <c r="E1146" s="70"/>
      <c r="F1146" s="70"/>
      <c r="G1146" s="70"/>
      <c r="H1146" s="70"/>
      <c r="I1146" s="70"/>
      <c r="J1146" s="70"/>
    </row>
    <row r="1147" spans="1:10" ht="15" x14ac:dyDescent="0.2">
      <c r="A1147" s="70"/>
      <c r="B1147" s="70"/>
      <c r="C1147" s="70"/>
      <c r="D1147" s="70"/>
      <c r="E1147" s="70"/>
      <c r="F1147" s="70"/>
      <c r="G1147" s="70"/>
      <c r="H1147" s="70"/>
      <c r="I1147" s="70"/>
      <c r="J1147" s="70"/>
    </row>
    <row r="1148" spans="1:10" ht="15" x14ac:dyDescent="0.2">
      <c r="A1148" s="70"/>
      <c r="B1148" s="70"/>
      <c r="C1148" s="70"/>
      <c r="D1148" s="70"/>
      <c r="E1148" s="70"/>
      <c r="F1148" s="70"/>
      <c r="G1148" s="70"/>
      <c r="H1148" s="70"/>
      <c r="I1148" s="70"/>
      <c r="J1148" s="70"/>
    </row>
    <row r="1149" spans="1:10" ht="15" x14ac:dyDescent="0.2">
      <c r="A1149" s="70"/>
      <c r="B1149" s="70"/>
      <c r="C1149" s="70"/>
      <c r="D1149" s="70"/>
      <c r="E1149" s="70"/>
      <c r="F1149" s="70"/>
      <c r="G1149" s="70"/>
      <c r="H1149" s="70"/>
      <c r="I1149" s="70"/>
      <c r="J1149" s="70"/>
    </row>
    <row r="1150" spans="1:10" ht="15" x14ac:dyDescent="0.2">
      <c r="A1150" s="70"/>
      <c r="B1150" s="70"/>
      <c r="C1150" s="70"/>
      <c r="D1150" s="70"/>
      <c r="E1150" s="70"/>
      <c r="F1150" s="70"/>
      <c r="G1150" s="70"/>
      <c r="H1150" s="70"/>
      <c r="I1150" s="70"/>
      <c r="J1150" s="70"/>
    </row>
    <row r="1151" spans="1:10" ht="15" x14ac:dyDescent="0.2">
      <c r="A1151" s="70"/>
      <c r="B1151" s="70"/>
      <c r="C1151" s="70"/>
      <c r="D1151" s="70"/>
      <c r="E1151" s="70"/>
      <c r="F1151" s="70"/>
      <c r="G1151" s="70"/>
      <c r="H1151" s="70"/>
      <c r="I1151" s="70"/>
      <c r="J1151" s="70"/>
    </row>
    <row r="1152" spans="1:10" ht="15" x14ac:dyDescent="0.2">
      <c r="A1152" s="70"/>
      <c r="B1152" s="70"/>
      <c r="C1152" s="70"/>
      <c r="D1152" s="70"/>
      <c r="E1152" s="70"/>
      <c r="F1152" s="70"/>
      <c r="G1152" s="70"/>
      <c r="H1152" s="70"/>
      <c r="I1152" s="70"/>
      <c r="J1152" s="70"/>
    </row>
    <row r="1153" spans="1:10" ht="15" x14ac:dyDescent="0.2">
      <c r="A1153" s="70"/>
      <c r="B1153" s="70"/>
      <c r="C1153" s="70"/>
      <c r="D1153" s="70"/>
      <c r="E1153" s="70"/>
      <c r="F1153" s="70"/>
      <c r="G1153" s="70"/>
      <c r="H1153" s="70"/>
      <c r="I1153" s="70"/>
      <c r="J1153" s="70"/>
    </row>
    <row r="1154" spans="1:10" ht="15" x14ac:dyDescent="0.2">
      <c r="A1154" s="70"/>
      <c r="B1154" s="70"/>
      <c r="C1154" s="70"/>
      <c r="D1154" s="70"/>
      <c r="E1154" s="70"/>
      <c r="F1154" s="70"/>
      <c r="G1154" s="70"/>
      <c r="H1154" s="70"/>
      <c r="I1154" s="70"/>
      <c r="J1154" s="70"/>
    </row>
    <row r="1155" spans="1:10" ht="15" x14ac:dyDescent="0.2">
      <c r="A1155" s="70"/>
      <c r="B1155" s="70"/>
      <c r="C1155" s="70"/>
      <c r="D1155" s="70"/>
      <c r="E1155" s="70"/>
      <c r="F1155" s="70"/>
      <c r="G1155" s="70"/>
      <c r="H1155" s="70"/>
      <c r="I1155" s="70"/>
      <c r="J1155" s="70"/>
    </row>
    <row r="1156" spans="1:10" ht="15" x14ac:dyDescent="0.2">
      <c r="A1156" s="70"/>
      <c r="B1156" s="70"/>
      <c r="C1156" s="70"/>
      <c r="D1156" s="70"/>
      <c r="E1156" s="70"/>
      <c r="F1156" s="70"/>
      <c r="G1156" s="70"/>
      <c r="H1156" s="70"/>
      <c r="I1156" s="70"/>
      <c r="J1156" s="70"/>
    </row>
    <row r="1157" spans="1:10" ht="15" x14ac:dyDescent="0.2">
      <c r="A1157" s="70"/>
      <c r="B1157" s="70"/>
      <c r="C1157" s="70"/>
      <c r="D1157" s="70"/>
      <c r="E1157" s="70"/>
      <c r="F1157" s="70"/>
      <c r="G1157" s="70"/>
      <c r="H1157" s="70"/>
      <c r="I1157" s="70"/>
      <c r="J1157" s="70"/>
    </row>
    <row r="1158" spans="1:10" ht="15" x14ac:dyDescent="0.2">
      <c r="A1158" s="70"/>
      <c r="B1158" s="70"/>
      <c r="C1158" s="70"/>
      <c r="D1158" s="70"/>
      <c r="E1158" s="70"/>
      <c r="F1158" s="70"/>
      <c r="G1158" s="70"/>
      <c r="H1158" s="70"/>
      <c r="I1158" s="70"/>
      <c r="J1158" s="70"/>
    </row>
    <row r="1159" spans="1:10" ht="15" x14ac:dyDescent="0.2">
      <c r="A1159" s="70"/>
      <c r="B1159" s="70"/>
      <c r="C1159" s="70"/>
      <c r="D1159" s="70"/>
      <c r="E1159" s="70"/>
      <c r="F1159" s="70"/>
      <c r="G1159" s="70"/>
      <c r="H1159" s="70"/>
      <c r="I1159" s="70"/>
      <c r="J1159" s="70"/>
    </row>
    <row r="1160" spans="1:10" ht="15" x14ac:dyDescent="0.2">
      <c r="A1160" s="70"/>
      <c r="B1160" s="70"/>
      <c r="C1160" s="70"/>
      <c r="D1160" s="70"/>
      <c r="E1160" s="70"/>
      <c r="F1160" s="70"/>
      <c r="G1160" s="70"/>
      <c r="H1160" s="70"/>
      <c r="I1160" s="70"/>
      <c r="J1160" s="70"/>
    </row>
    <row r="1161" spans="1:10" ht="15" x14ac:dyDescent="0.2">
      <c r="A1161" s="70"/>
      <c r="B1161" s="70"/>
      <c r="C1161" s="70"/>
      <c r="D1161" s="70"/>
      <c r="E1161" s="70"/>
      <c r="F1161" s="70"/>
      <c r="G1161" s="70"/>
      <c r="H1161" s="70"/>
      <c r="I1161" s="70"/>
      <c r="J1161" s="70"/>
    </row>
    <row r="1162" spans="1:10" ht="15" x14ac:dyDescent="0.2">
      <c r="A1162" s="70"/>
      <c r="B1162" s="70"/>
      <c r="C1162" s="70"/>
      <c r="D1162" s="70"/>
      <c r="E1162" s="70"/>
      <c r="F1162" s="70"/>
      <c r="G1162" s="70"/>
      <c r="H1162" s="70"/>
      <c r="I1162" s="70"/>
      <c r="J1162" s="70"/>
    </row>
    <row r="1163" spans="1:10" ht="15" x14ac:dyDescent="0.2">
      <c r="A1163" s="70"/>
      <c r="B1163" s="70"/>
      <c r="C1163" s="70"/>
      <c r="D1163" s="70"/>
      <c r="E1163" s="70"/>
      <c r="F1163" s="70"/>
      <c r="G1163" s="70"/>
      <c r="H1163" s="70"/>
      <c r="I1163" s="70"/>
      <c r="J1163" s="70"/>
    </row>
    <row r="1164" spans="1:10" ht="15" x14ac:dyDescent="0.2">
      <c r="A1164" s="70"/>
      <c r="B1164" s="70"/>
      <c r="C1164" s="70"/>
      <c r="D1164" s="70"/>
      <c r="E1164" s="70"/>
      <c r="F1164" s="70"/>
      <c r="G1164" s="70"/>
      <c r="H1164" s="70"/>
      <c r="I1164" s="70"/>
      <c r="J1164" s="70"/>
    </row>
    <row r="1165" spans="1:10" ht="15" x14ac:dyDescent="0.2">
      <c r="A1165" s="70"/>
      <c r="B1165" s="70"/>
      <c r="C1165" s="70"/>
      <c r="D1165" s="70"/>
      <c r="E1165" s="70"/>
      <c r="F1165" s="70"/>
      <c r="G1165" s="70"/>
      <c r="H1165" s="70"/>
      <c r="I1165" s="70"/>
      <c r="J1165" s="70"/>
    </row>
    <row r="1166" spans="1:10" ht="15" x14ac:dyDescent="0.2">
      <c r="A1166" s="70"/>
      <c r="B1166" s="70"/>
      <c r="C1166" s="70"/>
      <c r="D1166" s="70"/>
      <c r="E1166" s="70"/>
      <c r="F1166" s="70"/>
      <c r="G1166" s="70"/>
      <c r="H1166" s="70"/>
      <c r="I1166" s="70"/>
      <c r="J1166" s="70"/>
    </row>
    <row r="1167" spans="1:10" ht="15" x14ac:dyDescent="0.2">
      <c r="A1167" s="70"/>
      <c r="B1167" s="70"/>
      <c r="C1167" s="70"/>
      <c r="D1167" s="70"/>
      <c r="E1167" s="70"/>
      <c r="F1167" s="70"/>
      <c r="G1167" s="70"/>
      <c r="H1167" s="70"/>
      <c r="I1167" s="70"/>
      <c r="J1167" s="70"/>
    </row>
    <row r="1168" spans="1:10" ht="15" x14ac:dyDescent="0.2">
      <c r="A1168" s="70"/>
      <c r="B1168" s="70"/>
      <c r="C1168" s="70"/>
      <c r="D1168" s="70"/>
      <c r="E1168" s="70"/>
      <c r="F1168" s="70"/>
      <c r="G1168" s="70"/>
      <c r="H1168" s="70"/>
      <c r="I1168" s="70"/>
      <c r="J1168" s="70"/>
    </row>
    <row r="1169" spans="1:10" ht="15" x14ac:dyDescent="0.2">
      <c r="A1169" s="70"/>
      <c r="B1169" s="70"/>
      <c r="C1169" s="70"/>
      <c r="D1169" s="70"/>
      <c r="E1169" s="70"/>
      <c r="F1169" s="70"/>
      <c r="G1169" s="70"/>
      <c r="H1169" s="70"/>
      <c r="I1169" s="70"/>
      <c r="J1169" s="70"/>
    </row>
    <row r="1170" spans="1:10" ht="15" x14ac:dyDescent="0.2">
      <c r="A1170" s="70"/>
      <c r="B1170" s="70"/>
      <c r="C1170" s="70"/>
      <c r="D1170" s="70"/>
      <c r="E1170" s="70"/>
      <c r="F1170" s="70"/>
      <c r="G1170" s="70"/>
      <c r="H1170" s="70"/>
      <c r="I1170" s="70"/>
      <c r="J1170" s="70"/>
    </row>
    <row r="1171" spans="1:10" ht="15" x14ac:dyDescent="0.2">
      <c r="A1171" s="70"/>
      <c r="B1171" s="70"/>
      <c r="C1171" s="70"/>
      <c r="D1171" s="70"/>
      <c r="E1171" s="70"/>
      <c r="F1171" s="70"/>
      <c r="G1171" s="70"/>
      <c r="H1171" s="70"/>
      <c r="I1171" s="70"/>
      <c r="J1171" s="70"/>
    </row>
    <row r="1172" spans="1:10" ht="15" x14ac:dyDescent="0.2">
      <c r="A1172" s="70"/>
      <c r="B1172" s="70"/>
      <c r="C1172" s="70"/>
      <c r="D1172" s="70"/>
      <c r="E1172" s="70"/>
      <c r="F1172" s="70"/>
      <c r="G1172" s="70"/>
      <c r="H1172" s="70"/>
      <c r="I1172" s="70"/>
      <c r="J1172" s="70"/>
    </row>
    <row r="1173" spans="1:10" ht="15" x14ac:dyDescent="0.2">
      <c r="A1173" s="70"/>
      <c r="B1173" s="70"/>
      <c r="C1173" s="70"/>
      <c r="D1173" s="70"/>
      <c r="E1173" s="70"/>
      <c r="F1173" s="70"/>
      <c r="G1173" s="70"/>
      <c r="H1173" s="70"/>
      <c r="I1173" s="70"/>
      <c r="J1173" s="70"/>
    </row>
    <row r="1174" spans="1:10" ht="15" x14ac:dyDescent="0.2">
      <c r="A1174" s="70"/>
      <c r="B1174" s="70"/>
      <c r="C1174" s="70"/>
      <c r="D1174" s="70"/>
      <c r="E1174" s="70"/>
      <c r="F1174" s="70"/>
      <c r="G1174" s="70"/>
      <c r="H1174" s="70"/>
      <c r="I1174" s="70"/>
      <c r="J1174" s="70"/>
    </row>
    <row r="1175" spans="1:10" ht="15" x14ac:dyDescent="0.2">
      <c r="A1175" s="70"/>
      <c r="B1175" s="70"/>
      <c r="C1175" s="70"/>
      <c r="D1175" s="70"/>
      <c r="E1175" s="70"/>
      <c r="F1175" s="70"/>
      <c r="G1175" s="70"/>
      <c r="H1175" s="70"/>
      <c r="I1175" s="70"/>
      <c r="J1175" s="70"/>
    </row>
    <row r="1176" spans="1:10" ht="15" x14ac:dyDescent="0.2">
      <c r="A1176" s="70"/>
      <c r="B1176" s="70"/>
      <c r="C1176" s="70"/>
      <c r="D1176" s="70"/>
      <c r="E1176" s="70"/>
      <c r="F1176" s="70"/>
      <c r="G1176" s="70"/>
      <c r="H1176" s="70"/>
      <c r="I1176" s="70"/>
      <c r="J1176" s="70"/>
    </row>
    <row r="1177" spans="1:10" ht="15" x14ac:dyDescent="0.2">
      <c r="A1177" s="70"/>
      <c r="B1177" s="70"/>
      <c r="C1177" s="70"/>
      <c r="D1177" s="70"/>
      <c r="E1177" s="70"/>
      <c r="F1177" s="70"/>
      <c r="G1177" s="70"/>
      <c r="H1177" s="70"/>
      <c r="I1177" s="70"/>
      <c r="J1177" s="70"/>
    </row>
    <row r="1178" spans="1:10" ht="15" x14ac:dyDescent="0.2">
      <c r="A1178" s="70"/>
      <c r="B1178" s="70"/>
      <c r="C1178" s="70"/>
      <c r="D1178" s="70"/>
      <c r="E1178" s="70"/>
      <c r="F1178" s="70"/>
      <c r="G1178" s="70"/>
      <c r="H1178" s="70"/>
      <c r="I1178" s="70"/>
      <c r="J1178" s="70"/>
    </row>
    <row r="1179" spans="1:10" ht="15" x14ac:dyDescent="0.2">
      <c r="A1179" s="70"/>
      <c r="B1179" s="70"/>
      <c r="C1179" s="70"/>
      <c r="D1179" s="70"/>
      <c r="E1179" s="70"/>
      <c r="F1179" s="70"/>
      <c r="G1179" s="70"/>
      <c r="H1179" s="70"/>
      <c r="I1179" s="70"/>
      <c r="J1179" s="70"/>
    </row>
    <row r="1180" spans="1:10" ht="15" x14ac:dyDescent="0.2">
      <c r="A1180" s="70"/>
      <c r="B1180" s="70"/>
      <c r="C1180" s="70"/>
      <c r="D1180" s="70"/>
      <c r="E1180" s="70"/>
      <c r="F1180" s="70"/>
      <c r="G1180" s="70"/>
      <c r="H1180" s="70"/>
      <c r="I1180" s="70"/>
      <c r="J1180" s="70"/>
    </row>
    <row r="1181" spans="1:10" ht="15" x14ac:dyDescent="0.2">
      <c r="A1181" s="70"/>
      <c r="B1181" s="70"/>
      <c r="C1181" s="70"/>
      <c r="D1181" s="70"/>
      <c r="E1181" s="70"/>
      <c r="F1181" s="70"/>
      <c r="G1181" s="70"/>
      <c r="H1181" s="70"/>
      <c r="I1181" s="70"/>
      <c r="J1181" s="70"/>
    </row>
    <row r="1182" spans="1:10" ht="15" x14ac:dyDescent="0.2">
      <c r="A1182" s="70"/>
      <c r="B1182" s="70"/>
      <c r="C1182" s="70"/>
      <c r="D1182" s="70"/>
      <c r="E1182" s="70"/>
      <c r="F1182" s="70"/>
      <c r="G1182" s="70"/>
      <c r="H1182" s="70"/>
      <c r="I1182" s="70"/>
      <c r="J1182" s="70"/>
    </row>
    <row r="1183" spans="1:10" ht="15" x14ac:dyDescent="0.2">
      <c r="A1183" s="70"/>
      <c r="B1183" s="70"/>
      <c r="C1183" s="70"/>
      <c r="D1183" s="70"/>
      <c r="E1183" s="70"/>
      <c r="F1183" s="70"/>
      <c r="G1183" s="70"/>
      <c r="H1183" s="70"/>
      <c r="I1183" s="70"/>
      <c r="J1183" s="70"/>
    </row>
    <row r="1184" spans="1:10" ht="15" x14ac:dyDescent="0.2">
      <c r="A1184" s="70"/>
      <c r="B1184" s="70"/>
      <c r="C1184" s="70"/>
      <c r="D1184" s="70"/>
      <c r="E1184" s="70"/>
      <c r="F1184" s="70"/>
      <c r="G1184" s="70"/>
      <c r="H1184" s="70"/>
      <c r="I1184" s="70"/>
      <c r="J1184" s="70"/>
    </row>
    <row r="1185" spans="1:10" ht="15" x14ac:dyDescent="0.2">
      <c r="A1185" s="70"/>
      <c r="B1185" s="70"/>
      <c r="C1185" s="70"/>
      <c r="D1185" s="70"/>
      <c r="E1185" s="70"/>
      <c r="F1185" s="70"/>
      <c r="G1185" s="70"/>
      <c r="H1185" s="70"/>
      <c r="I1185" s="70"/>
      <c r="J1185" s="70"/>
    </row>
    <row r="1186" spans="1:10" ht="15" x14ac:dyDescent="0.2">
      <c r="A1186" s="70"/>
      <c r="B1186" s="70"/>
      <c r="C1186" s="70"/>
      <c r="D1186" s="70"/>
      <c r="E1186" s="70"/>
      <c r="F1186" s="70"/>
      <c r="G1186" s="70"/>
      <c r="H1186" s="70"/>
      <c r="I1186" s="70"/>
      <c r="J1186" s="70"/>
    </row>
    <row r="1187" spans="1:10" ht="15" x14ac:dyDescent="0.2">
      <c r="A1187" s="70"/>
      <c r="B1187" s="70"/>
      <c r="C1187" s="70"/>
      <c r="D1187" s="70"/>
      <c r="E1187" s="70"/>
      <c r="F1187" s="70"/>
      <c r="G1187" s="70"/>
      <c r="H1187" s="70"/>
      <c r="I1187" s="70"/>
      <c r="J1187" s="70"/>
    </row>
    <row r="1188" spans="1:10" ht="15" x14ac:dyDescent="0.2">
      <c r="A1188" s="70"/>
      <c r="B1188" s="70"/>
      <c r="C1188" s="70"/>
      <c r="D1188" s="70"/>
      <c r="E1188" s="70"/>
      <c r="F1188" s="70"/>
      <c r="G1188" s="70"/>
      <c r="H1188" s="70"/>
      <c r="I1188" s="70"/>
      <c r="J1188" s="70"/>
    </row>
    <row r="1189" spans="1:10" ht="15" x14ac:dyDescent="0.2">
      <c r="A1189" s="70"/>
      <c r="B1189" s="70"/>
      <c r="C1189" s="70"/>
      <c r="D1189" s="70"/>
      <c r="E1189" s="70"/>
      <c r="F1189" s="70"/>
      <c r="G1189" s="70"/>
      <c r="H1189" s="70"/>
      <c r="I1189" s="70"/>
      <c r="J1189" s="70"/>
    </row>
    <row r="1190" spans="1:10" ht="15" x14ac:dyDescent="0.2">
      <c r="A1190" s="70"/>
      <c r="B1190" s="70"/>
      <c r="C1190" s="70"/>
      <c r="D1190" s="70"/>
      <c r="E1190" s="70"/>
      <c r="F1190" s="70"/>
      <c r="G1190" s="70"/>
      <c r="H1190" s="70"/>
      <c r="I1190" s="70"/>
      <c r="J1190" s="70"/>
    </row>
    <row r="1191" spans="1:10" ht="15" x14ac:dyDescent="0.2">
      <c r="A1191" s="70"/>
      <c r="B1191" s="70"/>
      <c r="C1191" s="70"/>
      <c r="D1191" s="70"/>
      <c r="E1191" s="70"/>
      <c r="F1191" s="70"/>
      <c r="G1191" s="70"/>
      <c r="H1191" s="70"/>
      <c r="I1191" s="70"/>
      <c r="J1191" s="70"/>
    </row>
    <row r="1192" spans="1:10" ht="15" x14ac:dyDescent="0.2">
      <c r="A1192" s="70"/>
      <c r="B1192" s="70"/>
      <c r="C1192" s="70"/>
      <c r="D1192" s="70"/>
      <c r="E1192" s="70"/>
      <c r="F1192" s="70"/>
      <c r="G1192" s="70"/>
      <c r="H1192" s="70"/>
      <c r="I1192" s="70"/>
      <c r="J1192" s="70"/>
    </row>
    <row r="1193" spans="1:10" ht="15" x14ac:dyDescent="0.2">
      <c r="A1193" s="70"/>
      <c r="B1193" s="70"/>
      <c r="C1193" s="70"/>
      <c r="D1193" s="70"/>
      <c r="E1193" s="70"/>
      <c r="F1193" s="70"/>
      <c r="G1193" s="70"/>
      <c r="H1193" s="70"/>
      <c r="I1193" s="70"/>
      <c r="J1193" s="70"/>
    </row>
    <row r="1194" spans="1:10" ht="15" x14ac:dyDescent="0.2">
      <c r="A1194" s="70"/>
      <c r="B1194" s="70"/>
      <c r="C1194" s="70"/>
      <c r="D1194" s="70"/>
      <c r="E1194" s="70"/>
      <c r="F1194" s="70"/>
      <c r="G1194" s="70"/>
      <c r="H1194" s="70"/>
      <c r="I1194" s="70"/>
      <c r="J1194" s="70"/>
    </row>
    <row r="1195" spans="1:10" ht="15" x14ac:dyDescent="0.2">
      <c r="A1195" s="70"/>
      <c r="B1195" s="70"/>
      <c r="C1195" s="70"/>
      <c r="D1195" s="70"/>
      <c r="E1195" s="70"/>
      <c r="F1195" s="70"/>
      <c r="G1195" s="70"/>
      <c r="H1195" s="70"/>
      <c r="I1195" s="70"/>
      <c r="J1195" s="70"/>
    </row>
    <row r="1196" spans="1:10" ht="15" x14ac:dyDescent="0.2">
      <c r="A1196" s="70"/>
      <c r="B1196" s="70"/>
      <c r="C1196" s="70"/>
      <c r="D1196" s="70"/>
      <c r="E1196" s="70"/>
      <c r="F1196" s="70"/>
      <c r="G1196" s="70"/>
      <c r="H1196" s="70"/>
      <c r="I1196" s="70"/>
      <c r="J1196" s="70"/>
    </row>
    <row r="1197" spans="1:10" ht="15" x14ac:dyDescent="0.2">
      <c r="A1197" s="70"/>
      <c r="B1197" s="70"/>
      <c r="C1197" s="70"/>
      <c r="D1197" s="70"/>
      <c r="E1197" s="70"/>
      <c r="F1197" s="70"/>
      <c r="G1197" s="70"/>
      <c r="H1197" s="70"/>
      <c r="I1197" s="70"/>
      <c r="J1197" s="70"/>
    </row>
    <row r="1198" spans="1:10" ht="15" x14ac:dyDescent="0.2">
      <c r="A1198" s="70"/>
      <c r="B1198" s="70"/>
      <c r="C1198" s="70"/>
      <c r="D1198" s="70"/>
      <c r="E1198" s="70"/>
      <c r="F1198" s="70"/>
      <c r="G1198" s="70"/>
      <c r="H1198" s="70"/>
      <c r="I1198" s="70"/>
      <c r="J1198" s="70"/>
    </row>
    <row r="1199" spans="1:10" ht="15" x14ac:dyDescent="0.2">
      <c r="A1199" s="70"/>
      <c r="B1199" s="70"/>
      <c r="C1199" s="70"/>
      <c r="D1199" s="70"/>
      <c r="E1199" s="70"/>
      <c r="F1199" s="70"/>
      <c r="G1199" s="70"/>
      <c r="H1199" s="70"/>
      <c r="I1199" s="70"/>
      <c r="J1199" s="70"/>
    </row>
    <row r="1200" spans="1:10" ht="15" x14ac:dyDescent="0.2">
      <c r="A1200" s="70"/>
      <c r="B1200" s="70"/>
      <c r="C1200" s="70"/>
      <c r="D1200" s="70"/>
      <c r="E1200" s="70"/>
      <c r="F1200" s="70"/>
      <c r="G1200" s="70"/>
      <c r="H1200" s="70"/>
      <c r="I1200" s="70"/>
      <c r="J1200" s="70"/>
    </row>
    <row r="1201" spans="1:10" ht="15" x14ac:dyDescent="0.2">
      <c r="A1201" s="70"/>
      <c r="B1201" s="70"/>
      <c r="C1201" s="70"/>
      <c r="D1201" s="70"/>
      <c r="E1201" s="70"/>
      <c r="F1201" s="70"/>
      <c r="G1201" s="70"/>
      <c r="H1201" s="70"/>
      <c r="I1201" s="70"/>
      <c r="J1201" s="70"/>
    </row>
    <row r="1202" spans="1:10" ht="15" x14ac:dyDescent="0.2">
      <c r="A1202" s="70"/>
      <c r="B1202" s="70"/>
      <c r="C1202" s="70"/>
      <c r="D1202" s="70"/>
      <c r="E1202" s="70"/>
      <c r="F1202" s="70"/>
      <c r="G1202" s="70"/>
      <c r="H1202" s="70"/>
      <c r="I1202" s="70"/>
      <c r="J1202" s="70"/>
    </row>
    <row r="1203" spans="1:10" ht="15" x14ac:dyDescent="0.2">
      <c r="A1203" s="70"/>
      <c r="B1203" s="70"/>
      <c r="C1203" s="70"/>
      <c r="D1203" s="70"/>
      <c r="E1203" s="70"/>
      <c r="F1203" s="70"/>
      <c r="G1203" s="70"/>
      <c r="H1203" s="70"/>
      <c r="I1203" s="70"/>
      <c r="J1203" s="70"/>
    </row>
    <row r="1204" spans="1:10" ht="15" x14ac:dyDescent="0.2">
      <c r="A1204" s="70"/>
      <c r="B1204" s="70"/>
      <c r="C1204" s="70"/>
      <c r="D1204" s="70"/>
      <c r="E1204" s="70"/>
      <c r="F1204" s="70"/>
      <c r="G1204" s="70"/>
      <c r="H1204" s="70"/>
      <c r="I1204" s="70"/>
      <c r="J1204" s="70"/>
    </row>
    <row r="1205" spans="1:10" ht="15" x14ac:dyDescent="0.2">
      <c r="A1205" s="70"/>
      <c r="B1205" s="70"/>
      <c r="C1205" s="70"/>
      <c r="D1205" s="70"/>
      <c r="E1205" s="70"/>
      <c r="F1205" s="70"/>
      <c r="G1205" s="70"/>
      <c r="H1205" s="70"/>
      <c r="I1205" s="70"/>
      <c r="J1205" s="70"/>
    </row>
    <row r="1206" spans="1:10" ht="15" x14ac:dyDescent="0.2">
      <c r="A1206" s="70"/>
      <c r="B1206" s="70"/>
      <c r="C1206" s="70"/>
      <c r="D1206" s="70"/>
      <c r="E1206" s="70"/>
      <c r="F1206" s="70"/>
      <c r="G1206" s="70"/>
      <c r="H1206" s="70"/>
      <c r="I1206" s="70"/>
      <c r="J1206" s="70"/>
    </row>
    <row r="1207" spans="1:10" ht="15" x14ac:dyDescent="0.2">
      <c r="A1207" s="70"/>
      <c r="B1207" s="70"/>
      <c r="C1207" s="70"/>
      <c r="D1207" s="70"/>
      <c r="E1207" s="70"/>
      <c r="F1207" s="70"/>
      <c r="G1207" s="70"/>
      <c r="H1207" s="70"/>
      <c r="I1207" s="70"/>
      <c r="J1207" s="70"/>
    </row>
    <row r="1208" spans="1:10" ht="15" x14ac:dyDescent="0.2">
      <c r="A1208" s="70"/>
      <c r="B1208" s="70"/>
      <c r="C1208" s="70"/>
      <c r="D1208" s="70"/>
      <c r="E1208" s="70"/>
      <c r="F1208" s="70"/>
      <c r="G1208" s="70"/>
      <c r="H1208" s="70"/>
      <c r="I1208" s="70"/>
      <c r="J1208" s="70"/>
    </row>
    <row r="1209" spans="1:10" ht="15" x14ac:dyDescent="0.2">
      <c r="A1209" s="70"/>
      <c r="B1209" s="70"/>
      <c r="C1209" s="70"/>
      <c r="D1209" s="70"/>
      <c r="E1209" s="70"/>
      <c r="F1209" s="70"/>
      <c r="G1209" s="70"/>
      <c r="H1209" s="70"/>
      <c r="I1209" s="70"/>
      <c r="J1209" s="70"/>
    </row>
    <row r="1210" spans="1:10" ht="15" x14ac:dyDescent="0.2">
      <c r="A1210" s="70"/>
      <c r="B1210" s="70"/>
      <c r="C1210" s="70"/>
      <c r="D1210" s="70"/>
      <c r="E1210" s="70"/>
      <c r="F1210" s="70"/>
      <c r="G1210" s="70"/>
      <c r="H1210" s="70"/>
      <c r="I1210" s="70"/>
      <c r="J1210" s="70"/>
    </row>
    <row r="1211" spans="1:10" ht="15" x14ac:dyDescent="0.2">
      <c r="A1211" s="70"/>
      <c r="B1211" s="70"/>
      <c r="C1211" s="70"/>
      <c r="D1211" s="70"/>
      <c r="E1211" s="70"/>
      <c r="F1211" s="70"/>
      <c r="G1211" s="70"/>
      <c r="H1211" s="70"/>
      <c r="I1211" s="70"/>
      <c r="J1211" s="70"/>
    </row>
    <row r="1212" spans="1:10" ht="15" x14ac:dyDescent="0.2">
      <c r="A1212" s="70"/>
      <c r="B1212" s="70"/>
      <c r="C1212" s="70"/>
      <c r="D1212" s="70"/>
      <c r="E1212" s="70"/>
      <c r="F1212" s="70"/>
      <c r="G1212" s="70"/>
      <c r="H1212" s="70"/>
      <c r="I1212" s="70"/>
      <c r="J1212" s="70"/>
    </row>
    <row r="1213" spans="1:10" ht="15" x14ac:dyDescent="0.2">
      <c r="A1213" s="70"/>
      <c r="B1213" s="70"/>
      <c r="C1213" s="70"/>
      <c r="D1213" s="70"/>
      <c r="E1213" s="70"/>
      <c r="F1213" s="70"/>
      <c r="G1213" s="70"/>
      <c r="H1213" s="70"/>
      <c r="I1213" s="70"/>
      <c r="J1213" s="70"/>
    </row>
    <row r="1214" spans="1:10" ht="15" x14ac:dyDescent="0.2">
      <c r="A1214" s="70"/>
      <c r="B1214" s="70"/>
      <c r="C1214" s="70"/>
      <c r="D1214" s="70"/>
      <c r="E1214" s="70"/>
      <c r="F1214" s="70"/>
      <c r="G1214" s="70"/>
      <c r="H1214" s="70"/>
      <c r="I1214" s="70"/>
      <c r="J1214" s="70"/>
    </row>
    <row r="1215" spans="1:10" ht="15" x14ac:dyDescent="0.2">
      <c r="A1215" s="70"/>
      <c r="B1215" s="70"/>
      <c r="C1215" s="70"/>
      <c r="D1215" s="70"/>
      <c r="E1215" s="70"/>
      <c r="F1215" s="70"/>
      <c r="G1215" s="70"/>
      <c r="H1215" s="70"/>
      <c r="I1215" s="70"/>
      <c r="J1215" s="70"/>
    </row>
    <row r="1216" spans="1:10" ht="15" x14ac:dyDescent="0.2">
      <c r="A1216" s="70"/>
      <c r="B1216" s="70"/>
      <c r="C1216" s="70"/>
      <c r="D1216" s="70"/>
      <c r="E1216" s="70"/>
      <c r="F1216" s="70"/>
      <c r="G1216" s="70"/>
      <c r="H1216" s="70"/>
      <c r="I1216" s="70"/>
      <c r="J1216" s="70"/>
    </row>
    <row r="1217" spans="1:10" ht="15" x14ac:dyDescent="0.2">
      <c r="A1217" s="70"/>
      <c r="B1217" s="70"/>
      <c r="C1217" s="70"/>
      <c r="D1217" s="70"/>
      <c r="E1217" s="70"/>
      <c r="F1217" s="70"/>
      <c r="G1217" s="70"/>
      <c r="H1217" s="70"/>
      <c r="I1217" s="70"/>
      <c r="J1217" s="70"/>
    </row>
    <row r="1218" spans="1:10" ht="15" x14ac:dyDescent="0.2">
      <c r="A1218" s="70"/>
      <c r="B1218" s="70"/>
      <c r="C1218" s="70"/>
      <c r="D1218" s="70"/>
      <c r="E1218" s="70"/>
      <c r="F1218" s="70"/>
      <c r="G1218" s="70"/>
      <c r="H1218" s="70"/>
      <c r="I1218" s="70"/>
      <c r="J1218" s="70"/>
    </row>
    <row r="1219" spans="1:10" ht="15" x14ac:dyDescent="0.2">
      <c r="A1219" s="70"/>
      <c r="B1219" s="70"/>
      <c r="C1219" s="70"/>
      <c r="D1219" s="70"/>
      <c r="E1219" s="70"/>
      <c r="F1219" s="70"/>
      <c r="G1219" s="70"/>
      <c r="H1219" s="70"/>
      <c r="I1219" s="70"/>
      <c r="J1219" s="70"/>
    </row>
    <row r="1220" spans="1:10" ht="15" x14ac:dyDescent="0.2">
      <c r="A1220" s="70"/>
      <c r="B1220" s="70"/>
      <c r="C1220" s="70"/>
      <c r="D1220" s="70"/>
      <c r="E1220" s="70"/>
      <c r="F1220" s="70"/>
      <c r="G1220" s="70"/>
      <c r="H1220" s="70"/>
      <c r="I1220" s="70"/>
      <c r="J1220" s="70"/>
    </row>
    <row r="1221" spans="1:10" ht="15" x14ac:dyDescent="0.2">
      <c r="A1221" s="70"/>
      <c r="B1221" s="70"/>
      <c r="C1221" s="70"/>
      <c r="D1221" s="70"/>
      <c r="E1221" s="70"/>
      <c r="F1221" s="70"/>
      <c r="G1221" s="70"/>
      <c r="H1221" s="70"/>
      <c r="I1221" s="70"/>
      <c r="J1221" s="70"/>
    </row>
    <row r="1222" spans="1:10" ht="15" x14ac:dyDescent="0.2">
      <c r="A1222" s="70"/>
      <c r="B1222" s="70"/>
      <c r="C1222" s="70"/>
      <c r="D1222" s="70"/>
      <c r="E1222" s="70"/>
      <c r="F1222" s="70"/>
      <c r="G1222" s="70"/>
      <c r="H1222" s="70"/>
      <c r="I1222" s="70"/>
      <c r="J1222" s="70"/>
    </row>
    <row r="1223" spans="1:10" ht="15" x14ac:dyDescent="0.2">
      <c r="A1223" s="70"/>
      <c r="B1223" s="70"/>
      <c r="C1223" s="70"/>
      <c r="D1223" s="70"/>
      <c r="E1223" s="70"/>
      <c r="F1223" s="70"/>
      <c r="G1223" s="70"/>
      <c r="H1223" s="70"/>
      <c r="I1223" s="70"/>
      <c r="J1223" s="70"/>
    </row>
    <row r="1224" spans="1:10" ht="15" x14ac:dyDescent="0.2">
      <c r="A1224" s="70"/>
      <c r="B1224" s="70"/>
      <c r="C1224" s="70"/>
      <c r="D1224" s="70"/>
      <c r="E1224" s="70"/>
      <c r="F1224" s="70"/>
      <c r="G1224" s="70"/>
      <c r="H1224" s="70"/>
      <c r="I1224" s="70"/>
      <c r="J1224" s="70"/>
    </row>
    <row r="1225" spans="1:10" ht="15" x14ac:dyDescent="0.2">
      <c r="A1225" s="70"/>
      <c r="B1225" s="70"/>
      <c r="C1225" s="70"/>
      <c r="D1225" s="70"/>
      <c r="E1225" s="70"/>
      <c r="F1225" s="70"/>
      <c r="G1225" s="70"/>
      <c r="H1225" s="70"/>
      <c r="I1225" s="70"/>
      <c r="J1225" s="70"/>
    </row>
    <row r="1226" spans="1:10" ht="15" x14ac:dyDescent="0.2">
      <c r="A1226" s="70"/>
      <c r="B1226" s="70"/>
      <c r="C1226" s="70"/>
      <c r="D1226" s="70"/>
      <c r="E1226" s="70"/>
      <c r="F1226" s="70"/>
      <c r="G1226" s="70"/>
      <c r="H1226" s="70"/>
      <c r="I1226" s="70"/>
      <c r="J1226" s="70"/>
    </row>
    <row r="1227" spans="1:10" ht="15" x14ac:dyDescent="0.2">
      <c r="A1227" s="70"/>
      <c r="B1227" s="70"/>
      <c r="C1227" s="70"/>
      <c r="D1227" s="70"/>
      <c r="E1227" s="70"/>
      <c r="F1227" s="70"/>
      <c r="G1227" s="70"/>
      <c r="H1227" s="70"/>
      <c r="I1227" s="70"/>
      <c r="J1227" s="70"/>
    </row>
    <row r="1228" spans="1:10" ht="15" x14ac:dyDescent="0.2">
      <c r="A1228" s="70"/>
      <c r="B1228" s="70"/>
      <c r="C1228" s="70"/>
      <c r="D1228" s="70"/>
      <c r="E1228" s="70"/>
      <c r="F1228" s="70"/>
      <c r="G1228" s="70"/>
      <c r="H1228" s="70"/>
      <c r="I1228" s="70"/>
      <c r="J1228" s="70"/>
    </row>
    <row r="1229" spans="1:10" ht="15" x14ac:dyDescent="0.2">
      <c r="A1229" s="70"/>
      <c r="B1229" s="70"/>
      <c r="C1229" s="70"/>
      <c r="D1229" s="70"/>
      <c r="E1229" s="70"/>
      <c r="F1229" s="70"/>
      <c r="G1229" s="70"/>
      <c r="H1229" s="70"/>
      <c r="I1229" s="70"/>
      <c r="J1229" s="70"/>
    </row>
    <row r="1230" spans="1:10" ht="15" x14ac:dyDescent="0.2">
      <c r="A1230" s="70"/>
      <c r="B1230" s="70"/>
      <c r="C1230" s="70"/>
      <c r="D1230" s="70"/>
      <c r="E1230" s="70"/>
      <c r="F1230" s="70"/>
      <c r="G1230" s="70"/>
      <c r="H1230" s="70"/>
      <c r="I1230" s="70"/>
      <c r="J1230" s="70"/>
    </row>
    <row r="1231" spans="1:10" ht="15" x14ac:dyDescent="0.2">
      <c r="A1231" s="70"/>
      <c r="B1231" s="70"/>
      <c r="C1231" s="70"/>
      <c r="D1231" s="70"/>
      <c r="E1231" s="70"/>
      <c r="F1231" s="70"/>
      <c r="G1231" s="70"/>
      <c r="H1231" s="70"/>
      <c r="I1231" s="70"/>
      <c r="J1231" s="70"/>
    </row>
    <row r="1232" spans="1:10" ht="15" x14ac:dyDescent="0.2">
      <c r="A1232" s="70"/>
      <c r="B1232" s="70"/>
      <c r="C1232" s="70"/>
      <c r="D1232" s="70"/>
      <c r="E1232" s="70"/>
      <c r="F1232" s="70"/>
      <c r="G1232" s="70"/>
      <c r="H1232" s="70"/>
      <c r="I1232" s="70"/>
      <c r="J1232" s="70"/>
    </row>
    <row r="1233" spans="1:10" ht="15" x14ac:dyDescent="0.2">
      <c r="A1233" s="70"/>
      <c r="B1233" s="70"/>
      <c r="C1233" s="70"/>
      <c r="D1233" s="70"/>
      <c r="E1233" s="70"/>
      <c r="F1233" s="70"/>
      <c r="G1233" s="70"/>
      <c r="H1233" s="70"/>
      <c r="I1233" s="70"/>
      <c r="J1233" s="70"/>
    </row>
    <row r="1234" spans="1:10" ht="15" x14ac:dyDescent="0.2">
      <c r="A1234" s="70"/>
      <c r="B1234" s="70"/>
      <c r="C1234" s="70"/>
      <c r="D1234" s="70"/>
      <c r="E1234" s="70"/>
      <c r="F1234" s="70"/>
      <c r="G1234" s="70"/>
      <c r="H1234" s="70"/>
      <c r="I1234" s="70"/>
      <c r="J1234" s="70"/>
    </row>
    <row r="1235" spans="1:10" ht="15" x14ac:dyDescent="0.2">
      <c r="A1235" s="70"/>
      <c r="B1235" s="70"/>
      <c r="C1235" s="70"/>
      <c r="D1235" s="70"/>
      <c r="E1235" s="70"/>
      <c r="F1235" s="70"/>
      <c r="G1235" s="70"/>
      <c r="H1235" s="70"/>
      <c r="I1235" s="70"/>
      <c r="J1235" s="70"/>
    </row>
    <row r="1236" spans="1:10" ht="15" x14ac:dyDescent="0.2">
      <c r="A1236" s="70"/>
      <c r="B1236" s="70"/>
      <c r="C1236" s="70"/>
      <c r="D1236" s="70"/>
      <c r="E1236" s="70"/>
      <c r="F1236" s="70"/>
      <c r="G1236" s="70"/>
      <c r="H1236" s="70"/>
      <c r="I1236" s="70"/>
      <c r="J1236" s="70"/>
    </row>
    <row r="1237" spans="1:10" ht="15" x14ac:dyDescent="0.2">
      <c r="A1237" s="70"/>
      <c r="B1237" s="70"/>
      <c r="C1237" s="70"/>
      <c r="D1237" s="70"/>
      <c r="E1237" s="70"/>
      <c r="F1237" s="70"/>
      <c r="G1237" s="70"/>
      <c r="H1237" s="70"/>
      <c r="I1237" s="70"/>
      <c r="J1237" s="70"/>
    </row>
    <row r="1238" spans="1:10" ht="15" x14ac:dyDescent="0.2">
      <c r="A1238" s="70"/>
      <c r="B1238" s="70"/>
      <c r="C1238" s="70"/>
      <c r="D1238" s="70"/>
      <c r="E1238" s="70"/>
      <c r="F1238" s="70"/>
      <c r="G1238" s="70"/>
      <c r="H1238" s="70"/>
      <c r="I1238" s="70"/>
      <c r="J1238" s="70"/>
    </row>
    <row r="1239" spans="1:10" ht="15" x14ac:dyDescent="0.2">
      <c r="A1239" s="70"/>
      <c r="B1239" s="70"/>
      <c r="C1239" s="70"/>
      <c r="D1239" s="70"/>
      <c r="E1239" s="70"/>
      <c r="F1239" s="70"/>
      <c r="G1239" s="70"/>
      <c r="H1239" s="70"/>
      <c r="I1239" s="70"/>
      <c r="J1239" s="70"/>
    </row>
    <row r="1240" spans="1:10" ht="15" x14ac:dyDescent="0.2">
      <c r="A1240" s="70"/>
      <c r="B1240" s="70"/>
      <c r="C1240" s="70"/>
      <c r="D1240" s="70"/>
      <c r="E1240" s="70"/>
      <c r="F1240" s="70"/>
      <c r="G1240" s="70"/>
      <c r="H1240" s="70"/>
      <c r="I1240" s="70"/>
      <c r="J1240" s="70"/>
    </row>
    <row r="1241" spans="1:10" ht="15" x14ac:dyDescent="0.2">
      <c r="A1241" s="70"/>
      <c r="B1241" s="70"/>
      <c r="C1241" s="70"/>
      <c r="D1241" s="70"/>
      <c r="E1241" s="70"/>
      <c r="F1241" s="70"/>
      <c r="G1241" s="70"/>
      <c r="H1241" s="70"/>
      <c r="I1241" s="70"/>
      <c r="J1241" s="70"/>
    </row>
    <row r="1242" spans="1:10" ht="15" x14ac:dyDescent="0.2">
      <c r="A1242" s="70"/>
      <c r="B1242" s="70"/>
      <c r="C1242" s="70"/>
      <c r="D1242" s="70"/>
      <c r="E1242" s="70"/>
      <c r="F1242" s="70"/>
      <c r="G1242" s="70"/>
      <c r="H1242" s="70"/>
      <c r="I1242" s="70"/>
      <c r="J1242" s="70"/>
    </row>
    <row r="1243" spans="1:10" ht="15" x14ac:dyDescent="0.2">
      <c r="A1243" s="70"/>
      <c r="B1243" s="70"/>
      <c r="C1243" s="70"/>
      <c r="D1243" s="70"/>
      <c r="E1243" s="70"/>
      <c r="F1243" s="70"/>
      <c r="G1243" s="70"/>
      <c r="H1243" s="70"/>
      <c r="I1243" s="70"/>
      <c r="J1243" s="70"/>
    </row>
    <row r="1244" spans="1:10" ht="15" x14ac:dyDescent="0.2">
      <c r="A1244" s="70"/>
      <c r="B1244" s="70"/>
      <c r="C1244" s="70"/>
      <c r="D1244" s="70"/>
      <c r="E1244" s="70"/>
      <c r="F1244" s="70"/>
      <c r="G1244" s="70"/>
      <c r="H1244" s="70"/>
      <c r="I1244" s="70"/>
      <c r="J1244" s="70"/>
    </row>
    <row r="1245" spans="1:10" ht="15" x14ac:dyDescent="0.2">
      <c r="A1245" s="70"/>
      <c r="B1245" s="70"/>
      <c r="C1245" s="70"/>
      <c r="D1245" s="70"/>
      <c r="E1245" s="70"/>
      <c r="F1245" s="70"/>
      <c r="G1245" s="70"/>
      <c r="H1245" s="70"/>
      <c r="I1245" s="70"/>
      <c r="J1245" s="70"/>
    </row>
    <row r="1246" spans="1:10" ht="15" x14ac:dyDescent="0.2">
      <c r="A1246" s="70"/>
      <c r="B1246" s="70"/>
      <c r="C1246" s="70"/>
      <c r="D1246" s="70"/>
      <c r="E1246" s="70"/>
      <c r="F1246" s="70"/>
      <c r="G1246" s="70"/>
      <c r="H1246" s="70"/>
      <c r="I1246" s="70"/>
      <c r="J1246" s="70"/>
    </row>
    <row r="1247" spans="1:10" ht="15" x14ac:dyDescent="0.2">
      <c r="A1247" s="70"/>
      <c r="B1247" s="70"/>
      <c r="C1247" s="70"/>
      <c r="D1247" s="70"/>
      <c r="E1247" s="70"/>
      <c r="F1247" s="70"/>
      <c r="G1247" s="70"/>
      <c r="H1247" s="70"/>
      <c r="I1247" s="70"/>
      <c r="J1247" s="70"/>
    </row>
    <row r="1248" spans="1:10" ht="15" x14ac:dyDescent="0.2">
      <c r="A1248" s="70"/>
      <c r="B1248" s="70"/>
      <c r="C1248" s="70"/>
      <c r="D1248" s="70"/>
      <c r="E1248" s="70"/>
      <c r="F1248" s="70"/>
      <c r="G1248" s="70"/>
      <c r="H1248" s="70"/>
      <c r="I1248" s="70"/>
      <c r="J1248" s="70"/>
    </row>
    <row r="1249" spans="1:10" ht="15" x14ac:dyDescent="0.2">
      <c r="A1249" s="70"/>
      <c r="B1249" s="70"/>
      <c r="C1249" s="70"/>
      <c r="D1249" s="70"/>
      <c r="E1249" s="70"/>
      <c r="F1249" s="70"/>
      <c r="G1249" s="70"/>
      <c r="H1249" s="70"/>
      <c r="I1249" s="70"/>
      <c r="J1249" s="70"/>
    </row>
    <row r="1250" spans="1:10" ht="15" x14ac:dyDescent="0.2">
      <c r="A1250" s="70"/>
      <c r="B1250" s="70"/>
      <c r="C1250" s="70"/>
      <c r="D1250" s="70"/>
      <c r="E1250" s="70"/>
      <c r="F1250" s="70"/>
      <c r="G1250" s="70"/>
      <c r="H1250" s="70"/>
      <c r="I1250" s="70"/>
      <c r="J1250" s="70"/>
    </row>
    <row r="1251" spans="1:10" ht="15" x14ac:dyDescent="0.2">
      <c r="A1251" s="70"/>
      <c r="B1251" s="70"/>
      <c r="C1251" s="70"/>
      <c r="D1251" s="70"/>
      <c r="E1251" s="70"/>
      <c r="F1251" s="70"/>
      <c r="G1251" s="70"/>
      <c r="H1251" s="70"/>
      <c r="I1251" s="70"/>
      <c r="J1251" s="70"/>
    </row>
    <row r="1252" spans="1:10" ht="15" x14ac:dyDescent="0.2">
      <c r="A1252" s="70"/>
      <c r="B1252" s="70"/>
      <c r="C1252" s="70"/>
      <c r="D1252" s="70"/>
      <c r="E1252" s="70"/>
      <c r="F1252" s="70"/>
      <c r="G1252" s="70"/>
      <c r="H1252" s="70"/>
      <c r="I1252" s="70"/>
      <c r="J1252" s="70"/>
    </row>
    <row r="1253" spans="1:10" ht="15" x14ac:dyDescent="0.2">
      <c r="A1253" s="70"/>
      <c r="B1253" s="70"/>
      <c r="C1253" s="70"/>
      <c r="D1253" s="70"/>
      <c r="E1253" s="70"/>
      <c r="F1253" s="70"/>
      <c r="G1253" s="70"/>
      <c r="H1253" s="70"/>
      <c r="I1253" s="70"/>
      <c r="J1253" s="70"/>
    </row>
    <row r="1254" spans="1:10" ht="15" x14ac:dyDescent="0.2">
      <c r="A1254" s="70"/>
      <c r="B1254" s="70"/>
      <c r="C1254" s="70"/>
      <c r="D1254" s="70"/>
      <c r="E1254" s="70"/>
      <c r="F1254" s="70"/>
      <c r="G1254" s="70"/>
      <c r="H1254" s="70"/>
      <c r="I1254" s="70"/>
      <c r="J1254" s="70"/>
    </row>
    <row r="1255" spans="1:10" ht="15" x14ac:dyDescent="0.2">
      <c r="A1255" s="70"/>
      <c r="B1255" s="70"/>
      <c r="C1255" s="70"/>
      <c r="D1255" s="70"/>
      <c r="E1255" s="70"/>
      <c r="F1255" s="70"/>
      <c r="G1255" s="70"/>
      <c r="H1255" s="70"/>
      <c r="I1255" s="70"/>
      <c r="J1255" s="70"/>
    </row>
    <row r="1256" spans="1:10" ht="15" x14ac:dyDescent="0.2">
      <c r="A1256" s="70"/>
      <c r="B1256" s="70"/>
      <c r="C1256" s="70"/>
      <c r="D1256" s="70"/>
      <c r="E1256" s="70"/>
      <c r="F1256" s="70"/>
      <c r="G1256" s="70"/>
      <c r="H1256" s="70"/>
      <c r="I1256" s="70"/>
      <c r="J1256" s="70"/>
    </row>
    <row r="1257" spans="1:10" ht="15" x14ac:dyDescent="0.2">
      <c r="A1257" s="70"/>
      <c r="B1257" s="70"/>
      <c r="C1257" s="70"/>
      <c r="D1257" s="70"/>
      <c r="E1257" s="70"/>
      <c r="F1257" s="70"/>
      <c r="G1257" s="70"/>
      <c r="H1257" s="70"/>
      <c r="I1257" s="70"/>
      <c r="J1257" s="70"/>
    </row>
    <row r="1258" spans="1:10" ht="15" x14ac:dyDescent="0.2">
      <c r="A1258" s="70"/>
      <c r="B1258" s="70"/>
      <c r="C1258" s="70"/>
      <c r="D1258" s="70"/>
      <c r="E1258" s="70"/>
      <c r="F1258" s="70"/>
      <c r="G1258" s="70"/>
      <c r="H1258" s="70"/>
      <c r="I1258" s="70"/>
      <c r="J1258" s="70"/>
    </row>
    <row r="1259" spans="1:10" ht="15" x14ac:dyDescent="0.2">
      <c r="A1259" s="70"/>
      <c r="B1259" s="70"/>
      <c r="C1259" s="70"/>
      <c r="D1259" s="70"/>
      <c r="E1259" s="70"/>
      <c r="F1259" s="70"/>
      <c r="G1259" s="70"/>
      <c r="H1259" s="70"/>
      <c r="I1259" s="70"/>
      <c r="J1259" s="70"/>
    </row>
    <row r="1260" spans="1:10" ht="15" x14ac:dyDescent="0.2">
      <c r="A1260" s="70"/>
      <c r="B1260" s="70"/>
      <c r="C1260" s="70"/>
      <c r="D1260" s="70"/>
      <c r="E1260" s="70"/>
      <c r="F1260" s="70"/>
      <c r="G1260" s="70"/>
      <c r="H1260" s="70"/>
      <c r="I1260" s="70"/>
      <c r="J1260" s="70"/>
    </row>
    <row r="1261" spans="1:10" ht="15" x14ac:dyDescent="0.2">
      <c r="A1261" s="70"/>
      <c r="B1261" s="70"/>
      <c r="C1261" s="70"/>
      <c r="D1261" s="70"/>
      <c r="E1261" s="70"/>
      <c r="F1261" s="70"/>
      <c r="G1261" s="70"/>
      <c r="H1261" s="70"/>
      <c r="I1261" s="70"/>
      <c r="J1261" s="70"/>
    </row>
    <row r="1262" spans="1:10" ht="15" x14ac:dyDescent="0.2">
      <c r="A1262" s="70"/>
      <c r="B1262" s="70"/>
      <c r="C1262" s="70"/>
      <c r="D1262" s="70"/>
      <c r="E1262" s="70"/>
      <c r="F1262" s="70"/>
      <c r="G1262" s="70"/>
      <c r="H1262" s="70"/>
      <c r="I1262" s="70"/>
      <c r="J1262" s="70"/>
    </row>
    <row r="1263" spans="1:10" ht="15" x14ac:dyDescent="0.2">
      <c r="A1263" s="70"/>
      <c r="B1263" s="70"/>
      <c r="C1263" s="70"/>
      <c r="D1263" s="70"/>
      <c r="E1263" s="70"/>
      <c r="F1263" s="70"/>
      <c r="G1263" s="70"/>
      <c r="H1263" s="70"/>
      <c r="I1263" s="70"/>
      <c r="J1263" s="70"/>
    </row>
    <row r="1264" spans="1:10" ht="15" x14ac:dyDescent="0.2">
      <c r="A1264" s="70"/>
      <c r="B1264" s="70"/>
      <c r="C1264" s="70"/>
      <c r="D1264" s="70"/>
      <c r="E1264" s="70"/>
      <c r="F1264" s="70"/>
      <c r="G1264" s="70"/>
      <c r="H1264" s="70"/>
      <c r="I1264" s="70"/>
      <c r="J1264" s="70"/>
    </row>
    <row r="1265" spans="1:10" ht="15" x14ac:dyDescent="0.2">
      <c r="A1265" s="70"/>
      <c r="B1265" s="70"/>
      <c r="C1265" s="70"/>
      <c r="D1265" s="70"/>
      <c r="E1265" s="70"/>
      <c r="F1265" s="70"/>
      <c r="G1265" s="70"/>
      <c r="H1265" s="70"/>
      <c r="I1265" s="70"/>
      <c r="J1265" s="70"/>
    </row>
    <row r="1266" spans="1:10" ht="15" x14ac:dyDescent="0.2">
      <c r="A1266" s="70"/>
      <c r="B1266" s="70"/>
      <c r="C1266" s="70"/>
      <c r="D1266" s="70"/>
      <c r="E1266" s="70"/>
      <c r="F1266" s="70"/>
      <c r="G1266" s="70"/>
      <c r="H1266" s="70"/>
      <c r="I1266" s="70"/>
      <c r="J1266" s="70"/>
    </row>
    <row r="1267" spans="1:10" ht="15" x14ac:dyDescent="0.2">
      <c r="A1267" s="70"/>
      <c r="B1267" s="70"/>
      <c r="C1267" s="70"/>
      <c r="D1267" s="70"/>
      <c r="E1267" s="70"/>
      <c r="F1267" s="70"/>
      <c r="G1267" s="70"/>
      <c r="H1267" s="70"/>
      <c r="I1267" s="70"/>
      <c r="J1267" s="70"/>
    </row>
    <row r="1268" spans="1:10" ht="15" x14ac:dyDescent="0.2">
      <c r="A1268" s="70"/>
      <c r="B1268" s="70"/>
      <c r="C1268" s="70"/>
      <c r="D1268" s="70"/>
      <c r="E1268" s="70"/>
      <c r="F1268" s="70"/>
      <c r="G1268" s="70"/>
      <c r="H1268" s="70"/>
      <c r="I1268" s="70"/>
      <c r="J1268" s="70"/>
    </row>
    <row r="1269" spans="1:10" ht="15" x14ac:dyDescent="0.2">
      <c r="A1269" s="70"/>
      <c r="B1269" s="70"/>
      <c r="C1269" s="70"/>
      <c r="D1269" s="70"/>
      <c r="E1269" s="70"/>
      <c r="F1269" s="70"/>
      <c r="G1269" s="70"/>
      <c r="H1269" s="70"/>
      <c r="I1269" s="70"/>
      <c r="J1269" s="70"/>
    </row>
    <row r="1270" spans="1:10" ht="15" x14ac:dyDescent="0.2">
      <c r="A1270" s="70"/>
      <c r="B1270" s="70"/>
      <c r="C1270" s="70"/>
      <c r="D1270" s="70"/>
      <c r="E1270" s="70"/>
      <c r="F1270" s="70"/>
      <c r="G1270" s="70"/>
      <c r="H1270" s="70"/>
      <c r="I1270" s="70"/>
      <c r="J1270" s="70"/>
    </row>
    <row r="1271" spans="1:10" ht="15" x14ac:dyDescent="0.2">
      <c r="A1271" s="70"/>
      <c r="B1271" s="70"/>
      <c r="C1271" s="70"/>
      <c r="D1271" s="70"/>
      <c r="E1271" s="70"/>
      <c r="F1271" s="70"/>
      <c r="G1271" s="70"/>
      <c r="H1271" s="70"/>
      <c r="I1271" s="70"/>
      <c r="J1271" s="70"/>
    </row>
    <row r="1272" spans="1:10" ht="15" x14ac:dyDescent="0.2">
      <c r="A1272" s="70"/>
      <c r="B1272" s="70"/>
      <c r="C1272" s="70"/>
      <c r="D1272" s="70"/>
      <c r="E1272" s="70"/>
      <c r="F1272" s="70"/>
      <c r="G1272" s="70"/>
      <c r="H1272" s="70"/>
      <c r="I1272" s="70"/>
      <c r="J1272" s="70"/>
    </row>
    <row r="1273" spans="1:10" ht="15" x14ac:dyDescent="0.2">
      <c r="A1273" s="70"/>
      <c r="B1273" s="70"/>
      <c r="C1273" s="70"/>
      <c r="D1273" s="70"/>
      <c r="E1273" s="70"/>
      <c r="F1273" s="70"/>
      <c r="G1273" s="70"/>
      <c r="H1273" s="70"/>
      <c r="I1273" s="70"/>
      <c r="J1273" s="70"/>
    </row>
    <row r="1274" spans="1:10" ht="15" x14ac:dyDescent="0.2">
      <c r="A1274" s="70"/>
      <c r="B1274" s="70"/>
      <c r="C1274" s="70"/>
      <c r="D1274" s="70"/>
      <c r="E1274" s="70"/>
      <c r="F1274" s="70"/>
      <c r="G1274" s="70"/>
      <c r="H1274" s="70"/>
      <c r="I1274" s="70"/>
      <c r="J1274" s="70"/>
    </row>
    <row r="1275" spans="1:10" ht="15" x14ac:dyDescent="0.2">
      <c r="A1275" s="70"/>
      <c r="B1275" s="70"/>
      <c r="C1275" s="70"/>
      <c r="D1275" s="70"/>
      <c r="E1275" s="70"/>
      <c r="F1275" s="70"/>
      <c r="G1275" s="70"/>
      <c r="H1275" s="70"/>
      <c r="I1275" s="70"/>
      <c r="J1275" s="70"/>
    </row>
    <row r="1276" spans="1:10" ht="15" x14ac:dyDescent="0.2">
      <c r="A1276" s="70"/>
      <c r="B1276" s="70"/>
      <c r="C1276" s="70"/>
      <c r="D1276" s="70"/>
      <c r="E1276" s="70"/>
      <c r="F1276" s="70"/>
      <c r="G1276" s="70"/>
      <c r="H1276" s="70"/>
      <c r="I1276" s="70"/>
      <c r="J1276" s="70"/>
    </row>
    <row r="1277" spans="1:10" ht="15" x14ac:dyDescent="0.2">
      <c r="A1277" s="70"/>
      <c r="B1277" s="70"/>
      <c r="C1277" s="70"/>
      <c r="D1277" s="70"/>
      <c r="E1277" s="70"/>
      <c r="F1277" s="70"/>
      <c r="G1277" s="70"/>
      <c r="H1277" s="70"/>
      <c r="I1277" s="70"/>
      <c r="J1277" s="70"/>
    </row>
    <row r="1278" spans="1:10" ht="15" x14ac:dyDescent="0.2">
      <c r="A1278" s="70"/>
      <c r="B1278" s="70"/>
      <c r="C1278" s="70"/>
      <c r="D1278" s="70"/>
      <c r="E1278" s="70"/>
      <c r="F1278" s="70"/>
      <c r="G1278" s="70"/>
      <c r="H1278" s="70"/>
      <c r="I1278" s="70"/>
      <c r="J1278" s="70"/>
    </row>
    <row r="1279" spans="1:10" ht="15" x14ac:dyDescent="0.2">
      <c r="A1279" s="70"/>
      <c r="B1279" s="70"/>
      <c r="C1279" s="70"/>
      <c r="D1279" s="70"/>
      <c r="E1279" s="70"/>
      <c r="F1279" s="70"/>
      <c r="G1279" s="70"/>
      <c r="H1279" s="70"/>
      <c r="I1279" s="70"/>
      <c r="J1279" s="70"/>
    </row>
    <row r="1280" spans="1:10" ht="15" x14ac:dyDescent="0.2">
      <c r="A1280" s="70"/>
      <c r="B1280" s="70"/>
      <c r="C1280" s="70"/>
      <c r="D1280" s="70"/>
      <c r="E1280" s="70"/>
      <c r="F1280" s="70"/>
      <c r="G1280" s="70"/>
      <c r="H1280" s="70"/>
      <c r="I1280" s="70"/>
      <c r="J1280" s="70"/>
    </row>
    <row r="1281" spans="1:10" ht="15" x14ac:dyDescent="0.2">
      <c r="A1281" s="70"/>
      <c r="B1281" s="70"/>
      <c r="C1281" s="70"/>
      <c r="D1281" s="70"/>
      <c r="E1281" s="70"/>
      <c r="F1281" s="70"/>
      <c r="G1281" s="70"/>
      <c r="H1281" s="70"/>
      <c r="I1281" s="70"/>
      <c r="J1281" s="70"/>
    </row>
    <row r="1282" spans="1:10" ht="15" x14ac:dyDescent="0.2">
      <c r="A1282" s="70"/>
      <c r="B1282" s="70"/>
      <c r="C1282" s="70"/>
      <c r="D1282" s="70"/>
      <c r="E1282" s="70"/>
      <c r="F1282" s="70"/>
      <c r="G1282" s="70"/>
      <c r="H1282" s="70"/>
      <c r="I1282" s="70"/>
      <c r="J1282" s="70"/>
    </row>
    <row r="1283" spans="1:10" ht="15" x14ac:dyDescent="0.2">
      <c r="A1283" s="70"/>
      <c r="B1283" s="70"/>
      <c r="C1283" s="70"/>
      <c r="D1283" s="70"/>
      <c r="E1283" s="70"/>
      <c r="F1283" s="70"/>
      <c r="G1283" s="70"/>
      <c r="H1283" s="70"/>
      <c r="I1283" s="70"/>
      <c r="J1283" s="70"/>
    </row>
    <row r="1284" spans="1:10" ht="15" x14ac:dyDescent="0.2">
      <c r="A1284" s="70"/>
      <c r="B1284" s="70"/>
      <c r="C1284" s="70"/>
      <c r="D1284" s="70"/>
      <c r="E1284" s="70"/>
      <c r="F1284" s="70"/>
      <c r="G1284" s="70"/>
      <c r="H1284" s="70"/>
      <c r="I1284" s="70"/>
      <c r="J1284" s="70"/>
    </row>
    <row r="1285" spans="1:10" ht="15" x14ac:dyDescent="0.2">
      <c r="A1285" s="70"/>
      <c r="B1285" s="70"/>
      <c r="C1285" s="70"/>
      <c r="D1285" s="70"/>
      <c r="E1285" s="70"/>
      <c r="F1285" s="70"/>
      <c r="G1285" s="70"/>
      <c r="H1285" s="70"/>
      <c r="I1285" s="70"/>
      <c r="J1285" s="70"/>
    </row>
    <row r="1286" spans="1:10" ht="15" x14ac:dyDescent="0.2">
      <c r="A1286" s="70"/>
      <c r="B1286" s="70"/>
      <c r="C1286" s="70"/>
      <c r="D1286" s="70"/>
      <c r="E1286" s="70"/>
      <c r="F1286" s="70"/>
      <c r="G1286" s="70"/>
      <c r="H1286" s="70"/>
      <c r="I1286" s="70"/>
      <c r="J1286" s="70"/>
    </row>
    <row r="1287" spans="1:10" ht="15" x14ac:dyDescent="0.2">
      <c r="A1287" s="70"/>
      <c r="B1287" s="70"/>
      <c r="C1287" s="70"/>
      <c r="D1287" s="70"/>
      <c r="E1287" s="70"/>
      <c r="F1287" s="70"/>
      <c r="G1287" s="70"/>
      <c r="H1287" s="70"/>
      <c r="I1287" s="70"/>
      <c r="J1287" s="70"/>
    </row>
    <row r="1288" spans="1:10" ht="15" x14ac:dyDescent="0.2">
      <c r="A1288" s="70"/>
      <c r="B1288" s="70"/>
      <c r="C1288" s="70"/>
      <c r="D1288" s="70"/>
      <c r="E1288" s="70"/>
      <c r="F1288" s="70"/>
      <c r="G1288" s="70"/>
      <c r="H1288" s="70"/>
      <c r="I1288" s="70"/>
      <c r="J1288" s="70"/>
    </row>
    <row r="1289" spans="1:10" ht="15" x14ac:dyDescent="0.2">
      <c r="A1289" s="70"/>
      <c r="B1289" s="70"/>
      <c r="C1289" s="70"/>
      <c r="D1289" s="70"/>
      <c r="E1289" s="70"/>
      <c r="F1289" s="70"/>
      <c r="G1289" s="70"/>
      <c r="H1289" s="70"/>
      <c r="I1289" s="70"/>
      <c r="J1289" s="70"/>
    </row>
    <row r="1290" spans="1:10" ht="15" x14ac:dyDescent="0.2">
      <c r="A1290" s="70"/>
      <c r="B1290" s="70"/>
      <c r="C1290" s="70"/>
      <c r="D1290" s="70"/>
      <c r="E1290" s="70"/>
      <c r="F1290" s="70"/>
      <c r="G1290" s="70"/>
      <c r="H1290" s="70"/>
      <c r="I1290" s="70"/>
      <c r="J1290" s="70"/>
    </row>
    <row r="1291" spans="1:10" ht="15" x14ac:dyDescent="0.2">
      <c r="A1291" s="70"/>
      <c r="B1291" s="70"/>
      <c r="C1291" s="70"/>
      <c r="D1291" s="70"/>
      <c r="E1291" s="70"/>
      <c r="F1291" s="70"/>
      <c r="G1291" s="70"/>
      <c r="H1291" s="70"/>
      <c r="I1291" s="70"/>
      <c r="J1291" s="70"/>
    </row>
    <row r="1292" spans="1:10" ht="15" x14ac:dyDescent="0.2">
      <c r="A1292" s="70"/>
      <c r="B1292" s="70"/>
      <c r="C1292" s="70"/>
      <c r="D1292" s="70"/>
      <c r="E1292" s="70"/>
      <c r="F1292" s="70"/>
      <c r="G1292" s="70"/>
      <c r="H1292" s="70"/>
      <c r="I1292" s="70"/>
      <c r="J1292" s="70"/>
    </row>
    <row r="1293" spans="1:10" ht="15" x14ac:dyDescent="0.2">
      <c r="A1293" s="70"/>
      <c r="B1293" s="70"/>
      <c r="C1293" s="70"/>
      <c r="D1293" s="70"/>
      <c r="E1293" s="70"/>
      <c r="F1293" s="70"/>
      <c r="G1293" s="70"/>
      <c r="H1293" s="70"/>
      <c r="I1293" s="70"/>
      <c r="J1293" s="70"/>
    </row>
    <row r="1294" spans="1:10" ht="15" x14ac:dyDescent="0.2">
      <c r="A1294" s="70"/>
      <c r="B1294" s="70"/>
      <c r="C1294" s="70"/>
      <c r="D1294" s="70"/>
      <c r="E1294" s="70"/>
      <c r="F1294" s="70"/>
      <c r="G1294" s="70"/>
      <c r="H1294" s="70"/>
      <c r="I1294" s="70"/>
      <c r="J1294" s="70"/>
    </row>
    <row r="1295" spans="1:10" ht="15" x14ac:dyDescent="0.2">
      <c r="A1295" s="70"/>
      <c r="B1295" s="70"/>
      <c r="C1295" s="70"/>
      <c r="D1295" s="70"/>
      <c r="E1295" s="70"/>
      <c r="F1295" s="70"/>
      <c r="G1295" s="70"/>
      <c r="H1295" s="70"/>
      <c r="I1295" s="70"/>
      <c r="J1295" s="70"/>
    </row>
    <row r="1296" spans="1:10" ht="15" x14ac:dyDescent="0.2">
      <c r="A1296" s="70"/>
      <c r="B1296" s="70"/>
      <c r="C1296" s="70"/>
      <c r="D1296" s="70"/>
      <c r="E1296" s="70"/>
      <c r="F1296" s="70"/>
      <c r="G1296" s="70"/>
      <c r="H1296" s="70"/>
      <c r="I1296" s="70"/>
      <c r="J1296" s="70"/>
    </row>
    <row r="1297" spans="1:10" ht="15" x14ac:dyDescent="0.2">
      <c r="A1297" s="70"/>
      <c r="B1297" s="70"/>
      <c r="C1297" s="70"/>
      <c r="D1297" s="70"/>
      <c r="E1297" s="70"/>
      <c r="F1297" s="70"/>
      <c r="G1297" s="70"/>
      <c r="H1297" s="70"/>
      <c r="I1297" s="70"/>
      <c r="J1297" s="70"/>
    </row>
    <row r="1298" spans="1:10" ht="15" x14ac:dyDescent="0.2">
      <c r="A1298" s="70"/>
      <c r="B1298" s="70"/>
      <c r="C1298" s="70"/>
      <c r="D1298" s="70"/>
      <c r="E1298" s="70"/>
      <c r="F1298" s="70"/>
      <c r="G1298" s="70"/>
      <c r="H1298" s="70"/>
      <c r="I1298" s="70"/>
      <c r="J1298" s="70"/>
    </row>
    <row r="1299" spans="1:10" ht="15" x14ac:dyDescent="0.2">
      <c r="A1299" s="70"/>
      <c r="B1299" s="70"/>
      <c r="C1299" s="70"/>
      <c r="D1299" s="70"/>
      <c r="E1299" s="70"/>
      <c r="F1299" s="70"/>
      <c r="G1299" s="70"/>
      <c r="H1299" s="70"/>
      <c r="I1299" s="70"/>
      <c r="J1299" s="70"/>
    </row>
    <row r="1300" spans="1:10" ht="15" x14ac:dyDescent="0.2">
      <c r="A1300" s="70"/>
      <c r="B1300" s="70"/>
      <c r="C1300" s="70"/>
      <c r="D1300" s="70"/>
      <c r="E1300" s="70"/>
      <c r="F1300" s="70"/>
      <c r="G1300" s="70"/>
      <c r="H1300" s="70"/>
      <c r="I1300" s="70"/>
      <c r="J1300" s="70"/>
    </row>
    <row r="1301" spans="1:10" ht="15" x14ac:dyDescent="0.2">
      <c r="A1301" s="70"/>
      <c r="B1301" s="70"/>
      <c r="C1301" s="70"/>
      <c r="D1301" s="70"/>
      <c r="E1301" s="70"/>
      <c r="F1301" s="70"/>
      <c r="G1301" s="70"/>
      <c r="H1301" s="70"/>
      <c r="I1301" s="70"/>
      <c r="J1301" s="70"/>
    </row>
    <row r="1302" spans="1:10" ht="15" x14ac:dyDescent="0.2">
      <c r="A1302" s="70"/>
      <c r="B1302" s="70"/>
      <c r="C1302" s="70"/>
      <c r="D1302" s="70"/>
      <c r="E1302" s="70"/>
      <c r="F1302" s="70"/>
      <c r="G1302" s="70"/>
      <c r="H1302" s="70"/>
      <c r="I1302" s="70"/>
      <c r="J1302" s="70"/>
    </row>
    <row r="1303" spans="1:10" ht="15" x14ac:dyDescent="0.2">
      <c r="A1303" s="70"/>
      <c r="B1303" s="70"/>
      <c r="C1303" s="70"/>
      <c r="D1303" s="70"/>
      <c r="E1303" s="70"/>
      <c r="F1303" s="70"/>
      <c r="G1303" s="70"/>
      <c r="H1303" s="70"/>
      <c r="I1303" s="70"/>
      <c r="J1303" s="70"/>
    </row>
    <row r="1304" spans="1:10" ht="15" x14ac:dyDescent="0.2">
      <c r="A1304" s="70"/>
      <c r="B1304" s="70"/>
      <c r="C1304" s="70"/>
      <c r="D1304" s="70"/>
      <c r="E1304" s="70"/>
      <c r="F1304" s="70"/>
      <c r="G1304" s="70"/>
      <c r="H1304" s="70"/>
      <c r="I1304" s="70"/>
      <c r="J1304" s="70"/>
    </row>
    <row r="1305" spans="1:10" ht="15" x14ac:dyDescent="0.2">
      <c r="A1305" s="70"/>
      <c r="B1305" s="70"/>
      <c r="C1305" s="70"/>
      <c r="D1305" s="70"/>
      <c r="E1305" s="70"/>
      <c r="F1305" s="70"/>
      <c r="G1305" s="70"/>
      <c r="H1305" s="70"/>
      <c r="I1305" s="70"/>
      <c r="J1305" s="70"/>
    </row>
    <row r="1306" spans="1:10" ht="15" x14ac:dyDescent="0.2">
      <c r="A1306" s="70"/>
      <c r="B1306" s="70"/>
      <c r="C1306" s="70"/>
      <c r="D1306" s="70"/>
      <c r="E1306" s="70"/>
      <c r="F1306" s="70"/>
      <c r="G1306" s="70"/>
      <c r="H1306" s="70"/>
      <c r="I1306" s="70"/>
      <c r="J1306" s="70"/>
    </row>
    <row r="1307" spans="1:10" ht="15" x14ac:dyDescent="0.2">
      <c r="A1307" s="70"/>
      <c r="B1307" s="70"/>
      <c r="C1307" s="70"/>
      <c r="D1307" s="70"/>
      <c r="E1307" s="70"/>
      <c r="F1307" s="70"/>
      <c r="G1307" s="70"/>
      <c r="H1307" s="70"/>
      <c r="I1307" s="70"/>
      <c r="J1307" s="70"/>
    </row>
    <row r="1308" spans="1:10" ht="15" x14ac:dyDescent="0.2">
      <c r="A1308" s="70"/>
      <c r="B1308" s="70"/>
      <c r="C1308" s="70"/>
      <c r="D1308" s="70"/>
      <c r="E1308" s="70"/>
      <c r="F1308" s="70"/>
      <c r="G1308" s="70"/>
      <c r="H1308" s="70"/>
      <c r="I1308" s="70"/>
      <c r="J1308" s="70"/>
    </row>
    <row r="1309" spans="1:10" ht="15" x14ac:dyDescent="0.2">
      <c r="A1309" s="70"/>
      <c r="B1309" s="70"/>
      <c r="C1309" s="70"/>
      <c r="D1309" s="70"/>
      <c r="E1309" s="70"/>
      <c r="F1309" s="70"/>
      <c r="G1309" s="70"/>
      <c r="H1309" s="70"/>
      <c r="I1309" s="70"/>
      <c r="J1309" s="70"/>
    </row>
    <row r="1310" spans="1:10" ht="15" x14ac:dyDescent="0.2">
      <c r="A1310" s="70"/>
      <c r="B1310" s="70"/>
      <c r="C1310" s="70"/>
      <c r="D1310" s="70"/>
      <c r="E1310" s="70"/>
      <c r="F1310" s="70"/>
      <c r="G1310" s="70"/>
      <c r="H1310" s="70"/>
      <c r="I1310" s="70"/>
      <c r="J1310" s="70"/>
    </row>
    <row r="1311" spans="1:10" ht="15" x14ac:dyDescent="0.2">
      <c r="A1311" s="70"/>
      <c r="B1311" s="70"/>
      <c r="C1311" s="70"/>
      <c r="D1311" s="70"/>
      <c r="E1311" s="70"/>
      <c r="F1311" s="70"/>
      <c r="G1311" s="70"/>
      <c r="H1311" s="70"/>
      <c r="I1311" s="70"/>
      <c r="J1311" s="70"/>
    </row>
    <row r="1312" spans="1:10" ht="15" x14ac:dyDescent="0.2">
      <c r="A1312" s="70"/>
      <c r="B1312" s="70"/>
      <c r="C1312" s="70"/>
      <c r="D1312" s="70"/>
      <c r="E1312" s="70"/>
      <c r="F1312" s="70"/>
      <c r="G1312" s="70"/>
      <c r="H1312" s="70"/>
      <c r="I1312" s="70"/>
      <c r="J1312" s="70"/>
    </row>
    <row r="1313" spans="1:10" ht="15" x14ac:dyDescent="0.2">
      <c r="A1313" s="70"/>
      <c r="B1313" s="70"/>
      <c r="C1313" s="70"/>
      <c r="D1313" s="70"/>
      <c r="E1313" s="70"/>
      <c r="F1313" s="70"/>
      <c r="G1313" s="70"/>
      <c r="H1313" s="70"/>
      <c r="I1313" s="70"/>
      <c r="J1313" s="70"/>
    </row>
    <row r="1314" spans="1:10" ht="15" x14ac:dyDescent="0.2">
      <c r="A1314" s="70"/>
      <c r="B1314" s="70"/>
      <c r="C1314" s="70"/>
      <c r="D1314" s="70"/>
      <c r="E1314" s="70"/>
      <c r="F1314" s="70"/>
      <c r="G1314" s="70"/>
      <c r="H1314" s="70"/>
      <c r="I1314" s="70"/>
      <c r="J1314" s="70"/>
    </row>
    <row r="1315" spans="1:10" ht="15" x14ac:dyDescent="0.2">
      <c r="A1315" s="70"/>
      <c r="B1315" s="70"/>
      <c r="C1315" s="70"/>
      <c r="D1315" s="70"/>
      <c r="E1315" s="70"/>
      <c r="F1315" s="70"/>
      <c r="G1315" s="70"/>
      <c r="H1315" s="70"/>
      <c r="I1315" s="70"/>
      <c r="J1315" s="70"/>
    </row>
    <row r="1316" spans="1:10" ht="15" x14ac:dyDescent="0.2">
      <c r="A1316" s="70"/>
      <c r="B1316" s="70"/>
      <c r="C1316" s="70"/>
      <c r="D1316" s="70"/>
      <c r="E1316" s="70"/>
      <c r="F1316" s="70"/>
      <c r="G1316" s="70"/>
      <c r="H1316" s="70"/>
      <c r="I1316" s="70"/>
      <c r="J1316" s="70"/>
    </row>
    <row r="1317" spans="1:10" ht="15" x14ac:dyDescent="0.2">
      <c r="A1317" s="70"/>
      <c r="B1317" s="70"/>
      <c r="C1317" s="70"/>
      <c r="D1317" s="70"/>
      <c r="E1317" s="70"/>
      <c r="F1317" s="70"/>
      <c r="G1317" s="70"/>
      <c r="H1317" s="70"/>
      <c r="I1317" s="70"/>
      <c r="J1317" s="70"/>
    </row>
    <row r="1318" spans="1:10" ht="15" x14ac:dyDescent="0.2">
      <c r="A1318" s="70"/>
      <c r="B1318" s="70"/>
      <c r="C1318" s="70"/>
      <c r="D1318" s="70"/>
      <c r="E1318" s="70"/>
      <c r="F1318" s="70"/>
      <c r="G1318" s="70"/>
      <c r="H1318" s="70"/>
      <c r="I1318" s="70"/>
      <c r="J1318" s="70"/>
    </row>
    <row r="1319" spans="1:10" ht="15" x14ac:dyDescent="0.2">
      <c r="A1319" s="70"/>
      <c r="B1319" s="70"/>
      <c r="C1319" s="70"/>
      <c r="D1319" s="70"/>
      <c r="E1319" s="70"/>
      <c r="F1319" s="70"/>
      <c r="G1319" s="70"/>
      <c r="H1319" s="70"/>
      <c r="I1319" s="70"/>
      <c r="J1319" s="70"/>
    </row>
    <row r="1320" spans="1:10" ht="15" x14ac:dyDescent="0.2">
      <c r="A1320" s="70"/>
      <c r="B1320" s="70"/>
      <c r="C1320" s="70"/>
      <c r="D1320" s="70"/>
      <c r="E1320" s="70"/>
      <c r="F1320" s="70"/>
      <c r="G1320" s="70"/>
      <c r="H1320" s="70"/>
      <c r="I1320" s="70"/>
      <c r="J1320" s="70"/>
    </row>
    <row r="1321" spans="1:10" ht="15" x14ac:dyDescent="0.2">
      <c r="A1321" s="70"/>
      <c r="B1321" s="70"/>
      <c r="C1321" s="70"/>
      <c r="D1321" s="70"/>
      <c r="E1321" s="70"/>
      <c r="F1321" s="70"/>
      <c r="G1321" s="70"/>
      <c r="H1321" s="70"/>
      <c r="I1321" s="70"/>
      <c r="J1321" s="70"/>
    </row>
    <row r="1322" spans="1:10" ht="15" x14ac:dyDescent="0.2">
      <c r="A1322" s="70"/>
      <c r="B1322" s="70"/>
      <c r="C1322" s="70"/>
      <c r="D1322" s="70"/>
      <c r="E1322" s="70"/>
      <c r="F1322" s="70"/>
      <c r="G1322" s="70"/>
      <c r="H1322" s="70"/>
      <c r="I1322" s="70"/>
      <c r="J1322" s="70"/>
    </row>
    <row r="1323" spans="1:10" ht="15" x14ac:dyDescent="0.2">
      <c r="A1323" s="70"/>
      <c r="B1323" s="70"/>
      <c r="C1323" s="70"/>
      <c r="D1323" s="70"/>
      <c r="E1323" s="70"/>
      <c r="F1323" s="70"/>
      <c r="G1323" s="70"/>
      <c r="H1323" s="70"/>
      <c r="I1323" s="70"/>
      <c r="J1323" s="70"/>
    </row>
    <row r="1324" spans="1:10" ht="15" x14ac:dyDescent="0.2">
      <c r="A1324" s="70"/>
      <c r="B1324" s="70"/>
      <c r="C1324" s="70"/>
      <c r="D1324" s="70"/>
      <c r="E1324" s="70"/>
      <c r="F1324" s="70"/>
      <c r="G1324" s="70"/>
      <c r="H1324" s="70"/>
      <c r="I1324" s="70"/>
      <c r="J1324" s="70"/>
    </row>
    <row r="1325" spans="1:10" ht="15" x14ac:dyDescent="0.2">
      <c r="A1325" s="70"/>
      <c r="B1325" s="70"/>
      <c r="C1325" s="70"/>
      <c r="D1325" s="70"/>
      <c r="E1325" s="70"/>
      <c r="F1325" s="70"/>
      <c r="G1325" s="70"/>
      <c r="H1325" s="70"/>
      <c r="I1325" s="70"/>
      <c r="J1325" s="70"/>
    </row>
    <row r="1326" spans="1:10" ht="15" x14ac:dyDescent="0.2">
      <c r="A1326" s="70"/>
      <c r="B1326" s="70"/>
      <c r="C1326" s="70"/>
      <c r="D1326" s="70"/>
      <c r="E1326" s="70"/>
      <c r="F1326" s="70"/>
      <c r="G1326" s="70"/>
      <c r="H1326" s="70"/>
      <c r="I1326" s="70"/>
      <c r="J1326" s="70"/>
    </row>
    <row r="1327" spans="1:10" ht="15" x14ac:dyDescent="0.2">
      <c r="A1327" s="70"/>
      <c r="B1327" s="70"/>
      <c r="C1327" s="70"/>
      <c r="D1327" s="70"/>
      <c r="E1327" s="70"/>
      <c r="F1327" s="70"/>
      <c r="G1327" s="70"/>
      <c r="H1327" s="70"/>
      <c r="I1327" s="70"/>
      <c r="J1327" s="70"/>
    </row>
    <row r="1328" spans="1:10" ht="15" x14ac:dyDescent="0.2">
      <c r="A1328" s="70"/>
      <c r="B1328" s="70"/>
      <c r="C1328" s="70"/>
      <c r="D1328" s="70"/>
      <c r="E1328" s="70"/>
      <c r="F1328" s="70"/>
      <c r="G1328" s="70"/>
      <c r="H1328" s="70"/>
      <c r="I1328" s="70"/>
      <c r="J1328" s="70"/>
    </row>
    <row r="1329" spans="1:10" ht="15" x14ac:dyDescent="0.2">
      <c r="A1329" s="70"/>
      <c r="B1329" s="70"/>
      <c r="C1329" s="70"/>
      <c r="D1329" s="70"/>
      <c r="E1329" s="70"/>
      <c r="F1329" s="70"/>
      <c r="G1329" s="70"/>
      <c r="H1329" s="70"/>
      <c r="I1329" s="70"/>
      <c r="J1329" s="70"/>
    </row>
    <row r="1330" spans="1:10" ht="15" x14ac:dyDescent="0.2">
      <c r="A1330" s="70"/>
      <c r="B1330" s="70"/>
      <c r="C1330" s="70"/>
      <c r="D1330" s="70"/>
      <c r="E1330" s="70"/>
      <c r="F1330" s="70"/>
      <c r="G1330" s="70"/>
      <c r="H1330" s="70"/>
      <c r="I1330" s="70"/>
      <c r="J1330" s="70"/>
    </row>
    <row r="1331" spans="1:10" ht="15" x14ac:dyDescent="0.2">
      <c r="A1331" s="70"/>
      <c r="B1331" s="70"/>
      <c r="C1331" s="70"/>
      <c r="D1331" s="70"/>
      <c r="E1331" s="70"/>
      <c r="F1331" s="70"/>
      <c r="G1331" s="70"/>
      <c r="H1331" s="70"/>
      <c r="I1331" s="70"/>
      <c r="J1331" s="70"/>
    </row>
    <row r="1332" spans="1:10" ht="15" x14ac:dyDescent="0.2">
      <c r="A1332" s="70"/>
      <c r="B1332" s="70"/>
      <c r="C1332" s="70"/>
      <c r="D1332" s="70"/>
      <c r="E1332" s="70"/>
      <c r="F1332" s="70"/>
      <c r="G1332" s="70"/>
      <c r="H1332" s="70"/>
      <c r="I1332" s="70"/>
      <c r="J1332" s="70"/>
    </row>
    <row r="1333" spans="1:10" ht="15" x14ac:dyDescent="0.2">
      <c r="A1333" s="70"/>
      <c r="B1333" s="70"/>
      <c r="C1333" s="70"/>
      <c r="D1333" s="70"/>
      <c r="E1333" s="70"/>
      <c r="F1333" s="70"/>
      <c r="G1333" s="70"/>
      <c r="H1333" s="70"/>
      <c r="I1333" s="70"/>
      <c r="J1333" s="70"/>
    </row>
    <row r="1334" spans="1:10" ht="15" x14ac:dyDescent="0.2">
      <c r="A1334" s="70"/>
      <c r="B1334" s="70"/>
      <c r="C1334" s="70"/>
      <c r="D1334" s="70"/>
      <c r="E1334" s="70"/>
      <c r="F1334" s="70"/>
      <c r="G1334" s="70"/>
      <c r="H1334" s="70"/>
      <c r="I1334" s="70"/>
      <c r="J1334" s="70"/>
    </row>
    <row r="1335" spans="1:10" ht="15" x14ac:dyDescent="0.2">
      <c r="A1335" s="70"/>
      <c r="B1335" s="70"/>
      <c r="C1335" s="70"/>
      <c r="D1335" s="70"/>
      <c r="E1335" s="70"/>
      <c r="F1335" s="70"/>
      <c r="G1335" s="70"/>
      <c r="H1335" s="70"/>
      <c r="I1335" s="70"/>
      <c r="J1335" s="70"/>
    </row>
    <row r="1336" spans="1:10" ht="15" x14ac:dyDescent="0.2">
      <c r="A1336" s="70"/>
      <c r="B1336" s="70"/>
      <c r="C1336" s="70"/>
      <c r="D1336" s="70"/>
      <c r="E1336" s="70"/>
      <c r="F1336" s="70"/>
      <c r="G1336" s="70"/>
      <c r="H1336" s="70"/>
      <c r="I1336" s="70"/>
      <c r="J1336" s="70"/>
    </row>
    <row r="1337" spans="1:10" ht="15" x14ac:dyDescent="0.2">
      <c r="A1337" s="70"/>
      <c r="B1337" s="70"/>
      <c r="C1337" s="70"/>
      <c r="D1337" s="70"/>
      <c r="E1337" s="70"/>
      <c r="F1337" s="70"/>
      <c r="G1337" s="70"/>
      <c r="H1337" s="70"/>
      <c r="I1337" s="70"/>
      <c r="J1337" s="70"/>
    </row>
    <row r="1338" spans="1:10" ht="15" x14ac:dyDescent="0.2">
      <c r="A1338" s="70"/>
      <c r="B1338" s="70"/>
      <c r="C1338" s="70"/>
      <c r="D1338" s="70"/>
      <c r="E1338" s="70"/>
      <c r="F1338" s="70"/>
      <c r="G1338" s="70"/>
      <c r="H1338" s="70"/>
      <c r="I1338" s="70"/>
      <c r="J1338" s="70"/>
    </row>
    <row r="1339" spans="1:10" ht="15" x14ac:dyDescent="0.2">
      <c r="A1339" s="70"/>
      <c r="B1339" s="70"/>
      <c r="C1339" s="70"/>
      <c r="D1339" s="70"/>
      <c r="E1339" s="70"/>
      <c r="F1339" s="70"/>
      <c r="G1339" s="70"/>
      <c r="H1339" s="70"/>
      <c r="I1339" s="70"/>
      <c r="J1339" s="70"/>
    </row>
    <row r="1340" spans="1:10" ht="15" x14ac:dyDescent="0.2">
      <c r="A1340" s="70"/>
      <c r="B1340" s="70"/>
      <c r="C1340" s="70"/>
      <c r="D1340" s="70"/>
      <c r="E1340" s="70"/>
      <c r="F1340" s="70"/>
      <c r="G1340" s="70"/>
      <c r="H1340" s="70"/>
      <c r="I1340" s="70"/>
      <c r="J1340" s="70"/>
    </row>
    <row r="1341" spans="1:10" ht="15" x14ac:dyDescent="0.2">
      <c r="A1341" s="70"/>
      <c r="B1341" s="70"/>
      <c r="C1341" s="70"/>
      <c r="D1341" s="70"/>
      <c r="E1341" s="70"/>
      <c r="F1341" s="70"/>
      <c r="G1341" s="70"/>
      <c r="H1341" s="70"/>
      <c r="I1341" s="70"/>
      <c r="J1341" s="70"/>
    </row>
    <row r="1342" spans="1:10" ht="15" x14ac:dyDescent="0.2">
      <c r="A1342" s="70"/>
      <c r="B1342" s="70"/>
      <c r="C1342" s="70"/>
      <c r="D1342" s="70"/>
      <c r="E1342" s="70"/>
      <c r="F1342" s="70"/>
      <c r="G1342" s="70"/>
      <c r="H1342" s="70"/>
      <c r="I1342" s="70"/>
      <c r="J1342" s="70"/>
    </row>
    <row r="1343" spans="1:10" ht="15" x14ac:dyDescent="0.2">
      <c r="A1343" s="70"/>
      <c r="B1343" s="70"/>
      <c r="C1343" s="70"/>
      <c r="D1343" s="70"/>
      <c r="E1343" s="70"/>
      <c r="F1343" s="70"/>
      <c r="G1343" s="70"/>
      <c r="H1343" s="70"/>
      <c r="I1343" s="70"/>
      <c r="J1343" s="70"/>
    </row>
    <row r="1344" spans="1:10" ht="15" x14ac:dyDescent="0.2">
      <c r="A1344" s="70"/>
      <c r="B1344" s="70"/>
      <c r="C1344" s="70"/>
      <c r="D1344" s="70"/>
      <c r="E1344" s="70"/>
      <c r="F1344" s="70"/>
      <c r="G1344" s="70"/>
      <c r="H1344" s="70"/>
      <c r="I1344" s="70"/>
      <c r="J1344" s="70"/>
    </row>
    <row r="1345" spans="1:10" ht="15" x14ac:dyDescent="0.2">
      <c r="A1345" s="70"/>
      <c r="B1345" s="70"/>
      <c r="C1345" s="70"/>
      <c r="D1345" s="70"/>
      <c r="E1345" s="70"/>
      <c r="F1345" s="70"/>
      <c r="G1345" s="70"/>
      <c r="H1345" s="70"/>
      <c r="I1345" s="70"/>
      <c r="J1345" s="70"/>
    </row>
    <row r="1346" spans="1:10" ht="15" x14ac:dyDescent="0.2">
      <c r="A1346" s="70"/>
      <c r="B1346" s="70"/>
      <c r="C1346" s="70"/>
      <c r="D1346" s="70"/>
      <c r="E1346" s="70"/>
      <c r="F1346" s="70"/>
      <c r="G1346" s="70"/>
      <c r="H1346" s="70"/>
      <c r="I1346" s="70"/>
      <c r="J1346" s="70"/>
    </row>
    <row r="1347" spans="1:10" ht="15" x14ac:dyDescent="0.2">
      <c r="A1347" s="70"/>
      <c r="B1347" s="70"/>
      <c r="C1347" s="70"/>
      <c r="D1347" s="70"/>
      <c r="E1347" s="70"/>
      <c r="F1347" s="70"/>
      <c r="G1347" s="70"/>
      <c r="H1347" s="70"/>
      <c r="I1347" s="70"/>
      <c r="J1347" s="70"/>
    </row>
    <row r="1348" spans="1:10" ht="15" x14ac:dyDescent="0.2">
      <c r="A1348" s="70"/>
      <c r="B1348" s="70"/>
      <c r="C1348" s="70"/>
      <c r="D1348" s="70"/>
      <c r="E1348" s="70"/>
      <c r="F1348" s="70"/>
      <c r="G1348" s="70"/>
      <c r="H1348" s="70"/>
      <c r="I1348" s="70"/>
      <c r="J1348" s="70"/>
    </row>
    <row r="1349" spans="1:10" ht="15" x14ac:dyDescent="0.2">
      <c r="A1349" s="70"/>
      <c r="B1349" s="70"/>
      <c r="C1349" s="70"/>
      <c r="D1349" s="70"/>
      <c r="E1349" s="70"/>
      <c r="F1349" s="70"/>
      <c r="G1349" s="70"/>
      <c r="H1349" s="70"/>
      <c r="I1349" s="70"/>
      <c r="J1349" s="70"/>
    </row>
    <row r="1350" spans="1:10" ht="15" x14ac:dyDescent="0.2">
      <c r="A1350" s="70"/>
      <c r="B1350" s="70"/>
      <c r="C1350" s="70"/>
      <c r="D1350" s="70"/>
      <c r="E1350" s="70"/>
      <c r="F1350" s="70"/>
      <c r="G1350" s="70"/>
      <c r="H1350" s="70"/>
      <c r="I1350" s="70"/>
      <c r="J1350" s="70"/>
    </row>
    <row r="1351" spans="1:10" ht="15" x14ac:dyDescent="0.2">
      <c r="A1351" s="70"/>
      <c r="B1351" s="70"/>
      <c r="C1351" s="70"/>
      <c r="D1351" s="70"/>
      <c r="E1351" s="70"/>
      <c r="F1351" s="70"/>
      <c r="G1351" s="70"/>
      <c r="H1351" s="70"/>
      <c r="I1351" s="70"/>
      <c r="J1351" s="70"/>
    </row>
    <row r="1352" spans="1:10" ht="15" x14ac:dyDescent="0.2">
      <c r="A1352" s="70"/>
      <c r="B1352" s="70"/>
      <c r="C1352" s="70"/>
      <c r="D1352" s="70"/>
      <c r="E1352" s="70"/>
      <c r="F1352" s="70"/>
      <c r="G1352" s="70"/>
      <c r="H1352" s="70"/>
      <c r="I1352" s="70"/>
      <c r="J1352" s="70"/>
    </row>
    <row r="1353" spans="1:10" ht="15" x14ac:dyDescent="0.2">
      <c r="A1353" s="70"/>
      <c r="B1353" s="70"/>
      <c r="C1353" s="70"/>
      <c r="D1353" s="70"/>
      <c r="E1353" s="70"/>
      <c r="F1353" s="70"/>
      <c r="G1353" s="70"/>
      <c r="H1353" s="70"/>
      <c r="I1353" s="70"/>
      <c r="J1353" s="70"/>
    </row>
    <row r="1354" spans="1:10" ht="15" x14ac:dyDescent="0.2">
      <c r="A1354" s="70"/>
      <c r="B1354" s="70"/>
      <c r="C1354" s="70"/>
      <c r="D1354" s="70"/>
      <c r="E1354" s="70"/>
      <c r="F1354" s="70"/>
      <c r="G1354" s="70"/>
      <c r="H1354" s="70"/>
      <c r="I1354" s="70"/>
      <c r="J1354" s="70"/>
    </row>
    <row r="1355" spans="1:10" ht="15" x14ac:dyDescent="0.2">
      <c r="A1355" s="70"/>
      <c r="B1355" s="70"/>
      <c r="C1355" s="70"/>
      <c r="D1355" s="70"/>
      <c r="E1355" s="70"/>
      <c r="F1355" s="70"/>
      <c r="G1355" s="70"/>
      <c r="H1355" s="70"/>
      <c r="I1355" s="70"/>
      <c r="J1355" s="70"/>
    </row>
    <row r="1356" spans="1:10" ht="15" x14ac:dyDescent="0.2">
      <c r="A1356" s="70"/>
      <c r="B1356" s="70"/>
      <c r="C1356" s="70"/>
      <c r="D1356" s="70"/>
      <c r="E1356" s="70"/>
      <c r="F1356" s="70"/>
      <c r="G1356" s="70"/>
      <c r="H1356" s="70"/>
      <c r="I1356" s="70"/>
      <c r="J1356" s="70"/>
    </row>
    <row r="1357" spans="1:10" ht="15" x14ac:dyDescent="0.2">
      <c r="A1357" s="70"/>
      <c r="B1357" s="70"/>
      <c r="C1357" s="70"/>
      <c r="D1357" s="70"/>
      <c r="E1357" s="70"/>
      <c r="F1357" s="70"/>
      <c r="G1357" s="70"/>
      <c r="H1357" s="70"/>
      <c r="I1357" s="70"/>
      <c r="J1357" s="70"/>
    </row>
    <row r="1358" spans="1:10" ht="15" x14ac:dyDescent="0.2">
      <c r="A1358" s="70"/>
      <c r="B1358" s="70"/>
      <c r="C1358" s="70"/>
      <c r="D1358" s="70"/>
      <c r="E1358" s="70"/>
      <c r="F1358" s="70"/>
      <c r="G1358" s="70"/>
      <c r="H1358" s="70"/>
      <c r="I1358" s="70"/>
      <c r="J1358" s="70"/>
    </row>
    <row r="1359" spans="1:10" ht="15" x14ac:dyDescent="0.2">
      <c r="A1359" s="70"/>
      <c r="B1359" s="70"/>
      <c r="C1359" s="70"/>
      <c r="D1359" s="70"/>
      <c r="E1359" s="70"/>
      <c r="F1359" s="70"/>
      <c r="G1359" s="70"/>
      <c r="H1359" s="70"/>
      <c r="I1359" s="70"/>
      <c r="J1359" s="70"/>
    </row>
    <row r="1360" spans="1:10" ht="15" x14ac:dyDescent="0.2">
      <c r="A1360" s="70"/>
      <c r="B1360" s="70"/>
      <c r="C1360" s="70"/>
      <c r="D1360" s="70"/>
      <c r="E1360" s="70"/>
      <c r="F1360" s="70"/>
      <c r="G1360" s="70"/>
      <c r="H1360" s="70"/>
      <c r="I1360" s="70"/>
      <c r="J1360" s="70"/>
    </row>
    <row r="1361" spans="1:10" ht="15" x14ac:dyDescent="0.2">
      <c r="A1361" s="70"/>
      <c r="B1361" s="70"/>
      <c r="C1361" s="70"/>
      <c r="D1361" s="70"/>
      <c r="E1361" s="70"/>
      <c r="F1361" s="70"/>
      <c r="G1361" s="70"/>
      <c r="H1361" s="70"/>
      <c r="I1361" s="70"/>
      <c r="J1361" s="70"/>
    </row>
    <row r="1362" spans="1:10" ht="15" x14ac:dyDescent="0.2">
      <c r="A1362" s="70"/>
      <c r="B1362" s="70"/>
      <c r="C1362" s="70"/>
      <c r="D1362" s="70"/>
      <c r="E1362" s="70"/>
      <c r="F1362" s="70"/>
      <c r="G1362" s="70"/>
      <c r="H1362" s="70"/>
      <c r="I1362" s="70"/>
      <c r="J1362" s="70"/>
    </row>
    <row r="1363" spans="1:10" ht="15" x14ac:dyDescent="0.2">
      <c r="A1363" s="70"/>
      <c r="B1363" s="70"/>
      <c r="C1363" s="70"/>
      <c r="D1363" s="70"/>
      <c r="E1363" s="70"/>
      <c r="F1363" s="70"/>
      <c r="G1363" s="70"/>
      <c r="H1363" s="70"/>
      <c r="I1363" s="70"/>
      <c r="J1363" s="70"/>
    </row>
    <row r="1364" spans="1:10" ht="15" x14ac:dyDescent="0.2">
      <c r="A1364" s="70"/>
      <c r="B1364" s="70"/>
      <c r="C1364" s="70"/>
      <c r="D1364" s="70"/>
      <c r="E1364" s="70"/>
      <c r="F1364" s="70"/>
      <c r="G1364" s="70"/>
      <c r="H1364" s="70"/>
      <c r="I1364" s="70"/>
      <c r="J1364" s="70"/>
    </row>
    <row r="1365" spans="1:10" ht="15" x14ac:dyDescent="0.2">
      <c r="A1365" s="70"/>
      <c r="B1365" s="70"/>
      <c r="C1365" s="70"/>
      <c r="D1365" s="70"/>
      <c r="E1365" s="70"/>
      <c r="F1365" s="70"/>
      <c r="G1365" s="70"/>
      <c r="H1365" s="70"/>
      <c r="I1365" s="70"/>
      <c r="J1365" s="70"/>
    </row>
    <row r="1366" spans="1:10" ht="15" x14ac:dyDescent="0.2">
      <c r="A1366" s="70"/>
      <c r="B1366" s="70"/>
      <c r="C1366" s="70"/>
      <c r="D1366" s="70"/>
      <c r="E1366" s="70"/>
      <c r="F1366" s="70"/>
      <c r="G1366" s="70"/>
      <c r="H1366" s="70"/>
      <c r="I1366" s="70"/>
      <c r="J1366" s="70"/>
    </row>
    <row r="1367" spans="1:10" ht="15" x14ac:dyDescent="0.2">
      <c r="A1367" s="70"/>
      <c r="B1367" s="70"/>
      <c r="C1367" s="70"/>
      <c r="D1367" s="70"/>
      <c r="E1367" s="70"/>
      <c r="F1367" s="70"/>
      <c r="G1367" s="70"/>
      <c r="H1367" s="70"/>
      <c r="I1367" s="70"/>
      <c r="J1367" s="70"/>
    </row>
    <row r="1368" spans="1:10" ht="15" x14ac:dyDescent="0.2">
      <c r="A1368" s="70"/>
      <c r="B1368" s="70"/>
      <c r="C1368" s="70"/>
      <c r="D1368" s="70"/>
      <c r="E1368" s="70"/>
      <c r="F1368" s="70"/>
      <c r="G1368" s="70"/>
      <c r="H1368" s="70"/>
      <c r="I1368" s="70"/>
      <c r="J1368" s="70"/>
    </row>
    <row r="1369" spans="1:10" ht="15" x14ac:dyDescent="0.2">
      <c r="A1369" s="70"/>
      <c r="B1369" s="70"/>
      <c r="C1369" s="70"/>
      <c r="D1369" s="70"/>
      <c r="E1369" s="70"/>
      <c r="F1369" s="70"/>
      <c r="G1369" s="70"/>
      <c r="H1369" s="70"/>
      <c r="I1369" s="70"/>
      <c r="J1369" s="70"/>
    </row>
    <row r="1370" spans="1:10" ht="15" x14ac:dyDescent="0.2">
      <c r="A1370" s="70"/>
      <c r="B1370" s="70"/>
      <c r="C1370" s="70"/>
      <c r="D1370" s="70"/>
      <c r="E1370" s="70"/>
      <c r="F1370" s="70"/>
      <c r="G1370" s="70"/>
      <c r="H1370" s="70"/>
      <c r="I1370" s="70"/>
      <c r="J1370" s="70"/>
    </row>
    <row r="1371" spans="1:10" ht="15" x14ac:dyDescent="0.2">
      <c r="A1371" s="70"/>
      <c r="B1371" s="70"/>
      <c r="C1371" s="70"/>
      <c r="D1371" s="70"/>
      <c r="E1371" s="70"/>
      <c r="F1371" s="70"/>
      <c r="G1371" s="70"/>
      <c r="H1371" s="70"/>
      <c r="I1371" s="70"/>
      <c r="J1371" s="70"/>
    </row>
    <row r="1372" spans="1:10" ht="15" x14ac:dyDescent="0.2">
      <c r="A1372" s="70"/>
      <c r="B1372" s="70"/>
      <c r="C1372" s="70"/>
      <c r="D1372" s="70"/>
      <c r="E1372" s="70"/>
      <c r="F1372" s="70"/>
      <c r="G1372" s="70"/>
      <c r="H1372" s="70"/>
      <c r="I1372" s="70"/>
      <c r="J1372" s="70"/>
    </row>
    <row r="1373" spans="1:10" ht="15" x14ac:dyDescent="0.2">
      <c r="A1373" s="70"/>
      <c r="B1373" s="70"/>
      <c r="C1373" s="70"/>
      <c r="D1373" s="70"/>
      <c r="E1373" s="70"/>
      <c r="F1373" s="70"/>
      <c r="G1373" s="70"/>
      <c r="H1373" s="70"/>
      <c r="I1373" s="70"/>
      <c r="J1373" s="70"/>
    </row>
    <row r="1374" spans="1:10" ht="15" x14ac:dyDescent="0.2">
      <c r="A1374" s="70"/>
      <c r="B1374" s="70"/>
      <c r="C1374" s="70"/>
      <c r="D1374" s="70"/>
      <c r="E1374" s="70"/>
      <c r="F1374" s="70"/>
      <c r="G1374" s="70"/>
      <c r="H1374" s="70"/>
      <c r="I1374" s="70"/>
      <c r="J1374" s="70"/>
    </row>
    <row r="1375" spans="1:10" ht="15" x14ac:dyDescent="0.2">
      <c r="A1375" s="70"/>
      <c r="B1375" s="70"/>
      <c r="C1375" s="70"/>
      <c r="D1375" s="70"/>
      <c r="E1375" s="70"/>
      <c r="F1375" s="70"/>
      <c r="G1375" s="70"/>
      <c r="H1375" s="70"/>
      <c r="I1375" s="70"/>
      <c r="J1375" s="70"/>
    </row>
    <row r="1376" spans="1:10" ht="15" x14ac:dyDescent="0.2">
      <c r="A1376" s="70"/>
      <c r="B1376" s="70"/>
      <c r="C1376" s="70"/>
      <c r="D1376" s="70"/>
      <c r="E1376" s="70"/>
      <c r="F1376" s="70"/>
      <c r="G1376" s="70"/>
      <c r="H1376" s="70"/>
      <c r="I1376" s="70"/>
      <c r="J1376" s="70"/>
    </row>
    <row r="1377" spans="1:10" ht="15" x14ac:dyDescent="0.2">
      <c r="A1377" s="70"/>
      <c r="B1377" s="70"/>
      <c r="C1377" s="70"/>
      <c r="D1377" s="70"/>
      <c r="E1377" s="70"/>
      <c r="F1377" s="70"/>
      <c r="G1377" s="70"/>
      <c r="H1377" s="70"/>
      <c r="I1377" s="70"/>
      <c r="J1377" s="70"/>
    </row>
    <row r="1378" spans="1:10" ht="15" x14ac:dyDescent="0.2">
      <c r="A1378" s="70"/>
      <c r="B1378" s="70"/>
      <c r="C1378" s="70"/>
      <c r="D1378" s="70"/>
      <c r="E1378" s="70"/>
      <c r="F1378" s="70"/>
      <c r="G1378" s="70"/>
      <c r="H1378" s="70"/>
      <c r="I1378" s="70"/>
      <c r="J1378" s="70"/>
    </row>
    <row r="1379" spans="1:10" ht="15" x14ac:dyDescent="0.2">
      <c r="A1379" s="70"/>
      <c r="B1379" s="70"/>
      <c r="C1379" s="70"/>
      <c r="D1379" s="70"/>
      <c r="E1379" s="70"/>
      <c r="F1379" s="70"/>
      <c r="G1379" s="70"/>
      <c r="H1379" s="70"/>
      <c r="I1379" s="70"/>
      <c r="J1379" s="70"/>
    </row>
    <row r="1380" spans="1:10" ht="15" x14ac:dyDescent="0.2">
      <c r="A1380" s="70"/>
      <c r="B1380" s="70"/>
      <c r="C1380" s="70"/>
      <c r="D1380" s="70"/>
      <c r="E1380" s="70"/>
      <c r="F1380" s="70"/>
      <c r="G1380" s="70"/>
      <c r="H1380" s="70"/>
      <c r="I1380" s="70"/>
      <c r="J1380" s="70"/>
    </row>
    <row r="1381" spans="1:10" ht="15" x14ac:dyDescent="0.2">
      <c r="A1381" s="70"/>
      <c r="B1381" s="70"/>
      <c r="C1381" s="70"/>
      <c r="D1381" s="70"/>
      <c r="E1381" s="70"/>
      <c r="F1381" s="70"/>
      <c r="G1381" s="70"/>
      <c r="H1381" s="70"/>
      <c r="I1381" s="70"/>
      <c r="J1381" s="70"/>
    </row>
    <row r="1382" spans="1:10" ht="15" x14ac:dyDescent="0.2">
      <c r="A1382" s="70"/>
      <c r="B1382" s="70"/>
      <c r="C1382" s="70"/>
      <c r="D1382" s="70"/>
      <c r="E1382" s="70"/>
      <c r="F1382" s="70"/>
      <c r="G1382" s="70"/>
      <c r="H1382" s="70"/>
      <c r="I1382" s="70"/>
      <c r="J1382" s="70"/>
    </row>
    <row r="1383" spans="1:10" ht="15" x14ac:dyDescent="0.2">
      <c r="A1383" s="70"/>
      <c r="B1383" s="70"/>
      <c r="C1383" s="70"/>
      <c r="D1383" s="70"/>
      <c r="E1383" s="70"/>
      <c r="F1383" s="70"/>
      <c r="G1383" s="70"/>
      <c r="H1383" s="70"/>
      <c r="I1383" s="70"/>
      <c r="J1383" s="70"/>
    </row>
    <row r="1384" spans="1:10" ht="15" x14ac:dyDescent="0.2">
      <c r="A1384" s="70"/>
      <c r="B1384" s="70"/>
      <c r="C1384" s="70"/>
      <c r="D1384" s="70"/>
      <c r="E1384" s="70"/>
      <c r="F1384" s="70"/>
      <c r="G1384" s="70"/>
      <c r="H1384" s="70"/>
      <c r="I1384" s="70"/>
      <c r="J1384" s="70"/>
    </row>
    <row r="1385" spans="1:10" ht="15" x14ac:dyDescent="0.2">
      <c r="A1385" s="70"/>
      <c r="B1385" s="70"/>
      <c r="C1385" s="70"/>
      <c r="D1385" s="70"/>
      <c r="E1385" s="70"/>
      <c r="F1385" s="70"/>
      <c r="G1385" s="70"/>
      <c r="H1385" s="70"/>
      <c r="I1385" s="70"/>
      <c r="J1385" s="70"/>
    </row>
    <row r="1386" spans="1:10" ht="15" x14ac:dyDescent="0.2">
      <c r="A1386" s="70"/>
      <c r="B1386" s="70"/>
      <c r="C1386" s="70"/>
      <c r="D1386" s="70"/>
      <c r="E1386" s="70"/>
      <c r="F1386" s="70"/>
      <c r="G1386" s="70"/>
      <c r="H1386" s="70"/>
      <c r="I1386" s="70"/>
      <c r="J1386" s="70"/>
    </row>
    <row r="1387" spans="1:10" ht="15" x14ac:dyDescent="0.2">
      <c r="A1387" s="70"/>
      <c r="B1387" s="70"/>
      <c r="C1387" s="70"/>
      <c r="D1387" s="70"/>
      <c r="E1387" s="70"/>
      <c r="F1387" s="70"/>
      <c r="G1387" s="70"/>
      <c r="H1387" s="70"/>
      <c r="I1387" s="70"/>
      <c r="J1387" s="70"/>
    </row>
    <row r="1388" spans="1:10" ht="15" x14ac:dyDescent="0.2">
      <c r="A1388" s="70"/>
      <c r="B1388" s="70"/>
      <c r="C1388" s="70"/>
      <c r="D1388" s="70"/>
      <c r="E1388" s="70"/>
      <c r="F1388" s="70"/>
      <c r="G1388" s="70"/>
      <c r="H1388" s="70"/>
      <c r="I1388" s="70"/>
      <c r="J1388" s="70"/>
    </row>
    <row r="1389" spans="1:10" ht="15" x14ac:dyDescent="0.2">
      <c r="A1389" s="70"/>
      <c r="B1389" s="70"/>
      <c r="C1389" s="70"/>
      <c r="D1389" s="70"/>
      <c r="E1389" s="70"/>
      <c r="F1389" s="70"/>
      <c r="G1389" s="70"/>
      <c r="H1389" s="70"/>
      <c r="I1389" s="70"/>
      <c r="J1389" s="70"/>
    </row>
    <row r="1390" spans="1:10" ht="15" x14ac:dyDescent="0.2">
      <c r="A1390" s="70"/>
      <c r="B1390" s="70"/>
      <c r="C1390" s="70"/>
      <c r="D1390" s="70"/>
      <c r="E1390" s="70"/>
      <c r="F1390" s="70"/>
      <c r="G1390" s="70"/>
      <c r="H1390" s="70"/>
      <c r="I1390" s="70"/>
      <c r="J1390" s="70"/>
    </row>
    <row r="1391" spans="1:10" ht="15" x14ac:dyDescent="0.2">
      <c r="A1391" s="70"/>
      <c r="B1391" s="70"/>
      <c r="C1391" s="70"/>
      <c r="D1391" s="70"/>
      <c r="E1391" s="70"/>
      <c r="F1391" s="70"/>
      <c r="G1391" s="70"/>
      <c r="H1391" s="70"/>
      <c r="I1391" s="70"/>
      <c r="J1391" s="70"/>
    </row>
    <row r="1392" spans="1:10" ht="15" x14ac:dyDescent="0.2">
      <c r="A1392" s="70"/>
      <c r="B1392" s="70"/>
      <c r="C1392" s="70"/>
      <c r="D1392" s="70"/>
      <c r="E1392" s="70"/>
      <c r="F1392" s="70"/>
      <c r="G1392" s="70"/>
      <c r="H1392" s="70"/>
      <c r="I1392" s="70"/>
      <c r="J1392" s="70"/>
    </row>
    <row r="1393" spans="1:10" ht="15" x14ac:dyDescent="0.2">
      <c r="A1393" s="70"/>
      <c r="B1393" s="70"/>
      <c r="C1393" s="70"/>
      <c r="D1393" s="70"/>
      <c r="E1393" s="70"/>
      <c r="F1393" s="70"/>
      <c r="G1393" s="70"/>
      <c r="H1393" s="70"/>
      <c r="I1393" s="70"/>
      <c r="J1393" s="70"/>
    </row>
    <row r="1394" spans="1:10" ht="15" x14ac:dyDescent="0.2">
      <c r="A1394" s="70"/>
      <c r="B1394" s="70"/>
      <c r="C1394" s="70"/>
      <c r="D1394" s="70"/>
      <c r="E1394" s="70"/>
      <c r="F1394" s="70"/>
      <c r="G1394" s="70"/>
      <c r="H1394" s="70"/>
      <c r="I1394" s="70"/>
      <c r="J1394" s="70"/>
    </row>
    <row r="1395" spans="1:10" ht="15" x14ac:dyDescent="0.2">
      <c r="A1395" s="70"/>
      <c r="B1395" s="70"/>
      <c r="C1395" s="70"/>
      <c r="D1395" s="70"/>
      <c r="E1395" s="70"/>
      <c r="F1395" s="70"/>
      <c r="G1395" s="70"/>
      <c r="H1395" s="70"/>
      <c r="I1395" s="70"/>
      <c r="J1395" s="70"/>
    </row>
    <row r="1396" spans="1:10" ht="15" x14ac:dyDescent="0.2">
      <c r="A1396" s="70"/>
      <c r="B1396" s="70"/>
      <c r="C1396" s="70"/>
      <c r="D1396" s="70"/>
      <c r="E1396" s="70"/>
      <c r="F1396" s="70"/>
      <c r="G1396" s="70"/>
      <c r="H1396" s="70"/>
      <c r="I1396" s="70"/>
      <c r="J1396" s="70"/>
    </row>
    <row r="1397" spans="1:10" ht="15" x14ac:dyDescent="0.2">
      <c r="A1397" s="70"/>
      <c r="B1397" s="70"/>
      <c r="C1397" s="70"/>
      <c r="D1397" s="70"/>
      <c r="E1397" s="70"/>
      <c r="F1397" s="70"/>
      <c r="G1397" s="70"/>
      <c r="H1397" s="70"/>
      <c r="I1397" s="70"/>
      <c r="J1397" s="70"/>
    </row>
    <row r="1398" spans="1:10" ht="15" x14ac:dyDescent="0.2">
      <c r="A1398" s="70"/>
      <c r="B1398" s="70"/>
      <c r="C1398" s="70"/>
      <c r="D1398" s="70"/>
      <c r="E1398" s="70"/>
      <c r="F1398" s="70"/>
      <c r="G1398" s="70"/>
      <c r="H1398" s="70"/>
      <c r="I1398" s="70"/>
      <c r="J1398" s="70"/>
    </row>
    <row r="1399" spans="1:10" ht="15" x14ac:dyDescent="0.2">
      <c r="A1399" s="70"/>
      <c r="B1399" s="70"/>
      <c r="C1399" s="70"/>
      <c r="D1399" s="70"/>
      <c r="E1399" s="70"/>
      <c r="F1399" s="70"/>
      <c r="G1399" s="70"/>
      <c r="H1399" s="70"/>
      <c r="I1399" s="70"/>
      <c r="J1399" s="70"/>
    </row>
    <row r="1400" spans="1:10" ht="15" x14ac:dyDescent="0.2">
      <c r="A1400" s="70"/>
      <c r="B1400" s="70"/>
      <c r="C1400" s="70"/>
      <c r="D1400" s="70"/>
      <c r="E1400" s="70"/>
      <c r="F1400" s="70"/>
      <c r="G1400" s="70"/>
      <c r="H1400" s="70"/>
      <c r="I1400" s="70"/>
      <c r="J1400" s="70"/>
    </row>
    <row r="1401" spans="1:10" ht="15" x14ac:dyDescent="0.2">
      <c r="A1401" s="70"/>
      <c r="B1401" s="70"/>
      <c r="C1401" s="70"/>
      <c r="D1401" s="70"/>
      <c r="E1401" s="70"/>
      <c r="F1401" s="70"/>
      <c r="G1401" s="70"/>
      <c r="H1401" s="70"/>
      <c r="I1401" s="70"/>
      <c r="J1401" s="70"/>
    </row>
    <row r="1402" spans="1:10" ht="15" x14ac:dyDescent="0.2">
      <c r="A1402" s="70"/>
      <c r="B1402" s="70"/>
      <c r="C1402" s="70"/>
      <c r="D1402" s="70"/>
      <c r="E1402" s="70"/>
      <c r="F1402" s="70"/>
      <c r="G1402" s="70"/>
      <c r="H1402" s="70"/>
      <c r="I1402" s="70"/>
      <c r="J1402" s="70"/>
    </row>
    <row r="1403" spans="1:10" ht="15" x14ac:dyDescent="0.2">
      <c r="A1403" s="70"/>
      <c r="B1403" s="70"/>
      <c r="C1403" s="70"/>
      <c r="D1403" s="70"/>
      <c r="E1403" s="70"/>
      <c r="F1403" s="70"/>
      <c r="G1403" s="70"/>
      <c r="H1403" s="70"/>
      <c r="I1403" s="70"/>
      <c r="J1403" s="70"/>
    </row>
    <row r="1404" spans="1:10" ht="15" x14ac:dyDescent="0.2">
      <c r="A1404" s="70"/>
      <c r="B1404" s="70"/>
      <c r="C1404" s="70"/>
      <c r="D1404" s="70"/>
      <c r="E1404" s="70"/>
      <c r="F1404" s="70"/>
      <c r="G1404" s="70"/>
      <c r="H1404" s="70"/>
      <c r="I1404" s="70"/>
      <c r="J1404" s="70"/>
    </row>
    <row r="1405" spans="1:10" ht="15" x14ac:dyDescent="0.2">
      <c r="A1405" s="70"/>
      <c r="B1405" s="70"/>
      <c r="C1405" s="70"/>
      <c r="D1405" s="70"/>
      <c r="E1405" s="70"/>
      <c r="F1405" s="70"/>
      <c r="G1405" s="70"/>
      <c r="H1405" s="70"/>
      <c r="I1405" s="70"/>
      <c r="J1405" s="70"/>
    </row>
    <row r="1406" spans="1:10" ht="15" x14ac:dyDescent="0.2">
      <c r="A1406" s="70"/>
      <c r="B1406" s="70"/>
      <c r="C1406" s="70"/>
      <c r="D1406" s="70"/>
      <c r="E1406" s="70"/>
      <c r="F1406" s="70"/>
      <c r="G1406" s="70"/>
      <c r="H1406" s="70"/>
      <c r="I1406" s="70"/>
      <c r="J1406" s="70"/>
    </row>
    <row r="1407" spans="1:10" ht="15" x14ac:dyDescent="0.2">
      <c r="A1407" s="70"/>
      <c r="B1407" s="70"/>
      <c r="C1407" s="70"/>
      <c r="D1407" s="70"/>
      <c r="E1407" s="70"/>
      <c r="F1407" s="70"/>
      <c r="G1407" s="70"/>
      <c r="H1407" s="70"/>
      <c r="I1407" s="70"/>
      <c r="J1407" s="70"/>
    </row>
    <row r="1408" spans="1:10" ht="15" x14ac:dyDescent="0.2">
      <c r="A1408" s="70"/>
      <c r="B1408" s="70"/>
      <c r="C1408" s="70"/>
      <c r="D1408" s="70"/>
      <c r="E1408" s="70"/>
      <c r="F1408" s="70"/>
      <c r="G1408" s="70"/>
      <c r="H1408" s="70"/>
      <c r="I1408" s="70"/>
      <c r="J1408" s="70"/>
    </row>
    <row r="1409" spans="1:10" ht="15" x14ac:dyDescent="0.2">
      <c r="A1409" s="70"/>
      <c r="B1409" s="70"/>
      <c r="C1409" s="70"/>
      <c r="D1409" s="70"/>
      <c r="E1409" s="70"/>
      <c r="F1409" s="70"/>
      <c r="G1409" s="70"/>
      <c r="H1409" s="70"/>
      <c r="I1409" s="70"/>
      <c r="J1409" s="70"/>
    </row>
    <row r="1410" spans="1:10" ht="15" x14ac:dyDescent="0.2">
      <c r="A1410" s="70"/>
      <c r="B1410" s="70"/>
      <c r="C1410" s="70"/>
      <c r="D1410" s="70"/>
      <c r="E1410" s="70"/>
      <c r="F1410" s="70"/>
      <c r="G1410" s="70"/>
      <c r="H1410" s="70"/>
      <c r="I1410" s="70"/>
      <c r="J1410" s="70"/>
    </row>
    <row r="1411" spans="1:10" ht="15" x14ac:dyDescent="0.2">
      <c r="A1411" s="70"/>
      <c r="B1411" s="70"/>
      <c r="C1411" s="70"/>
      <c r="D1411" s="70"/>
      <c r="E1411" s="70"/>
      <c r="F1411" s="70"/>
      <c r="G1411" s="70"/>
      <c r="H1411" s="70"/>
      <c r="I1411" s="70"/>
      <c r="J1411" s="70"/>
    </row>
    <row r="1412" spans="1:10" ht="15" x14ac:dyDescent="0.2">
      <c r="A1412" s="70"/>
      <c r="B1412" s="70"/>
      <c r="C1412" s="70"/>
      <c r="D1412" s="70"/>
      <c r="E1412" s="70"/>
      <c r="F1412" s="70"/>
      <c r="G1412" s="70"/>
      <c r="H1412" s="70"/>
      <c r="I1412" s="70"/>
      <c r="J1412" s="70"/>
    </row>
    <row r="1413" spans="1:10" ht="15" x14ac:dyDescent="0.2">
      <c r="A1413" s="70"/>
      <c r="B1413" s="70"/>
      <c r="C1413" s="70"/>
      <c r="D1413" s="70"/>
      <c r="E1413" s="70"/>
      <c r="F1413" s="70"/>
      <c r="G1413" s="70"/>
      <c r="H1413" s="70"/>
      <c r="I1413" s="70"/>
      <c r="J1413" s="70"/>
    </row>
    <row r="1414" spans="1:10" ht="15" x14ac:dyDescent="0.2">
      <c r="A1414" s="70"/>
      <c r="B1414" s="70"/>
      <c r="C1414" s="70"/>
      <c r="D1414" s="70"/>
      <c r="E1414" s="70"/>
      <c r="F1414" s="70"/>
      <c r="G1414" s="70"/>
      <c r="H1414" s="70"/>
      <c r="I1414" s="70"/>
      <c r="J1414" s="70"/>
    </row>
    <row r="1415" spans="1:10" ht="15" x14ac:dyDescent="0.2">
      <c r="A1415" s="70"/>
      <c r="B1415" s="70"/>
      <c r="C1415" s="70"/>
      <c r="D1415" s="70"/>
      <c r="E1415" s="70"/>
      <c r="F1415" s="70"/>
      <c r="G1415" s="70"/>
      <c r="H1415" s="70"/>
      <c r="I1415" s="70"/>
      <c r="J1415" s="70"/>
    </row>
    <row r="1416" spans="1:10" ht="15" x14ac:dyDescent="0.2">
      <c r="A1416" s="70"/>
      <c r="B1416" s="70"/>
      <c r="C1416" s="70"/>
      <c r="D1416" s="70"/>
      <c r="E1416" s="70"/>
      <c r="F1416" s="70"/>
      <c r="G1416" s="70"/>
      <c r="H1416" s="70"/>
      <c r="I1416" s="70"/>
      <c r="J1416" s="70"/>
    </row>
    <row r="1417" spans="1:10" ht="15" x14ac:dyDescent="0.2">
      <c r="A1417" s="70"/>
      <c r="B1417" s="70"/>
      <c r="C1417" s="70"/>
      <c r="D1417" s="70"/>
      <c r="E1417" s="70"/>
      <c r="F1417" s="70"/>
      <c r="G1417" s="70"/>
      <c r="H1417" s="70"/>
      <c r="I1417" s="70"/>
      <c r="J1417" s="70"/>
    </row>
    <row r="1418" spans="1:10" ht="15" x14ac:dyDescent="0.2">
      <c r="A1418" s="70"/>
      <c r="B1418" s="70"/>
      <c r="C1418" s="70"/>
      <c r="D1418" s="70"/>
      <c r="E1418" s="70"/>
      <c r="F1418" s="70"/>
      <c r="G1418" s="70"/>
      <c r="H1418" s="70"/>
      <c r="I1418" s="70"/>
      <c r="J1418" s="70"/>
    </row>
    <row r="1419" spans="1:10" ht="15" x14ac:dyDescent="0.2">
      <c r="A1419" s="70"/>
      <c r="B1419" s="70"/>
      <c r="C1419" s="70"/>
      <c r="D1419" s="70"/>
      <c r="E1419" s="70"/>
      <c r="F1419" s="70"/>
      <c r="G1419" s="70"/>
      <c r="H1419" s="70"/>
      <c r="I1419" s="70"/>
      <c r="J1419" s="70"/>
    </row>
    <row r="1420" spans="1:10" ht="15" x14ac:dyDescent="0.2">
      <c r="A1420" s="70"/>
      <c r="B1420" s="70"/>
      <c r="C1420" s="70"/>
      <c r="D1420" s="70"/>
      <c r="E1420" s="70"/>
      <c r="F1420" s="70"/>
      <c r="G1420" s="70"/>
      <c r="H1420" s="70"/>
      <c r="I1420" s="70"/>
      <c r="J1420" s="70"/>
    </row>
    <row r="1421" spans="1:10" ht="15" x14ac:dyDescent="0.2">
      <c r="A1421" s="70"/>
      <c r="B1421" s="70"/>
      <c r="C1421" s="70"/>
      <c r="D1421" s="70"/>
      <c r="E1421" s="70"/>
      <c r="F1421" s="70"/>
      <c r="G1421" s="70"/>
      <c r="H1421" s="70"/>
      <c r="I1421" s="70"/>
      <c r="J1421" s="70"/>
    </row>
    <row r="1422" spans="1:10" ht="15" x14ac:dyDescent="0.2">
      <c r="A1422" s="70"/>
      <c r="B1422" s="70"/>
      <c r="C1422" s="70"/>
      <c r="D1422" s="70"/>
      <c r="E1422" s="70"/>
      <c r="F1422" s="70"/>
      <c r="G1422" s="70"/>
      <c r="H1422" s="70"/>
      <c r="I1422" s="70"/>
      <c r="J1422" s="70"/>
    </row>
    <row r="1423" spans="1:10" ht="15" x14ac:dyDescent="0.2">
      <c r="A1423" s="70"/>
      <c r="B1423" s="70"/>
      <c r="C1423" s="70"/>
      <c r="D1423" s="70"/>
      <c r="E1423" s="70"/>
      <c r="F1423" s="70"/>
      <c r="G1423" s="70"/>
      <c r="H1423" s="70"/>
      <c r="I1423" s="70"/>
      <c r="J1423" s="70"/>
    </row>
    <row r="1424" spans="1:10" ht="15" x14ac:dyDescent="0.2">
      <c r="A1424" s="70"/>
      <c r="B1424" s="70"/>
      <c r="C1424" s="70"/>
      <c r="D1424" s="70"/>
      <c r="E1424" s="70"/>
      <c r="F1424" s="70"/>
      <c r="G1424" s="70"/>
      <c r="H1424" s="70"/>
      <c r="I1424" s="70"/>
      <c r="J1424" s="70"/>
    </row>
    <row r="1425" spans="1:10" ht="15" x14ac:dyDescent="0.2">
      <c r="A1425" s="70"/>
      <c r="B1425" s="70"/>
      <c r="C1425" s="70"/>
      <c r="D1425" s="70"/>
      <c r="E1425" s="70"/>
      <c r="F1425" s="70"/>
      <c r="G1425" s="70"/>
      <c r="H1425" s="70"/>
      <c r="I1425" s="70"/>
      <c r="J1425" s="70"/>
    </row>
    <row r="1426" spans="1:10" ht="15" x14ac:dyDescent="0.2">
      <c r="A1426" s="70"/>
      <c r="B1426" s="70"/>
      <c r="C1426" s="70"/>
      <c r="D1426" s="70"/>
      <c r="E1426" s="70"/>
      <c r="F1426" s="70"/>
      <c r="G1426" s="70"/>
      <c r="H1426" s="70"/>
      <c r="I1426" s="70"/>
      <c r="J1426" s="70"/>
    </row>
    <row r="1427" spans="1:10" ht="15" x14ac:dyDescent="0.2">
      <c r="A1427" s="70"/>
      <c r="B1427" s="70"/>
      <c r="C1427" s="70"/>
      <c r="D1427" s="70"/>
      <c r="E1427" s="70"/>
      <c r="F1427" s="70"/>
      <c r="G1427" s="70"/>
      <c r="H1427" s="70"/>
      <c r="I1427" s="70"/>
      <c r="J1427" s="70"/>
    </row>
    <row r="1428" spans="1:10" ht="15" x14ac:dyDescent="0.2">
      <c r="A1428" s="70"/>
      <c r="B1428" s="70"/>
      <c r="C1428" s="70"/>
      <c r="D1428" s="70"/>
      <c r="E1428" s="70"/>
      <c r="F1428" s="70"/>
      <c r="G1428" s="70"/>
      <c r="H1428" s="70"/>
      <c r="I1428" s="70"/>
      <c r="J1428" s="70"/>
    </row>
    <row r="1429" spans="1:10" ht="15" x14ac:dyDescent="0.2">
      <c r="A1429" s="70"/>
      <c r="B1429" s="70"/>
      <c r="C1429" s="70"/>
      <c r="D1429" s="70"/>
      <c r="E1429" s="70"/>
      <c r="F1429" s="70"/>
      <c r="G1429" s="70"/>
      <c r="H1429" s="70"/>
      <c r="I1429" s="70"/>
      <c r="J1429" s="70"/>
    </row>
    <row r="1430" spans="1:10" ht="15" x14ac:dyDescent="0.2">
      <c r="A1430" s="70"/>
      <c r="B1430" s="70"/>
      <c r="C1430" s="70"/>
      <c r="D1430" s="70"/>
      <c r="E1430" s="70"/>
      <c r="F1430" s="70"/>
      <c r="G1430" s="70"/>
      <c r="H1430" s="70"/>
      <c r="I1430" s="70"/>
      <c r="J1430" s="70"/>
    </row>
    <row r="1431" spans="1:10" ht="15" x14ac:dyDescent="0.2">
      <c r="A1431" s="70"/>
      <c r="B1431" s="70"/>
      <c r="C1431" s="70"/>
      <c r="D1431" s="70"/>
      <c r="E1431" s="70"/>
      <c r="F1431" s="70"/>
      <c r="G1431" s="70"/>
      <c r="H1431" s="70"/>
      <c r="I1431" s="70"/>
      <c r="J1431" s="70"/>
    </row>
    <row r="1432" spans="1:10" ht="15" x14ac:dyDescent="0.2">
      <c r="A1432" s="70"/>
      <c r="B1432" s="70"/>
      <c r="C1432" s="70"/>
      <c r="D1432" s="70"/>
      <c r="E1432" s="70"/>
      <c r="F1432" s="70"/>
      <c r="G1432" s="70"/>
      <c r="H1432" s="70"/>
      <c r="I1432" s="70"/>
      <c r="J1432" s="70"/>
    </row>
    <row r="1433" spans="1:10" ht="15" x14ac:dyDescent="0.2">
      <c r="A1433" s="70"/>
      <c r="B1433" s="70"/>
      <c r="C1433" s="70"/>
      <c r="D1433" s="70"/>
      <c r="E1433" s="70"/>
      <c r="F1433" s="70"/>
      <c r="G1433" s="70"/>
      <c r="H1433" s="70"/>
      <c r="I1433" s="70"/>
      <c r="J1433" s="70"/>
    </row>
    <row r="1434" spans="1:10" ht="15" x14ac:dyDescent="0.2">
      <c r="A1434" s="70"/>
      <c r="B1434" s="70"/>
      <c r="C1434" s="70"/>
      <c r="D1434" s="70"/>
      <c r="E1434" s="70"/>
      <c r="F1434" s="70"/>
      <c r="G1434" s="70"/>
      <c r="H1434" s="70"/>
      <c r="I1434" s="70"/>
      <c r="J1434" s="70"/>
    </row>
    <row r="1435" spans="1:10" ht="15" x14ac:dyDescent="0.2">
      <c r="A1435" s="70"/>
      <c r="B1435" s="70"/>
      <c r="C1435" s="70"/>
      <c r="D1435" s="70"/>
      <c r="E1435" s="70"/>
      <c r="F1435" s="70"/>
      <c r="G1435" s="70"/>
      <c r="H1435" s="70"/>
      <c r="I1435" s="70"/>
      <c r="J1435" s="70"/>
    </row>
    <row r="1436" spans="1:10" ht="15" x14ac:dyDescent="0.2">
      <c r="A1436" s="70"/>
      <c r="B1436" s="70"/>
      <c r="C1436" s="70"/>
      <c r="D1436" s="70"/>
      <c r="E1436" s="70"/>
      <c r="F1436" s="70"/>
      <c r="G1436" s="70"/>
      <c r="H1436" s="70"/>
      <c r="I1436" s="70"/>
      <c r="J1436" s="70"/>
    </row>
    <row r="1437" spans="1:10" ht="15" x14ac:dyDescent="0.2">
      <c r="A1437" s="70"/>
      <c r="B1437" s="70"/>
      <c r="C1437" s="70"/>
      <c r="D1437" s="70"/>
      <c r="E1437" s="70"/>
      <c r="F1437" s="70"/>
      <c r="G1437" s="70"/>
      <c r="H1437" s="70"/>
      <c r="I1437" s="70"/>
      <c r="J1437" s="70"/>
    </row>
    <row r="1438" spans="1:10" ht="15" x14ac:dyDescent="0.2">
      <c r="A1438" s="70"/>
      <c r="B1438" s="70"/>
      <c r="C1438" s="70"/>
      <c r="D1438" s="70"/>
      <c r="E1438" s="70"/>
      <c r="F1438" s="70"/>
      <c r="G1438" s="70"/>
      <c r="H1438" s="70"/>
      <c r="I1438" s="70"/>
      <c r="J1438" s="70"/>
    </row>
    <row r="1439" spans="1:10" ht="15" x14ac:dyDescent="0.2">
      <c r="A1439" s="70"/>
      <c r="B1439" s="70"/>
      <c r="C1439" s="70"/>
      <c r="D1439" s="70"/>
      <c r="E1439" s="70"/>
      <c r="F1439" s="70"/>
      <c r="G1439" s="70"/>
      <c r="H1439" s="70"/>
      <c r="I1439" s="70"/>
      <c r="J1439" s="70"/>
    </row>
    <row r="1440" spans="1:10" ht="15" x14ac:dyDescent="0.2">
      <c r="A1440" s="70"/>
      <c r="B1440" s="70"/>
      <c r="C1440" s="70"/>
      <c r="D1440" s="70"/>
      <c r="E1440" s="70"/>
      <c r="F1440" s="70"/>
      <c r="G1440" s="70"/>
      <c r="H1440" s="70"/>
      <c r="I1440" s="70"/>
      <c r="J1440" s="70"/>
    </row>
    <row r="1441" spans="1:10" ht="15" x14ac:dyDescent="0.2">
      <c r="A1441" s="70"/>
      <c r="B1441" s="70"/>
      <c r="C1441" s="70"/>
      <c r="D1441" s="70"/>
      <c r="E1441" s="70"/>
      <c r="F1441" s="70"/>
      <c r="G1441" s="70"/>
      <c r="H1441" s="70"/>
      <c r="I1441" s="70"/>
      <c r="J1441" s="70"/>
    </row>
    <row r="1442" spans="1:10" ht="15" x14ac:dyDescent="0.2">
      <c r="A1442" s="70"/>
      <c r="B1442" s="70"/>
      <c r="C1442" s="70"/>
      <c r="D1442" s="70"/>
      <c r="E1442" s="70"/>
      <c r="F1442" s="70"/>
      <c r="G1442" s="70"/>
      <c r="H1442" s="70"/>
      <c r="I1442" s="70"/>
      <c r="J1442" s="70"/>
    </row>
    <row r="1443" spans="1:10" ht="15" x14ac:dyDescent="0.2">
      <c r="A1443" s="70"/>
      <c r="B1443" s="70"/>
      <c r="C1443" s="70"/>
      <c r="D1443" s="70"/>
      <c r="E1443" s="70"/>
      <c r="F1443" s="70"/>
      <c r="G1443" s="70"/>
      <c r="H1443" s="70"/>
      <c r="I1443" s="70"/>
      <c r="J1443" s="70"/>
    </row>
    <row r="1444" spans="1:10" ht="15" x14ac:dyDescent="0.2">
      <c r="A1444" s="70"/>
      <c r="B1444" s="70"/>
      <c r="C1444" s="70"/>
      <c r="D1444" s="70"/>
      <c r="E1444" s="70"/>
      <c r="F1444" s="70"/>
      <c r="G1444" s="70"/>
      <c r="H1444" s="70"/>
      <c r="I1444" s="70"/>
      <c r="J1444" s="70"/>
    </row>
    <row r="1445" spans="1:10" ht="15" x14ac:dyDescent="0.2">
      <c r="A1445" s="70"/>
      <c r="B1445" s="70"/>
      <c r="C1445" s="70"/>
      <c r="D1445" s="70"/>
      <c r="E1445" s="70"/>
      <c r="F1445" s="70"/>
      <c r="G1445" s="70"/>
      <c r="H1445" s="70"/>
      <c r="I1445" s="70"/>
      <c r="J1445" s="70"/>
    </row>
    <row r="1446" spans="1:10" ht="15" x14ac:dyDescent="0.2">
      <c r="A1446" s="70"/>
      <c r="B1446" s="70"/>
      <c r="C1446" s="70"/>
      <c r="D1446" s="70"/>
      <c r="E1446" s="70"/>
      <c r="F1446" s="70"/>
      <c r="G1446" s="70"/>
      <c r="H1446" s="70"/>
      <c r="I1446" s="70"/>
      <c r="J1446" s="70"/>
    </row>
    <row r="1447" spans="1:10" ht="15" x14ac:dyDescent="0.2">
      <c r="A1447" s="70"/>
      <c r="B1447" s="70"/>
      <c r="C1447" s="70"/>
      <c r="D1447" s="70"/>
      <c r="E1447" s="70"/>
      <c r="F1447" s="70"/>
      <c r="G1447" s="70"/>
      <c r="H1447" s="70"/>
      <c r="I1447" s="70"/>
      <c r="J1447" s="70"/>
    </row>
    <row r="1448" spans="1:10" ht="15" x14ac:dyDescent="0.2">
      <c r="A1448" s="70"/>
      <c r="B1448" s="70"/>
      <c r="C1448" s="70"/>
      <c r="D1448" s="70"/>
      <c r="E1448" s="70"/>
      <c r="F1448" s="70"/>
      <c r="G1448" s="70"/>
      <c r="H1448" s="70"/>
      <c r="I1448" s="70"/>
      <c r="J1448" s="70"/>
    </row>
    <row r="1449" spans="1:10" ht="15" x14ac:dyDescent="0.2">
      <c r="A1449" s="70"/>
      <c r="B1449" s="70"/>
      <c r="C1449" s="70"/>
      <c r="D1449" s="70"/>
      <c r="E1449" s="70"/>
      <c r="F1449" s="70"/>
      <c r="G1449" s="70"/>
      <c r="H1449" s="70"/>
      <c r="I1449" s="70"/>
      <c r="J1449" s="70"/>
    </row>
    <row r="1450" spans="1:10" ht="15" x14ac:dyDescent="0.2">
      <c r="A1450" s="70"/>
      <c r="B1450" s="70"/>
      <c r="C1450" s="70"/>
      <c r="D1450" s="70"/>
      <c r="E1450" s="70"/>
      <c r="F1450" s="70"/>
      <c r="G1450" s="70"/>
      <c r="H1450" s="70"/>
      <c r="I1450" s="70"/>
      <c r="J1450" s="70"/>
    </row>
    <row r="1451" spans="1:10" ht="15" x14ac:dyDescent="0.2">
      <c r="A1451" s="70"/>
      <c r="B1451" s="70"/>
      <c r="C1451" s="70"/>
      <c r="D1451" s="70"/>
      <c r="E1451" s="70"/>
      <c r="F1451" s="70"/>
      <c r="G1451" s="70"/>
      <c r="H1451" s="70"/>
      <c r="I1451" s="70"/>
      <c r="J1451" s="70"/>
    </row>
    <row r="1452" spans="1:10" ht="15" x14ac:dyDescent="0.2">
      <c r="A1452" s="70"/>
      <c r="B1452" s="70"/>
      <c r="C1452" s="70"/>
      <c r="D1452" s="70"/>
      <c r="E1452" s="70"/>
      <c r="F1452" s="70"/>
      <c r="G1452" s="70"/>
      <c r="H1452" s="70"/>
      <c r="I1452" s="70"/>
      <c r="J1452" s="70"/>
    </row>
    <row r="1453" spans="1:10" ht="15" x14ac:dyDescent="0.2">
      <c r="A1453" s="70"/>
      <c r="B1453" s="70"/>
      <c r="C1453" s="70"/>
      <c r="D1453" s="70"/>
      <c r="E1453" s="70"/>
      <c r="F1453" s="70"/>
      <c r="G1453" s="70"/>
      <c r="H1453" s="70"/>
      <c r="I1453" s="70"/>
      <c r="J1453" s="70"/>
    </row>
    <row r="1454" spans="1:10" ht="15" x14ac:dyDescent="0.2">
      <c r="A1454" s="70"/>
      <c r="B1454" s="70"/>
      <c r="C1454" s="70"/>
      <c r="D1454" s="70"/>
      <c r="E1454" s="70"/>
      <c r="F1454" s="70"/>
      <c r="G1454" s="70"/>
      <c r="H1454" s="70"/>
      <c r="I1454" s="70"/>
      <c r="J1454" s="70"/>
    </row>
    <row r="1455" spans="1:10" ht="15" x14ac:dyDescent="0.2">
      <c r="A1455" s="70"/>
      <c r="B1455" s="70"/>
      <c r="C1455" s="70"/>
      <c r="D1455" s="70"/>
      <c r="E1455" s="70"/>
      <c r="F1455" s="70"/>
      <c r="G1455" s="70"/>
      <c r="H1455" s="70"/>
      <c r="I1455" s="70"/>
      <c r="J1455" s="70"/>
    </row>
    <row r="1456" spans="1:10" ht="15" x14ac:dyDescent="0.2">
      <c r="A1456" s="70"/>
      <c r="B1456" s="70"/>
      <c r="C1456" s="70"/>
      <c r="D1456" s="70"/>
      <c r="E1456" s="70"/>
      <c r="F1456" s="70"/>
      <c r="G1456" s="70"/>
      <c r="H1456" s="70"/>
      <c r="I1456" s="70"/>
      <c r="J1456" s="70"/>
    </row>
    <row r="1457" spans="1:10" ht="15" x14ac:dyDescent="0.2">
      <c r="A1457" s="70"/>
      <c r="B1457" s="70"/>
      <c r="C1457" s="70"/>
      <c r="D1457" s="70"/>
      <c r="E1457" s="70"/>
      <c r="F1457" s="70"/>
      <c r="G1457" s="70"/>
      <c r="H1457" s="70"/>
      <c r="I1457" s="70"/>
      <c r="J1457" s="70"/>
    </row>
    <row r="1458" spans="1:10" ht="15" x14ac:dyDescent="0.2">
      <c r="A1458" s="70"/>
      <c r="B1458" s="70"/>
      <c r="C1458" s="70"/>
      <c r="D1458" s="70"/>
      <c r="E1458" s="70"/>
      <c r="F1458" s="70"/>
      <c r="G1458" s="70"/>
      <c r="H1458" s="70"/>
      <c r="I1458" s="70"/>
      <c r="J1458" s="70"/>
    </row>
    <row r="1459" spans="1:10" ht="15" x14ac:dyDescent="0.2">
      <c r="A1459" s="70"/>
      <c r="B1459" s="70"/>
      <c r="C1459" s="70"/>
      <c r="D1459" s="70"/>
      <c r="E1459" s="70"/>
      <c r="F1459" s="70"/>
      <c r="G1459" s="70"/>
      <c r="H1459" s="70"/>
      <c r="I1459" s="70"/>
      <c r="J1459" s="70"/>
    </row>
    <row r="1460" spans="1:10" ht="15" x14ac:dyDescent="0.2">
      <c r="A1460" s="70"/>
      <c r="B1460" s="70"/>
      <c r="C1460" s="70"/>
      <c r="D1460" s="70"/>
      <c r="E1460" s="70"/>
      <c r="F1460" s="70"/>
      <c r="G1460" s="70"/>
      <c r="H1460" s="70"/>
      <c r="I1460" s="70"/>
      <c r="J1460" s="70"/>
    </row>
    <row r="1461" spans="1:10" ht="15" x14ac:dyDescent="0.2">
      <c r="A1461" s="70"/>
      <c r="B1461" s="70"/>
      <c r="C1461" s="70"/>
      <c r="D1461" s="70"/>
      <c r="E1461" s="70"/>
      <c r="F1461" s="70"/>
      <c r="G1461" s="70"/>
      <c r="H1461" s="70"/>
      <c r="I1461" s="70"/>
      <c r="J1461" s="70"/>
    </row>
    <row r="1462" spans="1:10" ht="15" x14ac:dyDescent="0.2">
      <c r="A1462" s="70"/>
      <c r="B1462" s="70"/>
      <c r="C1462" s="70"/>
      <c r="D1462" s="70"/>
      <c r="E1462" s="70"/>
      <c r="F1462" s="70"/>
      <c r="G1462" s="70"/>
      <c r="H1462" s="70"/>
      <c r="I1462" s="70"/>
      <c r="J1462" s="70"/>
    </row>
    <row r="1463" spans="1:10" ht="15" x14ac:dyDescent="0.2">
      <c r="A1463" s="70"/>
      <c r="B1463" s="70"/>
      <c r="C1463" s="70"/>
      <c r="D1463" s="70"/>
      <c r="E1463" s="70"/>
      <c r="F1463" s="70"/>
      <c r="G1463" s="70"/>
      <c r="H1463" s="70"/>
      <c r="I1463" s="70"/>
      <c r="J1463" s="70"/>
    </row>
    <row r="1464" spans="1:10" ht="15" x14ac:dyDescent="0.2">
      <c r="A1464" s="70"/>
      <c r="B1464" s="70"/>
      <c r="C1464" s="70"/>
      <c r="D1464" s="70"/>
      <c r="E1464" s="70"/>
      <c r="F1464" s="70"/>
      <c r="G1464" s="70"/>
      <c r="H1464" s="70"/>
      <c r="I1464" s="70"/>
      <c r="J1464" s="70"/>
    </row>
    <row r="1465" spans="1:10" ht="15" x14ac:dyDescent="0.2">
      <c r="A1465" s="70"/>
      <c r="B1465" s="70"/>
      <c r="C1465" s="70"/>
      <c r="D1465" s="70"/>
      <c r="E1465" s="70"/>
      <c r="F1465" s="70"/>
      <c r="G1465" s="70"/>
      <c r="H1465" s="70"/>
      <c r="I1465" s="70"/>
      <c r="J1465" s="70"/>
    </row>
    <row r="1466" spans="1:10" ht="15" x14ac:dyDescent="0.2">
      <c r="A1466" s="70"/>
      <c r="B1466" s="70"/>
      <c r="C1466" s="70"/>
      <c r="D1466" s="70"/>
      <c r="E1466" s="70"/>
      <c r="F1466" s="70"/>
      <c r="G1466" s="70"/>
      <c r="H1466" s="70"/>
      <c r="I1466" s="70"/>
      <c r="J1466" s="70"/>
    </row>
    <row r="1467" spans="1:10" ht="15" x14ac:dyDescent="0.2">
      <c r="A1467" s="70"/>
      <c r="B1467" s="70"/>
      <c r="C1467" s="70"/>
      <c r="D1467" s="70"/>
      <c r="E1467" s="70"/>
      <c r="F1467" s="70"/>
      <c r="G1467" s="70"/>
      <c r="H1467" s="70"/>
      <c r="I1467" s="70"/>
      <c r="J1467" s="70"/>
    </row>
    <row r="1468" spans="1:10" ht="15" x14ac:dyDescent="0.2">
      <c r="A1468" s="70"/>
      <c r="B1468" s="70"/>
      <c r="C1468" s="70"/>
      <c r="D1468" s="70"/>
      <c r="E1468" s="70"/>
      <c r="F1468" s="70"/>
      <c r="G1468" s="70"/>
      <c r="H1468" s="70"/>
      <c r="I1468" s="70"/>
      <c r="J1468" s="70"/>
    </row>
    <row r="1469" spans="1:10" ht="15" x14ac:dyDescent="0.2">
      <c r="A1469" s="70"/>
      <c r="B1469" s="70"/>
      <c r="C1469" s="70"/>
      <c r="D1469" s="70"/>
      <c r="E1469" s="70"/>
      <c r="F1469" s="70"/>
      <c r="G1469" s="70"/>
      <c r="H1469" s="70"/>
      <c r="I1469" s="70"/>
      <c r="J1469" s="70"/>
    </row>
    <row r="1470" spans="1:10" ht="15" x14ac:dyDescent="0.2">
      <c r="A1470" s="70"/>
      <c r="B1470" s="70"/>
      <c r="C1470" s="70"/>
      <c r="D1470" s="70"/>
      <c r="E1470" s="70"/>
      <c r="F1470" s="70"/>
      <c r="G1470" s="70"/>
      <c r="H1470" s="70"/>
      <c r="I1470" s="70"/>
      <c r="J1470" s="70"/>
    </row>
    <row r="1471" spans="1:10" ht="15" x14ac:dyDescent="0.2">
      <c r="A1471" s="70"/>
      <c r="B1471" s="70"/>
      <c r="C1471" s="70"/>
      <c r="D1471" s="70"/>
      <c r="E1471" s="70"/>
      <c r="F1471" s="70"/>
      <c r="G1471" s="70"/>
      <c r="H1471" s="70"/>
      <c r="I1471" s="70"/>
      <c r="J1471" s="70"/>
    </row>
    <row r="1472" spans="1:10" ht="15" x14ac:dyDescent="0.2">
      <c r="A1472" s="70"/>
      <c r="B1472" s="70"/>
      <c r="C1472" s="70"/>
      <c r="D1472" s="70"/>
      <c r="E1472" s="70"/>
      <c r="F1472" s="70"/>
      <c r="G1472" s="70"/>
      <c r="H1472" s="70"/>
      <c r="I1472" s="70"/>
      <c r="J1472" s="70"/>
    </row>
    <row r="1473" spans="1:10" ht="15" x14ac:dyDescent="0.2">
      <c r="A1473" s="70"/>
      <c r="B1473" s="70"/>
      <c r="C1473" s="70"/>
      <c r="D1473" s="70"/>
      <c r="E1473" s="70"/>
      <c r="F1473" s="70"/>
      <c r="G1473" s="70"/>
      <c r="H1473" s="70"/>
      <c r="I1473" s="70"/>
      <c r="J1473" s="70"/>
    </row>
    <row r="1474" spans="1:10" ht="15" x14ac:dyDescent="0.2">
      <c r="A1474" s="70"/>
      <c r="B1474" s="70"/>
      <c r="C1474" s="70"/>
      <c r="D1474" s="70"/>
      <c r="E1474" s="70"/>
      <c r="F1474" s="70"/>
      <c r="G1474" s="70"/>
      <c r="H1474" s="70"/>
      <c r="I1474" s="70"/>
      <c r="J1474" s="70"/>
    </row>
    <row r="1475" spans="1:10" ht="15" x14ac:dyDescent="0.2">
      <c r="A1475" s="70"/>
      <c r="B1475" s="70"/>
      <c r="C1475" s="70"/>
      <c r="D1475" s="70"/>
      <c r="E1475" s="70"/>
      <c r="F1475" s="70"/>
      <c r="G1475" s="70"/>
      <c r="H1475" s="70"/>
      <c r="I1475" s="70"/>
      <c r="J1475" s="70"/>
    </row>
    <row r="1476" spans="1:10" ht="15" x14ac:dyDescent="0.2">
      <c r="A1476" s="70"/>
      <c r="B1476" s="70"/>
      <c r="C1476" s="70"/>
      <c r="D1476" s="70"/>
      <c r="E1476" s="70"/>
      <c r="F1476" s="70"/>
      <c r="G1476" s="70"/>
      <c r="H1476" s="70"/>
      <c r="I1476" s="70"/>
      <c r="J1476" s="70"/>
    </row>
    <row r="1477" spans="1:10" ht="15" x14ac:dyDescent="0.2">
      <c r="A1477" s="70"/>
      <c r="B1477" s="70"/>
      <c r="C1477" s="70"/>
      <c r="D1477" s="70"/>
      <c r="E1477" s="70"/>
      <c r="F1477" s="70"/>
      <c r="G1477" s="70"/>
      <c r="H1477" s="70"/>
      <c r="I1477" s="70"/>
      <c r="J1477" s="70"/>
    </row>
    <row r="1478" spans="1:10" ht="15" x14ac:dyDescent="0.2">
      <c r="A1478" s="70"/>
      <c r="B1478" s="70"/>
      <c r="C1478" s="70"/>
      <c r="D1478" s="70"/>
      <c r="E1478" s="70"/>
      <c r="F1478" s="70"/>
      <c r="G1478" s="70"/>
      <c r="H1478" s="70"/>
      <c r="I1478" s="70"/>
      <c r="J1478" s="70"/>
    </row>
    <row r="1479" spans="1:10" ht="15" x14ac:dyDescent="0.2">
      <c r="A1479" s="70"/>
      <c r="B1479" s="70"/>
      <c r="C1479" s="70"/>
      <c r="D1479" s="70"/>
      <c r="E1479" s="70"/>
      <c r="F1479" s="70"/>
      <c r="G1479" s="70"/>
      <c r="H1479" s="70"/>
      <c r="I1479" s="70"/>
      <c r="J1479" s="70"/>
    </row>
    <row r="1480" spans="1:10" ht="15" x14ac:dyDescent="0.2">
      <c r="A1480" s="70"/>
      <c r="B1480" s="70"/>
      <c r="C1480" s="70"/>
      <c r="D1480" s="70"/>
      <c r="E1480" s="70"/>
      <c r="F1480" s="70"/>
      <c r="G1480" s="70"/>
      <c r="H1480" s="70"/>
      <c r="I1480" s="70"/>
      <c r="J1480" s="70"/>
    </row>
    <row r="1481" spans="1:10" ht="15" x14ac:dyDescent="0.2">
      <c r="A1481" s="70"/>
      <c r="B1481" s="70"/>
      <c r="C1481" s="70"/>
      <c r="D1481" s="70"/>
      <c r="E1481" s="70"/>
      <c r="F1481" s="70"/>
      <c r="G1481" s="70"/>
      <c r="H1481" s="70"/>
      <c r="I1481" s="70"/>
      <c r="J1481" s="70"/>
    </row>
    <row r="1482" spans="1:10" ht="15" x14ac:dyDescent="0.2">
      <c r="A1482" s="70"/>
      <c r="B1482" s="70"/>
      <c r="C1482" s="70"/>
      <c r="D1482" s="70"/>
      <c r="E1482" s="70"/>
      <c r="F1482" s="70"/>
      <c r="G1482" s="70"/>
      <c r="H1482" s="70"/>
      <c r="I1482" s="70"/>
      <c r="J1482" s="70"/>
    </row>
    <row r="1483" spans="1:10" ht="15" x14ac:dyDescent="0.2">
      <c r="A1483" s="70"/>
      <c r="B1483" s="70"/>
      <c r="C1483" s="70"/>
      <c r="D1483" s="70"/>
      <c r="E1483" s="70"/>
      <c r="F1483" s="70"/>
      <c r="G1483" s="70"/>
      <c r="H1483" s="70"/>
      <c r="I1483" s="70"/>
      <c r="J1483" s="70"/>
    </row>
    <row r="1484" spans="1:10" ht="15" x14ac:dyDescent="0.2">
      <c r="A1484" s="70"/>
      <c r="B1484" s="70"/>
      <c r="C1484" s="70"/>
      <c r="D1484" s="70"/>
      <c r="E1484" s="70"/>
      <c r="F1484" s="70"/>
      <c r="G1484" s="70"/>
      <c r="H1484" s="70"/>
      <c r="I1484" s="70"/>
      <c r="J1484" s="70"/>
    </row>
    <row r="1485" spans="1:10" ht="15" x14ac:dyDescent="0.2">
      <c r="A1485" s="70"/>
      <c r="B1485" s="70"/>
      <c r="C1485" s="70"/>
      <c r="D1485" s="70"/>
      <c r="E1485" s="70"/>
      <c r="F1485" s="70"/>
      <c r="G1485" s="70"/>
      <c r="H1485" s="70"/>
      <c r="I1485" s="70"/>
      <c r="J1485" s="70"/>
    </row>
    <row r="1486" spans="1:10" ht="15" x14ac:dyDescent="0.2">
      <c r="A1486" s="70"/>
      <c r="B1486" s="70"/>
      <c r="C1486" s="70"/>
      <c r="D1486" s="70"/>
      <c r="E1486" s="70"/>
      <c r="F1486" s="70"/>
      <c r="G1486" s="70"/>
      <c r="H1486" s="70"/>
      <c r="I1486" s="70"/>
      <c r="J1486" s="70"/>
    </row>
    <row r="1487" spans="1:10" ht="15" x14ac:dyDescent="0.2">
      <c r="A1487" s="70"/>
      <c r="B1487" s="70"/>
      <c r="C1487" s="70"/>
      <c r="D1487" s="70"/>
      <c r="E1487" s="70"/>
      <c r="F1487" s="70"/>
      <c r="G1487" s="70"/>
      <c r="H1487" s="70"/>
      <c r="I1487" s="70"/>
      <c r="J1487" s="70"/>
    </row>
    <row r="1488" spans="1:10" ht="15" x14ac:dyDescent="0.2">
      <c r="A1488" s="70"/>
      <c r="B1488" s="70"/>
      <c r="C1488" s="70"/>
      <c r="D1488" s="70"/>
      <c r="E1488" s="70"/>
      <c r="F1488" s="70"/>
      <c r="G1488" s="70"/>
      <c r="H1488" s="70"/>
      <c r="I1488" s="70"/>
      <c r="J1488" s="70"/>
    </row>
    <row r="1489" spans="1:10" ht="15" x14ac:dyDescent="0.2">
      <c r="A1489" s="70"/>
      <c r="B1489" s="70"/>
      <c r="C1489" s="70"/>
      <c r="D1489" s="70"/>
      <c r="E1489" s="70"/>
      <c r="F1489" s="70"/>
      <c r="G1489" s="70"/>
      <c r="H1489" s="70"/>
      <c r="I1489" s="70"/>
      <c r="J1489" s="70"/>
    </row>
    <row r="1490" spans="1:10" ht="15" x14ac:dyDescent="0.2">
      <c r="A1490" s="70"/>
      <c r="B1490" s="70"/>
      <c r="C1490" s="70"/>
      <c r="D1490" s="70"/>
      <c r="E1490" s="70"/>
      <c r="F1490" s="70"/>
      <c r="G1490" s="70"/>
      <c r="H1490" s="70"/>
      <c r="I1490" s="70"/>
      <c r="J1490" s="70"/>
    </row>
    <row r="1491" spans="1:10" ht="15" x14ac:dyDescent="0.2">
      <c r="A1491" s="70"/>
      <c r="B1491" s="70"/>
      <c r="C1491" s="70"/>
      <c r="D1491" s="70"/>
      <c r="E1491" s="70"/>
      <c r="F1491" s="70"/>
      <c r="G1491" s="70"/>
      <c r="H1491" s="70"/>
      <c r="I1491" s="70"/>
      <c r="J1491" s="70"/>
    </row>
    <row r="1492" spans="1:10" ht="15" x14ac:dyDescent="0.2">
      <c r="A1492" s="70"/>
      <c r="B1492" s="70"/>
      <c r="C1492" s="70"/>
      <c r="D1492" s="70"/>
      <c r="E1492" s="70"/>
      <c r="F1492" s="70"/>
      <c r="G1492" s="70"/>
      <c r="H1492" s="70"/>
      <c r="I1492" s="70"/>
      <c r="J1492" s="70"/>
    </row>
    <row r="1493" spans="1:10" ht="15" x14ac:dyDescent="0.2">
      <c r="A1493" s="70"/>
      <c r="B1493" s="70"/>
      <c r="C1493" s="70"/>
      <c r="D1493" s="70"/>
      <c r="E1493" s="70"/>
      <c r="F1493" s="70"/>
      <c r="G1493" s="70"/>
      <c r="H1493" s="70"/>
      <c r="I1493" s="70"/>
      <c r="J1493" s="70"/>
    </row>
    <row r="1494" spans="1:10" ht="15" x14ac:dyDescent="0.2">
      <c r="A1494" s="70"/>
      <c r="B1494" s="70"/>
      <c r="C1494" s="70"/>
      <c r="D1494" s="70"/>
      <c r="E1494" s="70"/>
      <c r="F1494" s="70"/>
      <c r="G1494" s="70"/>
      <c r="H1494" s="70"/>
      <c r="I1494" s="70"/>
      <c r="J1494" s="70"/>
    </row>
    <row r="1495" spans="1:10" ht="15" x14ac:dyDescent="0.2">
      <c r="A1495" s="70"/>
      <c r="B1495" s="70"/>
      <c r="C1495" s="70"/>
      <c r="D1495" s="70"/>
      <c r="E1495" s="70"/>
      <c r="F1495" s="70"/>
      <c r="G1495" s="70"/>
      <c r="H1495" s="70"/>
      <c r="I1495" s="70"/>
      <c r="J1495" s="70"/>
    </row>
    <row r="1496" spans="1:10" ht="15" x14ac:dyDescent="0.2">
      <c r="A1496" s="70"/>
      <c r="B1496" s="70"/>
      <c r="C1496" s="70"/>
      <c r="D1496" s="70"/>
      <c r="E1496" s="70"/>
      <c r="F1496" s="70"/>
      <c r="G1496" s="70"/>
      <c r="H1496" s="70"/>
      <c r="I1496" s="70"/>
      <c r="J1496" s="70"/>
    </row>
    <row r="1497" spans="1:10" ht="15" x14ac:dyDescent="0.2">
      <c r="A1497" s="70"/>
      <c r="B1497" s="70"/>
      <c r="C1497" s="70"/>
      <c r="D1497" s="70"/>
      <c r="E1497" s="70"/>
      <c r="F1497" s="70"/>
      <c r="G1497" s="70"/>
      <c r="H1497" s="70"/>
      <c r="I1497" s="70"/>
      <c r="J1497" s="70"/>
    </row>
    <row r="1498" spans="1:10" ht="15" x14ac:dyDescent="0.2">
      <c r="A1498" s="70"/>
      <c r="B1498" s="70"/>
      <c r="C1498" s="70"/>
      <c r="D1498" s="70"/>
      <c r="E1498" s="70"/>
      <c r="F1498" s="70"/>
      <c r="G1498" s="70"/>
      <c r="H1498" s="70"/>
      <c r="I1498" s="70"/>
      <c r="J1498" s="70"/>
    </row>
    <row r="1499" spans="1:10" ht="15" x14ac:dyDescent="0.2">
      <c r="A1499" s="70"/>
      <c r="B1499" s="70"/>
      <c r="C1499" s="70"/>
      <c r="D1499" s="70"/>
      <c r="E1499" s="70"/>
      <c r="F1499" s="70"/>
      <c r="G1499" s="70"/>
      <c r="H1499" s="70"/>
      <c r="I1499" s="70"/>
      <c r="J1499" s="70"/>
    </row>
    <row r="1500" spans="1:10" ht="15" x14ac:dyDescent="0.2">
      <c r="A1500" s="70"/>
      <c r="B1500" s="70"/>
      <c r="C1500" s="70"/>
      <c r="D1500" s="70"/>
      <c r="E1500" s="70"/>
      <c r="F1500" s="70"/>
      <c r="G1500" s="70"/>
      <c r="H1500" s="70"/>
      <c r="I1500" s="70"/>
      <c r="J1500" s="70"/>
    </row>
    <row r="1501" spans="1:10" ht="15" x14ac:dyDescent="0.2">
      <c r="A1501" s="70"/>
      <c r="B1501" s="70"/>
      <c r="C1501" s="70"/>
      <c r="D1501" s="70"/>
      <c r="E1501" s="70"/>
      <c r="F1501" s="70"/>
      <c r="G1501" s="70"/>
      <c r="H1501" s="70"/>
      <c r="I1501" s="70"/>
      <c r="J1501" s="70"/>
    </row>
    <row r="1502" spans="1:10" ht="15" x14ac:dyDescent="0.2">
      <c r="A1502" s="70"/>
      <c r="B1502" s="70"/>
      <c r="C1502" s="70"/>
      <c r="D1502" s="70"/>
      <c r="E1502" s="70"/>
      <c r="F1502" s="70"/>
      <c r="G1502" s="70"/>
      <c r="H1502" s="70"/>
      <c r="I1502" s="70"/>
      <c r="J1502" s="70"/>
    </row>
    <row r="1503" spans="1:10" ht="15" x14ac:dyDescent="0.2">
      <c r="A1503" s="70"/>
      <c r="B1503" s="70"/>
      <c r="C1503" s="70"/>
      <c r="D1503" s="70"/>
      <c r="E1503" s="70"/>
      <c r="F1503" s="70"/>
      <c r="G1503" s="70"/>
      <c r="H1503" s="70"/>
      <c r="I1503" s="70"/>
      <c r="J1503" s="70"/>
    </row>
    <row r="1504" spans="1:10" ht="15" x14ac:dyDescent="0.2">
      <c r="A1504" s="70"/>
      <c r="B1504" s="70"/>
      <c r="C1504" s="70"/>
      <c r="D1504" s="70"/>
      <c r="E1504" s="70"/>
      <c r="F1504" s="70"/>
      <c r="G1504" s="70"/>
      <c r="H1504" s="70"/>
      <c r="I1504" s="70"/>
      <c r="J1504" s="70"/>
    </row>
    <row r="1505" spans="1:10" ht="15" x14ac:dyDescent="0.2">
      <c r="A1505" s="70"/>
      <c r="B1505" s="70"/>
      <c r="C1505" s="70"/>
      <c r="D1505" s="70"/>
      <c r="E1505" s="70"/>
      <c r="F1505" s="70"/>
      <c r="G1505" s="70"/>
      <c r="H1505" s="70"/>
      <c r="I1505" s="70"/>
      <c r="J1505" s="70"/>
    </row>
    <row r="1506" spans="1:10" ht="15" x14ac:dyDescent="0.2">
      <c r="A1506" s="70"/>
      <c r="B1506" s="70"/>
      <c r="C1506" s="70"/>
      <c r="D1506" s="70"/>
      <c r="E1506" s="70"/>
      <c r="F1506" s="70"/>
      <c r="G1506" s="70"/>
      <c r="H1506" s="70"/>
      <c r="I1506" s="70"/>
      <c r="J1506" s="70"/>
    </row>
    <row r="1507" spans="1:10" ht="15" x14ac:dyDescent="0.2">
      <c r="A1507" s="70"/>
      <c r="B1507" s="70"/>
      <c r="C1507" s="70"/>
      <c r="D1507" s="70"/>
      <c r="E1507" s="70"/>
      <c r="F1507" s="70"/>
      <c r="G1507" s="70"/>
      <c r="H1507" s="70"/>
      <c r="I1507" s="70"/>
      <c r="J1507" s="70"/>
    </row>
    <row r="1508" spans="1:10" ht="15" x14ac:dyDescent="0.2">
      <c r="A1508" s="70"/>
      <c r="B1508" s="70"/>
      <c r="C1508" s="70"/>
      <c r="D1508" s="70"/>
      <c r="E1508" s="70"/>
      <c r="F1508" s="70"/>
      <c r="G1508" s="70"/>
      <c r="H1508" s="70"/>
      <c r="I1508" s="70"/>
      <c r="J1508" s="70"/>
    </row>
    <row r="1509" spans="1:10" ht="15" x14ac:dyDescent="0.2">
      <c r="A1509" s="70"/>
      <c r="B1509" s="70"/>
      <c r="C1509" s="70"/>
      <c r="D1509" s="70"/>
      <c r="E1509" s="70"/>
      <c r="F1509" s="70"/>
      <c r="G1509" s="70"/>
      <c r="H1509" s="70"/>
      <c r="I1509" s="70"/>
      <c r="J1509" s="70"/>
    </row>
    <row r="1510" spans="1:10" ht="15" x14ac:dyDescent="0.2">
      <c r="A1510" s="70"/>
      <c r="B1510" s="70"/>
      <c r="C1510" s="70"/>
      <c r="D1510" s="70"/>
      <c r="E1510" s="70"/>
      <c r="F1510" s="70"/>
      <c r="G1510" s="70"/>
      <c r="H1510" s="70"/>
      <c r="I1510" s="70"/>
      <c r="J1510" s="70"/>
    </row>
    <row r="1511" spans="1:10" ht="15" x14ac:dyDescent="0.2">
      <c r="A1511" s="70"/>
      <c r="B1511" s="70"/>
      <c r="C1511" s="70"/>
      <c r="D1511" s="70"/>
      <c r="E1511" s="70"/>
      <c r="F1511" s="70"/>
      <c r="G1511" s="70"/>
      <c r="H1511" s="70"/>
      <c r="I1511" s="70"/>
      <c r="J1511" s="70"/>
    </row>
    <row r="1512" spans="1:10" ht="15" x14ac:dyDescent="0.2">
      <c r="A1512" s="70"/>
      <c r="B1512" s="70"/>
      <c r="C1512" s="70"/>
      <c r="D1512" s="70"/>
      <c r="E1512" s="70"/>
      <c r="F1512" s="70"/>
      <c r="G1512" s="70"/>
      <c r="H1512" s="70"/>
      <c r="I1512" s="70"/>
      <c r="J1512" s="70"/>
    </row>
    <row r="1513" spans="1:10" ht="15" x14ac:dyDescent="0.2">
      <c r="A1513" s="70"/>
      <c r="B1513" s="70"/>
      <c r="C1513" s="70"/>
      <c r="D1513" s="70"/>
      <c r="E1513" s="70"/>
      <c r="F1513" s="70"/>
      <c r="G1513" s="70"/>
      <c r="H1513" s="70"/>
      <c r="I1513" s="70"/>
      <c r="J1513" s="70"/>
    </row>
    <row r="1514" spans="1:10" ht="15" x14ac:dyDescent="0.2">
      <c r="A1514" s="70"/>
      <c r="B1514" s="70"/>
      <c r="C1514" s="70"/>
      <c r="D1514" s="70"/>
      <c r="E1514" s="70"/>
      <c r="F1514" s="70"/>
      <c r="G1514" s="70"/>
      <c r="H1514" s="70"/>
      <c r="I1514" s="70"/>
      <c r="J1514" s="70"/>
    </row>
    <row r="1515" spans="1:10" ht="15" x14ac:dyDescent="0.2">
      <c r="A1515" s="70"/>
      <c r="B1515" s="70"/>
      <c r="C1515" s="70"/>
      <c r="D1515" s="70"/>
      <c r="E1515" s="70"/>
      <c r="F1515" s="70"/>
      <c r="G1515" s="70"/>
      <c r="H1515" s="70"/>
      <c r="I1515" s="70"/>
      <c r="J1515" s="70"/>
    </row>
    <row r="1516" spans="1:10" ht="15" x14ac:dyDescent="0.2">
      <c r="A1516" s="70"/>
      <c r="B1516" s="70"/>
      <c r="C1516" s="70"/>
      <c r="D1516" s="70"/>
      <c r="E1516" s="70"/>
      <c r="F1516" s="70"/>
      <c r="G1516" s="70"/>
      <c r="H1516" s="70"/>
      <c r="I1516" s="70"/>
      <c r="J1516" s="70"/>
    </row>
    <row r="1517" spans="1:10" ht="15" x14ac:dyDescent="0.2">
      <c r="A1517" s="70"/>
      <c r="B1517" s="70"/>
      <c r="C1517" s="70"/>
      <c r="D1517" s="70"/>
      <c r="E1517" s="70"/>
      <c r="F1517" s="70"/>
      <c r="G1517" s="70"/>
      <c r="H1517" s="70"/>
      <c r="I1517" s="70"/>
      <c r="J1517" s="70"/>
    </row>
    <row r="1518" spans="1:10" ht="15" x14ac:dyDescent="0.2">
      <c r="A1518" s="70"/>
      <c r="B1518" s="70"/>
      <c r="C1518" s="70"/>
      <c r="D1518" s="70"/>
      <c r="E1518" s="70"/>
      <c r="F1518" s="70"/>
      <c r="G1518" s="70"/>
      <c r="H1518" s="70"/>
      <c r="I1518" s="70"/>
      <c r="J1518" s="70"/>
    </row>
    <row r="1519" spans="1:10" ht="15" x14ac:dyDescent="0.2">
      <c r="A1519" s="70"/>
      <c r="B1519" s="70"/>
      <c r="C1519" s="70"/>
      <c r="D1519" s="70"/>
      <c r="E1519" s="70"/>
      <c r="F1519" s="70"/>
      <c r="G1519" s="70"/>
      <c r="H1519" s="70"/>
      <c r="I1519" s="70"/>
      <c r="J1519" s="70"/>
    </row>
    <row r="1520" spans="1:10" ht="15" x14ac:dyDescent="0.2">
      <c r="A1520" s="70"/>
      <c r="B1520" s="70"/>
      <c r="C1520" s="70"/>
      <c r="D1520" s="70"/>
      <c r="E1520" s="70"/>
      <c r="F1520" s="70"/>
      <c r="G1520" s="70"/>
      <c r="H1520" s="70"/>
      <c r="I1520" s="70"/>
      <c r="J1520" s="70"/>
    </row>
    <row r="1521" spans="1:10" ht="15" x14ac:dyDescent="0.2">
      <c r="A1521" s="70"/>
      <c r="B1521" s="70"/>
      <c r="C1521" s="70"/>
      <c r="D1521" s="70"/>
      <c r="E1521" s="70"/>
      <c r="F1521" s="70"/>
      <c r="G1521" s="70"/>
      <c r="H1521" s="70"/>
      <c r="I1521" s="70"/>
      <c r="J1521" s="70"/>
    </row>
    <row r="1522" spans="1:10" ht="15" x14ac:dyDescent="0.2">
      <c r="A1522" s="70"/>
      <c r="B1522" s="70"/>
      <c r="C1522" s="70"/>
      <c r="D1522" s="70"/>
      <c r="E1522" s="70"/>
      <c r="F1522" s="70"/>
      <c r="G1522" s="70"/>
      <c r="H1522" s="70"/>
      <c r="I1522" s="70"/>
      <c r="J1522" s="70"/>
    </row>
    <row r="1523" spans="1:10" ht="15" x14ac:dyDescent="0.2">
      <c r="A1523" s="70"/>
      <c r="B1523" s="70"/>
      <c r="C1523" s="70"/>
      <c r="D1523" s="70"/>
      <c r="E1523" s="70"/>
      <c r="F1523" s="70"/>
      <c r="G1523" s="70"/>
      <c r="H1523" s="70"/>
      <c r="I1523" s="70"/>
      <c r="J1523" s="70"/>
    </row>
    <row r="1524" spans="1:10" ht="15" x14ac:dyDescent="0.2">
      <c r="A1524" s="70"/>
      <c r="B1524" s="70"/>
      <c r="C1524" s="70"/>
      <c r="D1524" s="70"/>
      <c r="E1524" s="70"/>
      <c r="F1524" s="70"/>
      <c r="G1524" s="70"/>
      <c r="H1524" s="70"/>
      <c r="I1524" s="70"/>
      <c r="J1524" s="70"/>
    </row>
    <row r="1525" spans="1:10" ht="15" x14ac:dyDescent="0.2">
      <c r="A1525" s="70"/>
      <c r="B1525" s="70"/>
      <c r="C1525" s="70"/>
      <c r="D1525" s="70"/>
      <c r="E1525" s="70"/>
      <c r="F1525" s="70"/>
      <c r="G1525" s="70"/>
      <c r="H1525" s="70"/>
      <c r="I1525" s="70"/>
      <c r="J1525" s="70"/>
    </row>
    <row r="1526" spans="1:10" ht="15" x14ac:dyDescent="0.2">
      <c r="A1526" s="70"/>
      <c r="B1526" s="70"/>
      <c r="C1526" s="70"/>
      <c r="D1526" s="70"/>
      <c r="E1526" s="70"/>
      <c r="F1526" s="70"/>
      <c r="G1526" s="70"/>
      <c r="H1526" s="70"/>
      <c r="I1526" s="70"/>
      <c r="J1526" s="70"/>
    </row>
    <row r="1527" spans="1:10" ht="15" x14ac:dyDescent="0.2">
      <c r="A1527" s="70"/>
      <c r="B1527" s="70"/>
      <c r="C1527" s="70"/>
      <c r="D1527" s="70"/>
      <c r="E1527" s="70"/>
      <c r="F1527" s="70"/>
      <c r="G1527" s="70"/>
      <c r="H1527" s="70"/>
      <c r="I1527" s="70"/>
      <c r="J1527" s="70"/>
    </row>
    <row r="1528" spans="1:10" ht="15" x14ac:dyDescent="0.2">
      <c r="A1528" s="70"/>
      <c r="B1528" s="70"/>
      <c r="C1528" s="70"/>
      <c r="D1528" s="70"/>
      <c r="E1528" s="70"/>
      <c r="F1528" s="70"/>
      <c r="G1528" s="70"/>
      <c r="H1528" s="70"/>
      <c r="I1528" s="70"/>
      <c r="J1528" s="70"/>
    </row>
    <row r="1529" spans="1:10" ht="15" x14ac:dyDescent="0.2">
      <c r="A1529" s="70"/>
      <c r="B1529" s="70"/>
      <c r="C1529" s="70"/>
      <c r="D1529" s="70"/>
      <c r="E1529" s="70"/>
      <c r="F1529" s="70"/>
      <c r="G1529" s="70"/>
      <c r="H1529" s="70"/>
      <c r="I1529" s="70"/>
      <c r="J1529" s="70"/>
    </row>
    <row r="1530" spans="1:10" ht="15" x14ac:dyDescent="0.2">
      <c r="A1530" s="70"/>
      <c r="B1530" s="70"/>
      <c r="C1530" s="70"/>
      <c r="D1530" s="70"/>
      <c r="E1530" s="70"/>
      <c r="F1530" s="70"/>
      <c r="G1530" s="70"/>
      <c r="H1530" s="70"/>
      <c r="I1530" s="70"/>
      <c r="J1530" s="70"/>
    </row>
    <row r="1531" spans="1:10" ht="15" x14ac:dyDescent="0.2">
      <c r="A1531" s="70"/>
      <c r="B1531" s="70"/>
      <c r="C1531" s="70"/>
      <c r="D1531" s="70"/>
      <c r="E1531" s="70"/>
      <c r="F1531" s="70"/>
      <c r="G1531" s="70"/>
      <c r="H1531" s="70"/>
      <c r="I1531" s="70"/>
      <c r="J1531" s="70"/>
    </row>
    <row r="1532" spans="1:10" ht="15" x14ac:dyDescent="0.2">
      <c r="A1532" s="70"/>
      <c r="B1532" s="70"/>
      <c r="C1532" s="70"/>
      <c r="D1532" s="70"/>
      <c r="E1532" s="70"/>
      <c r="F1532" s="70"/>
      <c r="G1532" s="70"/>
      <c r="H1532" s="70"/>
      <c r="I1532" s="70"/>
      <c r="J1532" s="70"/>
    </row>
    <row r="1533" spans="1:10" ht="15" x14ac:dyDescent="0.2">
      <c r="A1533" s="70"/>
      <c r="B1533" s="70"/>
      <c r="C1533" s="70"/>
      <c r="D1533" s="70"/>
      <c r="E1533" s="70"/>
      <c r="F1533" s="70"/>
      <c r="G1533" s="70"/>
      <c r="H1533" s="70"/>
      <c r="I1533" s="70"/>
      <c r="J1533" s="70"/>
    </row>
    <row r="1534" spans="1:10" ht="15" x14ac:dyDescent="0.2">
      <c r="A1534" s="70"/>
      <c r="B1534" s="70"/>
      <c r="C1534" s="70"/>
      <c r="D1534" s="70"/>
      <c r="E1534" s="70"/>
      <c r="F1534" s="70"/>
      <c r="G1534" s="70"/>
      <c r="H1534" s="70"/>
      <c r="I1534" s="70"/>
      <c r="J1534" s="70"/>
    </row>
    <row r="1535" spans="1:10" ht="15" x14ac:dyDescent="0.2">
      <c r="A1535" s="70"/>
      <c r="B1535" s="70"/>
      <c r="C1535" s="70"/>
      <c r="D1535" s="70"/>
      <c r="E1535" s="70"/>
      <c r="F1535" s="70"/>
      <c r="G1535" s="70"/>
      <c r="H1535" s="70"/>
      <c r="I1535" s="70"/>
      <c r="J1535" s="70"/>
    </row>
    <row r="1536" spans="1:10" ht="15" x14ac:dyDescent="0.2">
      <c r="A1536" s="70"/>
      <c r="B1536" s="70"/>
      <c r="C1536" s="70"/>
      <c r="D1536" s="70"/>
      <c r="E1536" s="70"/>
      <c r="F1536" s="70"/>
      <c r="G1536" s="70"/>
      <c r="H1536" s="70"/>
      <c r="I1536" s="70"/>
      <c r="J1536" s="70"/>
    </row>
    <row r="1537" spans="1:10" ht="15" x14ac:dyDescent="0.2">
      <c r="A1537" s="70"/>
      <c r="B1537" s="70"/>
      <c r="C1537" s="70"/>
      <c r="D1537" s="70"/>
      <c r="E1537" s="70"/>
      <c r="F1537" s="70"/>
      <c r="G1537" s="70"/>
      <c r="H1537" s="70"/>
      <c r="I1537" s="70"/>
      <c r="J1537" s="70"/>
    </row>
    <row r="1538" spans="1:10" ht="15" x14ac:dyDescent="0.2">
      <c r="A1538" s="70"/>
      <c r="B1538" s="70"/>
      <c r="C1538" s="70"/>
      <c r="D1538" s="70"/>
      <c r="E1538" s="70"/>
      <c r="F1538" s="70"/>
      <c r="G1538" s="70"/>
      <c r="H1538" s="70"/>
      <c r="I1538" s="70"/>
      <c r="J1538" s="70"/>
    </row>
    <row r="1539" spans="1:10" ht="15" x14ac:dyDescent="0.2">
      <c r="A1539" s="70"/>
      <c r="B1539" s="70"/>
      <c r="C1539" s="70"/>
      <c r="D1539" s="70"/>
      <c r="E1539" s="70"/>
      <c r="F1539" s="70"/>
      <c r="G1539" s="70"/>
      <c r="H1539" s="70"/>
      <c r="I1539" s="70"/>
      <c r="J1539" s="70"/>
    </row>
    <row r="1540" spans="1:10" ht="15" x14ac:dyDescent="0.2">
      <c r="A1540" s="70"/>
      <c r="B1540" s="70"/>
      <c r="C1540" s="70"/>
      <c r="D1540" s="70"/>
      <c r="E1540" s="70"/>
      <c r="F1540" s="70"/>
      <c r="G1540" s="70"/>
      <c r="H1540" s="70"/>
      <c r="I1540" s="70"/>
      <c r="J1540" s="70"/>
    </row>
    <row r="1541" spans="1:10" ht="15" x14ac:dyDescent="0.2">
      <c r="A1541" s="70"/>
      <c r="B1541" s="70"/>
      <c r="C1541" s="70"/>
      <c r="D1541" s="70"/>
      <c r="E1541" s="70"/>
      <c r="F1541" s="70"/>
      <c r="G1541" s="70"/>
      <c r="H1541" s="70"/>
      <c r="I1541" s="70"/>
      <c r="J1541" s="70"/>
    </row>
    <row r="1542" spans="1:10" ht="15" x14ac:dyDescent="0.2">
      <c r="A1542" s="70"/>
      <c r="B1542" s="70"/>
      <c r="C1542" s="70"/>
      <c r="D1542" s="70"/>
      <c r="E1542" s="70"/>
      <c r="F1542" s="70"/>
      <c r="G1542" s="70"/>
      <c r="H1542" s="70"/>
      <c r="I1542" s="70"/>
      <c r="J1542" s="70"/>
    </row>
    <row r="1543" spans="1:10" ht="15" x14ac:dyDescent="0.2">
      <c r="A1543" s="70"/>
      <c r="B1543" s="70"/>
      <c r="C1543" s="70"/>
      <c r="D1543" s="70"/>
      <c r="E1543" s="70"/>
      <c r="F1543" s="70"/>
      <c r="G1543" s="70"/>
      <c r="H1543" s="70"/>
      <c r="I1543" s="70"/>
      <c r="J1543" s="70"/>
    </row>
    <row r="1544" spans="1:10" ht="15" x14ac:dyDescent="0.2">
      <c r="A1544" s="70"/>
      <c r="B1544" s="70"/>
      <c r="C1544" s="70"/>
      <c r="D1544" s="70"/>
      <c r="E1544" s="70"/>
      <c r="F1544" s="70"/>
      <c r="G1544" s="70"/>
      <c r="H1544" s="70"/>
      <c r="I1544" s="70"/>
      <c r="J1544" s="70"/>
    </row>
    <row r="1545" spans="1:10" ht="15" x14ac:dyDescent="0.2">
      <c r="A1545" s="70"/>
      <c r="B1545" s="70"/>
      <c r="C1545" s="70"/>
      <c r="D1545" s="70"/>
      <c r="E1545" s="70"/>
      <c r="F1545" s="70"/>
      <c r="G1545" s="70"/>
      <c r="H1545" s="70"/>
      <c r="I1545" s="70"/>
      <c r="J1545" s="70"/>
    </row>
    <row r="1546" spans="1:10" ht="15" x14ac:dyDescent="0.2">
      <c r="A1546" s="70"/>
      <c r="B1546" s="70"/>
      <c r="C1546" s="70"/>
      <c r="D1546" s="70"/>
      <c r="E1546" s="70"/>
      <c r="F1546" s="70"/>
      <c r="G1546" s="70"/>
      <c r="H1546" s="70"/>
      <c r="I1546" s="70"/>
      <c r="J1546" s="70"/>
    </row>
    <row r="1547" spans="1:10" ht="15" x14ac:dyDescent="0.2">
      <c r="A1547" s="70"/>
      <c r="B1547" s="70"/>
      <c r="C1547" s="70"/>
      <c r="D1547" s="70"/>
      <c r="E1547" s="70"/>
      <c r="F1547" s="70"/>
      <c r="G1547" s="70"/>
      <c r="H1547" s="70"/>
      <c r="I1547" s="70"/>
      <c r="J1547" s="70"/>
    </row>
    <row r="1548" spans="1:10" ht="15" x14ac:dyDescent="0.2">
      <c r="A1548" s="70"/>
      <c r="B1548" s="70"/>
      <c r="C1548" s="70"/>
      <c r="D1548" s="70"/>
      <c r="E1548" s="70"/>
      <c r="F1548" s="70"/>
      <c r="G1548" s="70"/>
      <c r="H1548" s="70"/>
      <c r="I1548" s="70"/>
      <c r="J1548" s="70"/>
    </row>
    <row r="1549" spans="1:10" ht="15" x14ac:dyDescent="0.2">
      <c r="A1549" s="70"/>
      <c r="B1549" s="70"/>
      <c r="C1549" s="70"/>
      <c r="D1549" s="70"/>
      <c r="E1549" s="70"/>
      <c r="F1549" s="70"/>
      <c r="G1549" s="70"/>
      <c r="H1549" s="70"/>
      <c r="I1549" s="70"/>
      <c r="J1549" s="70"/>
    </row>
    <row r="1550" spans="1:10" ht="15" x14ac:dyDescent="0.2">
      <c r="A1550" s="70"/>
      <c r="B1550" s="70"/>
      <c r="C1550" s="70"/>
      <c r="D1550" s="70"/>
      <c r="E1550" s="70"/>
      <c r="F1550" s="70"/>
      <c r="G1550" s="70"/>
      <c r="H1550" s="70"/>
      <c r="I1550" s="70"/>
      <c r="J1550" s="70"/>
    </row>
    <row r="1551" spans="1:10" ht="15" x14ac:dyDescent="0.2">
      <c r="A1551" s="70"/>
      <c r="B1551" s="70"/>
      <c r="C1551" s="70"/>
      <c r="D1551" s="70"/>
      <c r="E1551" s="70"/>
      <c r="F1551" s="70"/>
      <c r="G1551" s="70"/>
      <c r="H1551" s="70"/>
      <c r="I1551" s="70"/>
      <c r="J1551" s="70"/>
    </row>
    <row r="1552" spans="1:10" ht="15" x14ac:dyDescent="0.2">
      <c r="A1552" s="70"/>
      <c r="B1552" s="70"/>
      <c r="C1552" s="70"/>
      <c r="D1552" s="70"/>
      <c r="E1552" s="70"/>
      <c r="F1552" s="70"/>
      <c r="G1552" s="70"/>
      <c r="H1552" s="70"/>
      <c r="I1552" s="70"/>
      <c r="J1552" s="70"/>
    </row>
    <row r="1553" spans="1:10" ht="15" x14ac:dyDescent="0.2">
      <c r="A1553" s="70"/>
      <c r="B1553" s="70"/>
      <c r="C1553" s="70"/>
      <c r="D1553" s="70"/>
      <c r="E1553" s="70"/>
      <c r="F1553" s="70"/>
      <c r="G1553" s="70"/>
      <c r="H1553" s="70"/>
      <c r="I1553" s="70"/>
      <c r="J1553" s="70"/>
    </row>
    <row r="1554" spans="1:10" ht="15" x14ac:dyDescent="0.2">
      <c r="A1554" s="70"/>
      <c r="B1554" s="70"/>
      <c r="C1554" s="70"/>
      <c r="D1554" s="70"/>
      <c r="E1554" s="70"/>
      <c r="F1554" s="70"/>
      <c r="G1554" s="70"/>
      <c r="H1554" s="70"/>
      <c r="I1554" s="70"/>
      <c r="J1554" s="70"/>
    </row>
    <row r="1555" spans="1:10" ht="15" x14ac:dyDescent="0.2">
      <c r="A1555" s="70"/>
      <c r="B1555" s="70"/>
      <c r="C1555" s="70"/>
      <c r="D1555" s="70"/>
      <c r="E1555" s="70"/>
      <c r="F1555" s="70"/>
      <c r="G1555" s="70"/>
      <c r="H1555" s="70"/>
      <c r="I1555" s="70"/>
      <c r="J1555" s="70"/>
    </row>
    <row r="1556" spans="1:10" ht="15" x14ac:dyDescent="0.2">
      <c r="A1556" s="70"/>
      <c r="B1556" s="70"/>
      <c r="C1556" s="70"/>
      <c r="D1556" s="70"/>
      <c r="E1556" s="70"/>
      <c r="F1556" s="70"/>
      <c r="G1556" s="70"/>
      <c r="H1556" s="70"/>
      <c r="I1556" s="70"/>
      <c r="J1556" s="70"/>
    </row>
    <row r="1557" spans="1:10" ht="15" x14ac:dyDescent="0.2">
      <c r="A1557" s="70"/>
      <c r="B1557" s="70"/>
      <c r="C1557" s="70"/>
      <c r="D1557" s="70"/>
      <c r="E1557" s="70"/>
      <c r="F1557" s="70"/>
      <c r="G1557" s="70"/>
      <c r="H1557" s="70"/>
      <c r="I1557" s="70"/>
      <c r="J1557" s="70"/>
    </row>
    <row r="1558" spans="1:10" ht="15" x14ac:dyDescent="0.2">
      <c r="A1558" s="70"/>
      <c r="B1558" s="70"/>
      <c r="C1558" s="70"/>
      <c r="D1558" s="70"/>
      <c r="E1558" s="70"/>
      <c r="F1558" s="70"/>
      <c r="G1558" s="70"/>
      <c r="H1558" s="70"/>
      <c r="I1558" s="70"/>
      <c r="J1558" s="70"/>
    </row>
    <row r="1559" spans="1:10" ht="15" x14ac:dyDescent="0.2">
      <c r="A1559" s="70"/>
      <c r="B1559" s="70"/>
      <c r="C1559" s="70"/>
      <c r="D1559" s="70"/>
      <c r="E1559" s="70"/>
      <c r="F1559" s="70"/>
      <c r="G1559" s="70"/>
      <c r="H1559" s="70"/>
      <c r="I1559" s="70"/>
      <c r="J1559" s="70"/>
    </row>
    <row r="1560" spans="1:10" ht="15" x14ac:dyDescent="0.2">
      <c r="A1560" s="70"/>
      <c r="B1560" s="70"/>
      <c r="C1560" s="70"/>
      <c r="D1560" s="70"/>
      <c r="E1560" s="70"/>
      <c r="F1560" s="70"/>
      <c r="G1560" s="70"/>
      <c r="H1560" s="70"/>
      <c r="I1560" s="70"/>
      <c r="J1560" s="70"/>
    </row>
    <row r="1561" spans="1:10" ht="15" x14ac:dyDescent="0.2">
      <c r="A1561" s="70"/>
      <c r="B1561" s="70"/>
      <c r="C1561" s="70"/>
      <c r="D1561" s="70"/>
      <c r="E1561" s="70"/>
      <c r="F1561" s="70"/>
      <c r="G1561" s="70"/>
      <c r="H1561" s="70"/>
      <c r="I1561" s="70"/>
      <c r="J1561" s="70"/>
    </row>
    <row r="1562" spans="1:10" ht="15" x14ac:dyDescent="0.2">
      <c r="A1562" s="70"/>
      <c r="B1562" s="70"/>
      <c r="C1562" s="70"/>
      <c r="D1562" s="70"/>
      <c r="E1562" s="70"/>
      <c r="F1562" s="70"/>
      <c r="G1562" s="70"/>
      <c r="H1562" s="70"/>
      <c r="I1562" s="70"/>
      <c r="J1562" s="70"/>
    </row>
    <row r="1563" spans="1:10" ht="15" x14ac:dyDescent="0.2">
      <c r="A1563" s="70"/>
      <c r="B1563" s="70"/>
      <c r="C1563" s="70"/>
      <c r="D1563" s="70"/>
      <c r="E1563" s="70"/>
      <c r="F1563" s="70"/>
      <c r="G1563" s="70"/>
      <c r="H1563" s="70"/>
      <c r="I1563" s="70"/>
      <c r="J1563" s="70"/>
    </row>
    <row r="1564" spans="1:10" ht="15" x14ac:dyDescent="0.2">
      <c r="A1564" s="70"/>
      <c r="B1564" s="70"/>
      <c r="C1564" s="70"/>
      <c r="D1564" s="70"/>
      <c r="E1564" s="70"/>
      <c r="F1564" s="70"/>
      <c r="G1564" s="70"/>
      <c r="H1564" s="70"/>
      <c r="I1564" s="70"/>
      <c r="J1564" s="70"/>
    </row>
    <row r="1565" spans="1:10" ht="15" x14ac:dyDescent="0.2">
      <c r="A1565" s="70"/>
      <c r="B1565" s="70"/>
      <c r="C1565" s="70"/>
      <c r="D1565" s="70"/>
      <c r="E1565" s="70"/>
      <c r="F1565" s="70"/>
      <c r="G1565" s="70"/>
      <c r="H1565" s="70"/>
      <c r="I1565" s="70"/>
      <c r="J1565" s="70"/>
    </row>
    <row r="1566" spans="1:10" ht="15" x14ac:dyDescent="0.2">
      <c r="A1566" s="70"/>
      <c r="B1566" s="70"/>
      <c r="C1566" s="70"/>
      <c r="D1566" s="70"/>
      <c r="E1566" s="70"/>
      <c r="F1566" s="70"/>
      <c r="G1566" s="70"/>
      <c r="H1566" s="70"/>
      <c r="I1566" s="70"/>
      <c r="J1566" s="70"/>
    </row>
    <row r="1567" spans="1:10" ht="15" x14ac:dyDescent="0.2">
      <c r="A1567" s="70"/>
      <c r="B1567" s="70"/>
      <c r="C1567" s="70"/>
      <c r="D1567" s="70"/>
      <c r="E1567" s="70"/>
      <c r="F1567" s="70"/>
      <c r="G1567" s="70"/>
      <c r="H1567" s="70"/>
      <c r="I1567" s="70"/>
      <c r="J1567" s="70"/>
    </row>
    <row r="1568" spans="1:10" ht="15" x14ac:dyDescent="0.2">
      <c r="A1568" s="70"/>
      <c r="B1568" s="70"/>
      <c r="C1568" s="70"/>
      <c r="D1568" s="70"/>
      <c r="E1568" s="70"/>
      <c r="F1568" s="70"/>
      <c r="G1568" s="70"/>
      <c r="H1568" s="70"/>
      <c r="I1568" s="70"/>
      <c r="J1568" s="70"/>
    </row>
    <row r="1569" spans="1:10" ht="15" x14ac:dyDescent="0.2">
      <c r="A1569" s="70"/>
      <c r="B1569" s="70"/>
      <c r="C1569" s="70"/>
      <c r="D1569" s="70"/>
      <c r="E1569" s="70"/>
      <c r="F1569" s="70"/>
      <c r="G1569" s="70"/>
      <c r="H1569" s="70"/>
      <c r="I1569" s="70"/>
      <c r="J1569" s="70"/>
    </row>
    <row r="1570" spans="1:10" ht="15" x14ac:dyDescent="0.2">
      <c r="A1570" s="70"/>
      <c r="B1570" s="70"/>
      <c r="C1570" s="70"/>
      <c r="D1570" s="70"/>
      <c r="E1570" s="70"/>
      <c r="F1570" s="70"/>
      <c r="G1570" s="70"/>
      <c r="H1570" s="70"/>
      <c r="I1570" s="70"/>
      <c r="J1570" s="70"/>
    </row>
    <row r="1571" spans="1:10" ht="15" x14ac:dyDescent="0.2">
      <c r="A1571" s="70"/>
      <c r="B1571" s="70"/>
      <c r="C1571" s="70"/>
      <c r="D1571" s="70"/>
      <c r="E1571" s="70"/>
      <c r="F1571" s="70"/>
      <c r="G1571" s="70"/>
      <c r="H1571" s="70"/>
      <c r="I1571" s="70"/>
      <c r="J1571" s="70"/>
    </row>
    <row r="1572" spans="1:10" ht="15" x14ac:dyDescent="0.2">
      <c r="A1572" s="70"/>
      <c r="B1572" s="70"/>
      <c r="C1572" s="70"/>
      <c r="D1572" s="70"/>
      <c r="E1572" s="70"/>
      <c r="F1572" s="70"/>
      <c r="G1572" s="70"/>
      <c r="H1572" s="70"/>
      <c r="I1572" s="70"/>
      <c r="J1572" s="70"/>
    </row>
    <row r="1573" spans="1:10" ht="15" x14ac:dyDescent="0.2">
      <c r="A1573" s="70"/>
      <c r="B1573" s="70"/>
      <c r="C1573" s="70"/>
      <c r="D1573" s="70"/>
      <c r="E1573" s="70"/>
      <c r="F1573" s="70"/>
      <c r="G1573" s="70"/>
      <c r="H1573" s="70"/>
      <c r="I1573" s="70"/>
      <c r="J1573" s="70"/>
    </row>
    <row r="1574" spans="1:10" ht="15" x14ac:dyDescent="0.2">
      <c r="A1574" s="70"/>
      <c r="B1574" s="70"/>
      <c r="C1574" s="70"/>
      <c r="D1574" s="70"/>
      <c r="E1574" s="70"/>
      <c r="F1574" s="70"/>
      <c r="G1574" s="70"/>
      <c r="H1574" s="70"/>
      <c r="I1574" s="70"/>
      <c r="J1574" s="70"/>
    </row>
    <row r="1575" spans="1:10" ht="15" x14ac:dyDescent="0.2">
      <c r="A1575" s="70"/>
      <c r="B1575" s="70"/>
      <c r="C1575" s="70"/>
      <c r="D1575" s="70"/>
      <c r="E1575" s="70"/>
      <c r="F1575" s="70"/>
      <c r="G1575" s="70"/>
      <c r="H1575" s="70"/>
      <c r="I1575" s="70"/>
      <c r="J1575" s="70"/>
    </row>
    <row r="1576" spans="1:10" ht="15" x14ac:dyDescent="0.2">
      <c r="A1576" s="70"/>
      <c r="B1576" s="70"/>
      <c r="C1576" s="70"/>
      <c r="D1576" s="70"/>
      <c r="E1576" s="70"/>
      <c r="F1576" s="70"/>
      <c r="G1576" s="70"/>
      <c r="H1576" s="70"/>
      <c r="I1576" s="70"/>
      <c r="J1576" s="70"/>
    </row>
    <row r="1577" spans="1:10" ht="15" x14ac:dyDescent="0.2">
      <c r="A1577" s="70"/>
      <c r="B1577" s="70"/>
      <c r="C1577" s="70"/>
      <c r="D1577" s="70"/>
      <c r="E1577" s="70"/>
      <c r="F1577" s="70"/>
      <c r="G1577" s="70"/>
      <c r="H1577" s="70"/>
      <c r="I1577" s="70"/>
      <c r="J1577" s="70"/>
    </row>
    <row r="1578" spans="1:10" ht="15" x14ac:dyDescent="0.2">
      <c r="A1578" s="70"/>
      <c r="B1578" s="70"/>
      <c r="C1578" s="70"/>
      <c r="D1578" s="70"/>
      <c r="E1578" s="70"/>
      <c r="F1578" s="70"/>
      <c r="G1578" s="70"/>
      <c r="H1578" s="70"/>
      <c r="I1578" s="70"/>
      <c r="J1578" s="70"/>
    </row>
    <row r="1579" spans="1:10" ht="15" x14ac:dyDescent="0.2">
      <c r="A1579" s="70"/>
      <c r="B1579" s="70"/>
      <c r="C1579" s="70"/>
      <c r="D1579" s="70"/>
      <c r="E1579" s="70"/>
      <c r="F1579" s="70"/>
      <c r="G1579" s="70"/>
      <c r="H1579" s="70"/>
      <c r="I1579" s="70"/>
      <c r="J1579" s="70"/>
    </row>
    <row r="1580" spans="1:10" ht="15" x14ac:dyDescent="0.2">
      <c r="A1580" s="70"/>
      <c r="B1580" s="70"/>
      <c r="C1580" s="70"/>
      <c r="D1580" s="70"/>
      <c r="E1580" s="70"/>
      <c r="F1580" s="70"/>
      <c r="G1580" s="70"/>
      <c r="H1580" s="70"/>
      <c r="I1580" s="70"/>
      <c r="J1580" s="70"/>
    </row>
    <row r="1581" spans="1:10" ht="15" x14ac:dyDescent="0.2">
      <c r="A1581" s="70"/>
      <c r="B1581" s="70"/>
      <c r="C1581" s="70"/>
      <c r="D1581" s="70"/>
      <c r="E1581" s="70"/>
      <c r="F1581" s="70"/>
      <c r="G1581" s="70"/>
      <c r="H1581" s="70"/>
      <c r="I1581" s="70"/>
      <c r="J1581" s="70"/>
    </row>
    <row r="1582" spans="1:10" ht="15" x14ac:dyDescent="0.2">
      <c r="A1582" s="70"/>
      <c r="B1582" s="70"/>
      <c r="C1582" s="70"/>
      <c r="D1582" s="70"/>
      <c r="E1582" s="70"/>
      <c r="F1582" s="70"/>
      <c r="G1582" s="70"/>
      <c r="H1582" s="70"/>
      <c r="I1582" s="70"/>
      <c r="J1582" s="70"/>
    </row>
    <row r="1583" spans="1:10" ht="15" x14ac:dyDescent="0.2">
      <c r="A1583" s="70"/>
      <c r="B1583" s="70"/>
      <c r="C1583" s="70"/>
      <c r="D1583" s="70"/>
      <c r="E1583" s="70"/>
      <c r="F1583" s="70"/>
      <c r="G1583" s="70"/>
      <c r="H1583" s="70"/>
      <c r="I1583" s="70"/>
      <c r="J1583" s="70"/>
    </row>
    <row r="1584" spans="1:10" ht="15" x14ac:dyDescent="0.2">
      <c r="A1584" s="70"/>
      <c r="B1584" s="70"/>
      <c r="C1584" s="70"/>
      <c r="D1584" s="70"/>
      <c r="E1584" s="70"/>
      <c r="F1584" s="70"/>
      <c r="G1584" s="70"/>
      <c r="H1584" s="70"/>
      <c r="I1584" s="70"/>
      <c r="J1584" s="70"/>
    </row>
    <row r="1585" spans="1:10" ht="15" x14ac:dyDescent="0.2">
      <c r="A1585" s="70"/>
      <c r="B1585" s="70"/>
      <c r="C1585" s="70"/>
      <c r="D1585" s="70"/>
      <c r="E1585" s="70"/>
      <c r="F1585" s="70"/>
      <c r="G1585" s="70"/>
      <c r="H1585" s="70"/>
      <c r="I1585" s="70"/>
      <c r="J1585" s="70"/>
    </row>
    <row r="1586" spans="1:10" ht="15" x14ac:dyDescent="0.2">
      <c r="A1586" s="70"/>
      <c r="B1586" s="70"/>
      <c r="C1586" s="70"/>
      <c r="D1586" s="70"/>
      <c r="E1586" s="70"/>
      <c r="F1586" s="70"/>
      <c r="G1586" s="70"/>
      <c r="H1586" s="70"/>
      <c r="I1586" s="70"/>
      <c r="J1586" s="70"/>
    </row>
    <row r="1587" spans="1:10" ht="15" x14ac:dyDescent="0.2">
      <c r="A1587" s="70"/>
      <c r="B1587" s="70"/>
      <c r="C1587" s="70"/>
      <c r="D1587" s="70"/>
      <c r="E1587" s="70"/>
      <c r="F1587" s="70"/>
      <c r="G1587" s="70"/>
      <c r="H1587" s="70"/>
      <c r="I1587" s="70"/>
      <c r="J1587" s="70"/>
    </row>
    <row r="1588" spans="1:10" ht="15" x14ac:dyDescent="0.2">
      <c r="A1588" s="70"/>
      <c r="B1588" s="70"/>
      <c r="C1588" s="70"/>
      <c r="D1588" s="70"/>
      <c r="E1588" s="70"/>
      <c r="F1588" s="70"/>
      <c r="G1588" s="70"/>
      <c r="H1588" s="70"/>
      <c r="I1588" s="70"/>
      <c r="J1588" s="70"/>
    </row>
    <row r="1589" spans="1:10" ht="15" x14ac:dyDescent="0.2">
      <c r="A1589" s="70"/>
      <c r="B1589" s="70"/>
      <c r="C1589" s="70"/>
      <c r="D1589" s="70"/>
      <c r="E1589" s="70"/>
      <c r="F1589" s="70"/>
      <c r="G1589" s="70"/>
      <c r="H1589" s="70"/>
      <c r="I1589" s="70"/>
      <c r="J1589" s="70"/>
    </row>
    <row r="1590" spans="1:10" ht="15" x14ac:dyDescent="0.2">
      <c r="A1590" s="70"/>
      <c r="B1590" s="70"/>
      <c r="C1590" s="70"/>
      <c r="D1590" s="70"/>
      <c r="E1590" s="70"/>
      <c r="F1590" s="70"/>
      <c r="G1590" s="70"/>
      <c r="H1590" s="70"/>
      <c r="I1590" s="70"/>
      <c r="J1590" s="70"/>
    </row>
    <row r="1591" spans="1:10" ht="15" x14ac:dyDescent="0.2">
      <c r="A1591" s="70"/>
      <c r="B1591" s="70"/>
      <c r="C1591" s="70"/>
      <c r="D1591" s="70"/>
      <c r="E1591" s="70"/>
      <c r="F1591" s="70"/>
      <c r="G1591" s="70"/>
      <c r="H1591" s="70"/>
      <c r="I1591" s="70"/>
      <c r="J1591" s="70"/>
    </row>
    <row r="1592" spans="1:10" ht="15" x14ac:dyDescent="0.2">
      <c r="A1592" s="70"/>
      <c r="B1592" s="70"/>
      <c r="C1592" s="70"/>
      <c r="D1592" s="70"/>
      <c r="E1592" s="70"/>
      <c r="F1592" s="70"/>
      <c r="G1592" s="70"/>
      <c r="H1592" s="70"/>
      <c r="I1592" s="70"/>
      <c r="J1592" s="70"/>
    </row>
    <row r="1593" spans="1:10" ht="15" x14ac:dyDescent="0.2">
      <c r="A1593" s="70"/>
      <c r="B1593" s="70"/>
      <c r="C1593" s="70"/>
      <c r="D1593" s="70"/>
      <c r="E1593" s="70"/>
      <c r="F1593" s="70"/>
      <c r="G1593" s="70"/>
      <c r="H1593" s="70"/>
      <c r="I1593" s="70"/>
      <c r="J1593" s="70"/>
    </row>
    <row r="1594" spans="1:10" ht="15" x14ac:dyDescent="0.2">
      <c r="A1594" s="70"/>
      <c r="B1594" s="70"/>
      <c r="C1594" s="70"/>
      <c r="D1594" s="70"/>
      <c r="E1594" s="70"/>
      <c r="F1594" s="70"/>
      <c r="G1594" s="70"/>
      <c r="H1594" s="70"/>
      <c r="I1594" s="70"/>
      <c r="J1594" s="70"/>
    </row>
    <row r="1595" spans="1:10" ht="15" x14ac:dyDescent="0.2">
      <c r="A1595" s="70"/>
      <c r="B1595" s="70"/>
      <c r="C1595" s="70"/>
      <c r="D1595" s="70"/>
      <c r="E1595" s="70"/>
      <c r="F1595" s="70"/>
      <c r="G1595" s="70"/>
      <c r="H1595" s="70"/>
      <c r="I1595" s="70"/>
      <c r="J1595" s="70"/>
    </row>
    <row r="1596" spans="1:10" ht="15" x14ac:dyDescent="0.2">
      <c r="A1596" s="70"/>
      <c r="B1596" s="70"/>
      <c r="C1596" s="70"/>
      <c r="D1596" s="70"/>
      <c r="E1596" s="70"/>
      <c r="F1596" s="70"/>
      <c r="G1596" s="70"/>
      <c r="H1596" s="70"/>
      <c r="I1596" s="70"/>
      <c r="J1596" s="70"/>
    </row>
    <row r="1597" spans="1:10" ht="15" x14ac:dyDescent="0.2">
      <c r="A1597" s="70"/>
      <c r="B1597" s="70"/>
      <c r="C1597" s="70"/>
      <c r="D1597" s="70"/>
      <c r="E1597" s="70"/>
      <c r="F1597" s="70"/>
      <c r="G1597" s="70"/>
      <c r="H1597" s="70"/>
      <c r="I1597" s="70"/>
      <c r="J1597" s="70"/>
    </row>
    <row r="1598" spans="1:10" ht="15" x14ac:dyDescent="0.2">
      <c r="A1598" s="70"/>
      <c r="B1598" s="70"/>
      <c r="C1598" s="70"/>
      <c r="D1598" s="70"/>
      <c r="E1598" s="70"/>
      <c r="F1598" s="70"/>
      <c r="G1598" s="70"/>
      <c r="H1598" s="70"/>
      <c r="I1598" s="70"/>
      <c r="J1598" s="70"/>
    </row>
    <row r="1599" spans="1:10" ht="15" x14ac:dyDescent="0.2">
      <c r="A1599" s="70"/>
      <c r="B1599" s="70"/>
      <c r="C1599" s="70"/>
      <c r="D1599" s="70"/>
      <c r="E1599" s="70"/>
      <c r="F1599" s="70"/>
      <c r="G1599" s="70"/>
      <c r="H1599" s="70"/>
      <c r="I1599" s="70"/>
      <c r="J1599" s="70"/>
    </row>
    <row r="1600" spans="1:10" ht="15" x14ac:dyDescent="0.2">
      <c r="A1600" s="70"/>
      <c r="B1600" s="70"/>
      <c r="C1600" s="70"/>
      <c r="D1600" s="70"/>
      <c r="E1600" s="70"/>
      <c r="F1600" s="70"/>
      <c r="G1600" s="70"/>
      <c r="H1600" s="70"/>
      <c r="I1600" s="70"/>
      <c r="J1600" s="70"/>
    </row>
    <row r="1601" spans="1:10" ht="15" x14ac:dyDescent="0.2">
      <c r="A1601" s="70"/>
      <c r="B1601" s="70"/>
      <c r="C1601" s="70"/>
      <c r="D1601" s="70"/>
      <c r="E1601" s="70"/>
      <c r="F1601" s="70"/>
      <c r="G1601" s="70"/>
      <c r="H1601" s="70"/>
      <c r="I1601" s="70"/>
      <c r="J1601" s="70"/>
    </row>
    <row r="1602" spans="1:10" ht="15" x14ac:dyDescent="0.2">
      <c r="A1602" s="70"/>
      <c r="B1602" s="70"/>
      <c r="C1602" s="70"/>
      <c r="D1602" s="70"/>
      <c r="E1602" s="70"/>
      <c r="F1602" s="70"/>
      <c r="G1602" s="70"/>
      <c r="H1602" s="70"/>
      <c r="I1602" s="70"/>
      <c r="J1602" s="70"/>
    </row>
    <row r="1603" spans="1:10" ht="15" x14ac:dyDescent="0.2">
      <c r="A1603" s="70"/>
      <c r="B1603" s="70"/>
      <c r="C1603" s="70"/>
      <c r="D1603" s="70"/>
      <c r="E1603" s="70"/>
      <c r="F1603" s="70"/>
      <c r="G1603" s="70"/>
      <c r="H1603" s="70"/>
      <c r="I1603" s="70"/>
      <c r="J1603" s="70"/>
    </row>
    <row r="1604" spans="1:10" ht="15" x14ac:dyDescent="0.2">
      <c r="A1604" s="70"/>
      <c r="B1604" s="70"/>
      <c r="C1604" s="70"/>
      <c r="D1604" s="70"/>
      <c r="E1604" s="70"/>
      <c r="F1604" s="70"/>
      <c r="G1604" s="70"/>
      <c r="H1604" s="70"/>
      <c r="I1604" s="70"/>
      <c r="J1604" s="70"/>
    </row>
    <row r="1605" spans="1:10" ht="15" x14ac:dyDescent="0.2">
      <c r="A1605" s="70"/>
      <c r="B1605" s="70"/>
      <c r="C1605" s="70"/>
      <c r="D1605" s="70"/>
      <c r="E1605" s="70"/>
      <c r="F1605" s="70"/>
      <c r="G1605" s="70"/>
      <c r="H1605" s="70"/>
      <c r="I1605" s="70"/>
      <c r="J1605" s="70"/>
    </row>
    <row r="1606" spans="1:10" ht="15" x14ac:dyDescent="0.2">
      <c r="A1606" s="70"/>
      <c r="B1606" s="70"/>
      <c r="C1606" s="70"/>
      <c r="D1606" s="70"/>
      <c r="E1606" s="70"/>
      <c r="F1606" s="70"/>
      <c r="G1606" s="70"/>
      <c r="H1606" s="70"/>
      <c r="I1606" s="70"/>
      <c r="J1606" s="70"/>
    </row>
    <row r="1607" spans="1:10" ht="15" x14ac:dyDescent="0.2">
      <c r="A1607" s="70"/>
      <c r="B1607" s="70"/>
      <c r="C1607" s="70"/>
      <c r="D1607" s="70"/>
      <c r="E1607" s="70"/>
      <c r="F1607" s="70"/>
      <c r="G1607" s="70"/>
      <c r="H1607" s="70"/>
      <c r="I1607" s="70"/>
      <c r="J1607" s="70"/>
    </row>
    <row r="1608" spans="1:10" ht="15" x14ac:dyDescent="0.2">
      <c r="A1608" s="70"/>
      <c r="B1608" s="70"/>
      <c r="C1608" s="70"/>
      <c r="D1608" s="70"/>
      <c r="E1608" s="70"/>
      <c r="F1608" s="70"/>
      <c r="G1608" s="70"/>
      <c r="H1608" s="70"/>
      <c r="I1608" s="70"/>
      <c r="J1608" s="70"/>
    </row>
    <row r="1609" spans="1:10" ht="15" x14ac:dyDescent="0.2">
      <c r="A1609" s="70"/>
      <c r="B1609" s="70"/>
      <c r="C1609" s="70"/>
      <c r="D1609" s="70"/>
      <c r="E1609" s="70"/>
      <c r="F1609" s="70"/>
      <c r="G1609" s="70"/>
      <c r="H1609" s="70"/>
      <c r="I1609" s="70"/>
      <c r="J1609" s="70"/>
    </row>
    <row r="1610" spans="1:10" ht="15" x14ac:dyDescent="0.2">
      <c r="A1610" s="70"/>
      <c r="B1610" s="70"/>
      <c r="C1610" s="70"/>
      <c r="D1610" s="70"/>
      <c r="E1610" s="70"/>
      <c r="F1610" s="70"/>
      <c r="G1610" s="70"/>
      <c r="H1610" s="70"/>
      <c r="I1610" s="70"/>
      <c r="J1610" s="70"/>
    </row>
    <row r="1611" spans="1:10" ht="15" x14ac:dyDescent="0.2">
      <c r="A1611" s="70"/>
      <c r="B1611" s="70"/>
      <c r="C1611" s="70"/>
      <c r="D1611" s="70"/>
      <c r="E1611" s="70"/>
      <c r="F1611" s="70"/>
      <c r="G1611" s="70"/>
      <c r="H1611" s="70"/>
      <c r="I1611" s="70"/>
      <c r="J1611" s="70"/>
    </row>
    <row r="1612" spans="1:10" ht="15" x14ac:dyDescent="0.2">
      <c r="A1612" s="70"/>
      <c r="B1612" s="70"/>
      <c r="C1612" s="70"/>
      <c r="D1612" s="70"/>
      <c r="E1612" s="70"/>
      <c r="F1612" s="70"/>
      <c r="G1612" s="70"/>
      <c r="H1612" s="70"/>
      <c r="I1612" s="70"/>
      <c r="J1612" s="70"/>
    </row>
    <row r="1613" spans="1:10" ht="15" x14ac:dyDescent="0.2">
      <c r="A1613" s="70"/>
      <c r="B1613" s="70"/>
      <c r="C1613" s="70"/>
      <c r="D1613" s="70"/>
      <c r="E1613" s="70"/>
      <c r="F1613" s="70"/>
      <c r="G1613" s="70"/>
      <c r="H1613" s="70"/>
      <c r="I1613" s="70"/>
      <c r="J1613" s="70"/>
    </row>
    <row r="1614" spans="1:10" ht="15" x14ac:dyDescent="0.2">
      <c r="A1614" s="70"/>
      <c r="B1614" s="70"/>
      <c r="C1614" s="70"/>
      <c r="D1614" s="70"/>
      <c r="E1614" s="70"/>
      <c r="F1614" s="70"/>
      <c r="G1614" s="70"/>
      <c r="H1614" s="70"/>
      <c r="I1614" s="70"/>
      <c r="J1614" s="70"/>
    </row>
    <row r="1615" spans="1:10" ht="15" x14ac:dyDescent="0.2">
      <c r="A1615" s="70"/>
      <c r="B1615" s="70"/>
      <c r="C1615" s="70"/>
      <c r="D1615" s="70"/>
      <c r="E1615" s="70"/>
      <c r="F1615" s="70"/>
      <c r="G1615" s="70"/>
      <c r="H1615" s="70"/>
      <c r="I1615" s="70"/>
      <c r="J1615" s="70"/>
    </row>
    <row r="1616" spans="1:10" ht="15" x14ac:dyDescent="0.2">
      <c r="A1616" s="70"/>
      <c r="B1616" s="70"/>
      <c r="C1616" s="70"/>
      <c r="D1616" s="70"/>
      <c r="E1616" s="70"/>
      <c r="F1616" s="70"/>
      <c r="G1616" s="70"/>
      <c r="H1616" s="70"/>
      <c r="I1616" s="70"/>
      <c r="J1616" s="70"/>
    </row>
    <row r="1617" spans="1:10" ht="15" x14ac:dyDescent="0.2">
      <c r="A1617" s="70"/>
      <c r="B1617" s="70"/>
      <c r="C1617" s="70"/>
      <c r="D1617" s="70"/>
      <c r="E1617" s="70"/>
      <c r="F1617" s="70"/>
      <c r="G1617" s="70"/>
      <c r="H1617" s="70"/>
      <c r="I1617" s="70"/>
      <c r="J1617" s="70"/>
    </row>
    <row r="1618" spans="1:10" ht="15" x14ac:dyDescent="0.2">
      <c r="A1618" s="70"/>
      <c r="B1618" s="70"/>
      <c r="C1618" s="70"/>
      <c r="D1618" s="70"/>
      <c r="E1618" s="70"/>
      <c r="F1618" s="70"/>
      <c r="G1618" s="70"/>
      <c r="H1618" s="70"/>
      <c r="I1618" s="70"/>
      <c r="J1618" s="70"/>
    </row>
    <row r="1619" spans="1:10" ht="15" x14ac:dyDescent="0.2">
      <c r="A1619" s="70"/>
      <c r="B1619" s="70"/>
      <c r="C1619" s="70"/>
      <c r="D1619" s="70"/>
      <c r="E1619" s="70"/>
      <c r="F1619" s="70"/>
      <c r="G1619" s="70"/>
      <c r="H1619" s="70"/>
      <c r="I1619" s="70"/>
      <c r="J1619" s="70"/>
    </row>
    <row r="1620" spans="1:10" ht="15" x14ac:dyDescent="0.2">
      <c r="A1620" s="70"/>
      <c r="B1620" s="70"/>
      <c r="C1620" s="70"/>
      <c r="D1620" s="70"/>
      <c r="E1620" s="70"/>
      <c r="F1620" s="70"/>
      <c r="G1620" s="70"/>
      <c r="H1620" s="70"/>
      <c r="I1620" s="70"/>
      <c r="J1620" s="70"/>
    </row>
    <row r="1621" spans="1:10" ht="15" x14ac:dyDescent="0.2">
      <c r="A1621" s="70"/>
      <c r="B1621" s="70"/>
      <c r="C1621" s="70"/>
      <c r="D1621" s="70"/>
      <c r="E1621" s="70"/>
      <c r="F1621" s="70"/>
      <c r="G1621" s="70"/>
      <c r="H1621" s="70"/>
      <c r="I1621" s="70"/>
      <c r="J1621" s="70"/>
    </row>
    <row r="1622" spans="1:10" ht="15" x14ac:dyDescent="0.2">
      <c r="A1622" s="70"/>
      <c r="B1622" s="70"/>
      <c r="C1622" s="70"/>
      <c r="D1622" s="70"/>
      <c r="E1622" s="70"/>
      <c r="F1622" s="70"/>
      <c r="G1622" s="70"/>
      <c r="H1622" s="70"/>
      <c r="I1622" s="70"/>
      <c r="J1622" s="70"/>
    </row>
    <row r="1623" spans="1:10" ht="15" x14ac:dyDescent="0.2">
      <c r="A1623" s="70"/>
      <c r="B1623" s="70"/>
      <c r="C1623" s="70"/>
      <c r="D1623" s="70"/>
      <c r="E1623" s="70"/>
      <c r="F1623" s="70"/>
      <c r="G1623" s="70"/>
      <c r="H1623" s="70"/>
      <c r="I1623" s="70"/>
      <c r="J1623" s="70"/>
    </row>
    <row r="1624" spans="1:10" ht="15" x14ac:dyDescent="0.2">
      <c r="A1624" s="70"/>
      <c r="B1624" s="70"/>
      <c r="C1624" s="70"/>
      <c r="D1624" s="70"/>
      <c r="E1624" s="70"/>
      <c r="F1624" s="70"/>
      <c r="G1624" s="70"/>
      <c r="H1624" s="70"/>
      <c r="I1624" s="70"/>
      <c r="J1624" s="70"/>
    </row>
    <row r="1625" spans="1:10" ht="15" x14ac:dyDescent="0.2">
      <c r="A1625" s="70"/>
      <c r="B1625" s="70"/>
      <c r="C1625" s="70"/>
      <c r="D1625" s="70"/>
      <c r="E1625" s="70"/>
      <c r="F1625" s="70"/>
      <c r="G1625" s="70"/>
      <c r="H1625" s="70"/>
      <c r="I1625" s="70"/>
      <c r="J1625" s="70"/>
    </row>
    <row r="1626" spans="1:10" ht="15" x14ac:dyDescent="0.2">
      <c r="A1626" s="70"/>
      <c r="B1626" s="70"/>
      <c r="C1626" s="70"/>
      <c r="D1626" s="70"/>
      <c r="E1626" s="70"/>
      <c r="F1626" s="70"/>
      <c r="G1626" s="70"/>
      <c r="H1626" s="70"/>
      <c r="I1626" s="70"/>
      <c r="J1626" s="70"/>
    </row>
    <row r="1627" spans="1:10" ht="15" x14ac:dyDescent="0.2">
      <c r="A1627" s="70"/>
      <c r="B1627" s="70"/>
      <c r="C1627" s="70"/>
      <c r="D1627" s="70"/>
      <c r="E1627" s="70"/>
      <c r="F1627" s="70"/>
      <c r="G1627" s="70"/>
      <c r="H1627" s="70"/>
      <c r="I1627" s="70"/>
      <c r="J1627" s="70"/>
    </row>
    <row r="1628" spans="1:10" ht="15" x14ac:dyDescent="0.2">
      <c r="A1628" s="70"/>
      <c r="B1628" s="70"/>
      <c r="C1628" s="70"/>
      <c r="D1628" s="70"/>
      <c r="E1628" s="70"/>
      <c r="F1628" s="70"/>
      <c r="G1628" s="70"/>
      <c r="H1628" s="70"/>
      <c r="I1628" s="70"/>
      <c r="J1628" s="70"/>
    </row>
    <row r="1629" spans="1:10" ht="15" x14ac:dyDescent="0.2">
      <c r="A1629" s="70"/>
      <c r="B1629" s="70"/>
      <c r="C1629" s="70"/>
      <c r="D1629" s="70"/>
      <c r="E1629" s="70"/>
      <c r="F1629" s="70"/>
      <c r="G1629" s="70"/>
      <c r="H1629" s="70"/>
      <c r="I1629" s="70"/>
      <c r="J1629" s="70"/>
    </row>
    <row r="1630" spans="1:10" ht="15" x14ac:dyDescent="0.2">
      <c r="A1630" s="70"/>
      <c r="B1630" s="70"/>
      <c r="C1630" s="70"/>
      <c r="D1630" s="70"/>
      <c r="E1630" s="70"/>
      <c r="F1630" s="70"/>
      <c r="G1630" s="70"/>
      <c r="H1630" s="70"/>
      <c r="I1630" s="70"/>
      <c r="J1630" s="70"/>
    </row>
    <row r="1631" spans="1:10" ht="15" x14ac:dyDescent="0.2">
      <c r="A1631" s="70"/>
      <c r="B1631" s="70"/>
      <c r="C1631" s="70"/>
      <c r="D1631" s="70"/>
      <c r="E1631" s="70"/>
      <c r="F1631" s="70"/>
      <c r="G1631" s="70"/>
      <c r="H1631" s="70"/>
      <c r="I1631" s="70"/>
      <c r="J1631" s="70"/>
    </row>
    <row r="1632" spans="1:10" ht="15" x14ac:dyDescent="0.2">
      <c r="A1632" s="70"/>
      <c r="B1632" s="70"/>
      <c r="C1632" s="70"/>
      <c r="D1632" s="70"/>
      <c r="E1632" s="70"/>
      <c r="F1632" s="70"/>
      <c r="G1632" s="70"/>
      <c r="H1632" s="70"/>
      <c r="I1632" s="70"/>
      <c r="J1632" s="70"/>
    </row>
    <row r="1633" spans="1:10" ht="15" x14ac:dyDescent="0.2">
      <c r="A1633" s="70"/>
      <c r="B1633" s="70"/>
      <c r="C1633" s="70"/>
      <c r="D1633" s="70"/>
      <c r="E1633" s="70"/>
      <c r="F1633" s="70"/>
      <c r="G1633" s="70"/>
      <c r="H1633" s="70"/>
      <c r="I1633" s="70"/>
      <c r="J1633" s="70"/>
    </row>
    <row r="1634" spans="1:10" ht="15" x14ac:dyDescent="0.2">
      <c r="A1634" s="70"/>
      <c r="B1634" s="70"/>
      <c r="C1634" s="70"/>
      <c r="D1634" s="70"/>
      <c r="E1634" s="70"/>
      <c r="F1634" s="70"/>
      <c r="G1634" s="70"/>
      <c r="H1634" s="70"/>
      <c r="I1634" s="70"/>
      <c r="J1634" s="70"/>
    </row>
    <row r="1635" spans="1:10" ht="15" x14ac:dyDescent="0.2">
      <c r="A1635" s="70"/>
      <c r="B1635" s="70"/>
      <c r="C1635" s="70"/>
      <c r="D1635" s="70"/>
      <c r="E1635" s="70"/>
      <c r="F1635" s="70"/>
      <c r="G1635" s="70"/>
      <c r="H1635" s="70"/>
      <c r="I1635" s="70"/>
      <c r="J1635" s="70"/>
    </row>
    <row r="1636" spans="1:10" ht="15" x14ac:dyDescent="0.2">
      <c r="A1636" s="70"/>
      <c r="B1636" s="70"/>
      <c r="C1636" s="70"/>
      <c r="D1636" s="70"/>
      <c r="E1636" s="70"/>
      <c r="F1636" s="70"/>
      <c r="G1636" s="70"/>
      <c r="H1636" s="70"/>
      <c r="I1636" s="70"/>
      <c r="J1636" s="70"/>
    </row>
    <row r="1637" spans="1:10" ht="15" x14ac:dyDescent="0.2">
      <c r="A1637" s="70"/>
      <c r="B1637" s="70"/>
      <c r="C1637" s="70"/>
      <c r="D1637" s="70"/>
      <c r="E1637" s="70"/>
      <c r="F1637" s="70"/>
      <c r="G1637" s="70"/>
      <c r="H1637" s="70"/>
      <c r="I1637" s="70"/>
      <c r="J1637" s="70"/>
    </row>
    <row r="1638" spans="1:10" ht="15" x14ac:dyDescent="0.2">
      <c r="A1638" s="70"/>
      <c r="B1638" s="70"/>
      <c r="C1638" s="70"/>
      <c r="D1638" s="70"/>
      <c r="E1638" s="70"/>
      <c r="F1638" s="70"/>
      <c r="G1638" s="70"/>
      <c r="H1638" s="70"/>
      <c r="I1638" s="70"/>
      <c r="J1638" s="70"/>
    </row>
    <row r="1639" spans="1:10" ht="15" x14ac:dyDescent="0.2">
      <c r="A1639" s="70"/>
      <c r="B1639" s="70"/>
      <c r="C1639" s="70"/>
      <c r="D1639" s="70"/>
      <c r="E1639" s="70"/>
      <c r="F1639" s="70"/>
      <c r="G1639" s="70"/>
      <c r="H1639" s="70"/>
      <c r="I1639" s="70"/>
      <c r="J1639" s="70"/>
    </row>
    <row r="1640" spans="1:10" ht="15" x14ac:dyDescent="0.2">
      <c r="A1640" s="70"/>
      <c r="B1640" s="70"/>
      <c r="C1640" s="70"/>
      <c r="D1640" s="70"/>
      <c r="E1640" s="70"/>
      <c r="F1640" s="70"/>
      <c r="G1640" s="70"/>
      <c r="H1640" s="70"/>
      <c r="I1640" s="70"/>
      <c r="J1640" s="70"/>
    </row>
    <row r="1641" spans="1:10" ht="15" x14ac:dyDescent="0.2">
      <c r="A1641" s="70"/>
      <c r="B1641" s="70"/>
      <c r="C1641" s="70"/>
      <c r="D1641" s="70"/>
      <c r="E1641" s="70"/>
      <c r="F1641" s="70"/>
      <c r="G1641" s="70"/>
      <c r="H1641" s="70"/>
      <c r="I1641" s="70"/>
      <c r="J1641" s="70"/>
    </row>
    <row r="1642" spans="1:10" ht="15" x14ac:dyDescent="0.2">
      <c r="A1642" s="70"/>
      <c r="B1642" s="70"/>
      <c r="C1642" s="70"/>
      <c r="D1642" s="70"/>
      <c r="E1642" s="70"/>
      <c r="F1642" s="70"/>
      <c r="G1642" s="70"/>
      <c r="H1642" s="70"/>
      <c r="I1642" s="70"/>
      <c r="J1642" s="70"/>
    </row>
    <row r="1643" spans="1:10" ht="15" x14ac:dyDescent="0.2">
      <c r="A1643" s="70"/>
      <c r="B1643" s="70"/>
      <c r="C1643" s="70"/>
      <c r="D1643" s="70"/>
      <c r="E1643" s="70"/>
      <c r="F1643" s="70"/>
      <c r="G1643" s="70"/>
      <c r="H1643" s="70"/>
      <c r="I1643" s="70"/>
      <c r="J1643" s="70"/>
    </row>
    <row r="1644" spans="1:10" ht="15" x14ac:dyDescent="0.2">
      <c r="A1644" s="70"/>
      <c r="B1644" s="70"/>
      <c r="C1644" s="70"/>
      <c r="D1644" s="70"/>
      <c r="E1644" s="70"/>
      <c r="F1644" s="70"/>
      <c r="G1644" s="70"/>
      <c r="H1644" s="70"/>
      <c r="I1644" s="70"/>
      <c r="J1644" s="70"/>
    </row>
    <row r="1645" spans="1:10" ht="15" x14ac:dyDescent="0.2">
      <c r="A1645" s="70"/>
      <c r="B1645" s="70"/>
      <c r="C1645" s="70"/>
      <c r="D1645" s="70"/>
      <c r="E1645" s="70"/>
      <c r="F1645" s="70"/>
      <c r="G1645" s="70"/>
      <c r="H1645" s="70"/>
      <c r="I1645" s="70"/>
      <c r="J1645" s="70"/>
    </row>
    <row r="1646" spans="1:10" ht="15" x14ac:dyDescent="0.2">
      <c r="A1646" s="70"/>
      <c r="B1646" s="70"/>
      <c r="C1646" s="70"/>
      <c r="D1646" s="70"/>
      <c r="E1646" s="70"/>
      <c r="F1646" s="70"/>
      <c r="G1646" s="70"/>
      <c r="H1646" s="70"/>
      <c r="I1646" s="70"/>
      <c r="J1646" s="70"/>
    </row>
    <row r="1647" spans="1:10" ht="15" x14ac:dyDescent="0.2">
      <c r="A1647" s="70"/>
      <c r="B1647" s="70"/>
      <c r="C1647" s="70"/>
      <c r="D1647" s="70"/>
      <c r="E1647" s="70"/>
      <c r="F1647" s="70"/>
      <c r="G1647" s="70"/>
      <c r="H1647" s="70"/>
      <c r="I1647" s="70"/>
      <c r="J1647" s="70"/>
    </row>
    <row r="1648" spans="1:10" ht="15" x14ac:dyDescent="0.2">
      <c r="A1648" s="70"/>
      <c r="B1648" s="70"/>
      <c r="C1648" s="70"/>
      <c r="D1648" s="70"/>
      <c r="E1648" s="70"/>
      <c r="F1648" s="70"/>
      <c r="G1648" s="70"/>
      <c r="H1648" s="70"/>
      <c r="I1648" s="70"/>
      <c r="J1648" s="70"/>
    </row>
    <row r="1649" spans="1:10" ht="15" x14ac:dyDescent="0.2">
      <c r="A1649" s="70"/>
      <c r="B1649" s="70"/>
      <c r="C1649" s="70"/>
      <c r="D1649" s="70"/>
      <c r="E1649" s="70"/>
      <c r="F1649" s="70"/>
      <c r="G1649" s="70"/>
      <c r="H1649" s="70"/>
      <c r="I1649" s="70"/>
      <c r="J1649" s="70"/>
    </row>
    <row r="1650" spans="1:10" ht="15" x14ac:dyDescent="0.2">
      <c r="A1650" s="70"/>
      <c r="B1650" s="70"/>
      <c r="C1650" s="70"/>
      <c r="D1650" s="70"/>
      <c r="E1650" s="70"/>
      <c r="F1650" s="70"/>
      <c r="G1650" s="70"/>
      <c r="H1650" s="70"/>
      <c r="I1650" s="70"/>
      <c r="J1650" s="70"/>
    </row>
    <row r="1651" spans="1:10" ht="15" x14ac:dyDescent="0.2">
      <c r="A1651" s="70"/>
      <c r="B1651" s="70"/>
      <c r="C1651" s="70"/>
      <c r="D1651" s="70"/>
      <c r="E1651" s="70"/>
      <c r="F1651" s="70"/>
      <c r="G1651" s="70"/>
      <c r="H1651" s="70"/>
      <c r="I1651" s="70"/>
      <c r="J1651" s="70"/>
    </row>
    <row r="1652" spans="1:10" ht="15" x14ac:dyDescent="0.2">
      <c r="A1652" s="70"/>
      <c r="B1652" s="70"/>
      <c r="C1652" s="70"/>
      <c r="D1652" s="70"/>
      <c r="E1652" s="70"/>
      <c r="F1652" s="70"/>
      <c r="G1652" s="70"/>
      <c r="H1652" s="70"/>
      <c r="I1652" s="70"/>
      <c r="J1652" s="70"/>
    </row>
    <row r="1653" spans="1:10" ht="15" x14ac:dyDescent="0.2">
      <c r="A1653" s="70"/>
      <c r="B1653" s="70"/>
      <c r="C1653" s="70"/>
      <c r="D1653" s="70"/>
      <c r="E1653" s="70"/>
      <c r="F1653" s="70"/>
      <c r="G1653" s="70"/>
      <c r="H1653" s="70"/>
      <c r="I1653" s="70"/>
      <c r="J1653" s="70"/>
    </row>
    <row r="1654" spans="1:10" ht="15" x14ac:dyDescent="0.2">
      <c r="A1654" s="70"/>
      <c r="B1654" s="70"/>
      <c r="C1654" s="70"/>
      <c r="D1654" s="70"/>
      <c r="E1654" s="70"/>
      <c r="F1654" s="70"/>
      <c r="G1654" s="70"/>
      <c r="H1654" s="70"/>
      <c r="I1654" s="70"/>
      <c r="J1654" s="70"/>
    </row>
    <row r="1655" spans="1:10" ht="15" x14ac:dyDescent="0.2">
      <c r="A1655" s="70"/>
      <c r="B1655" s="70"/>
      <c r="C1655" s="70"/>
      <c r="D1655" s="70"/>
      <c r="E1655" s="70"/>
      <c r="F1655" s="70"/>
      <c r="G1655" s="70"/>
      <c r="H1655" s="70"/>
      <c r="I1655" s="70"/>
      <c r="J1655" s="70"/>
    </row>
    <row r="1656" spans="1:10" ht="15" x14ac:dyDescent="0.2">
      <c r="A1656" s="70"/>
      <c r="B1656" s="70"/>
      <c r="C1656" s="70"/>
      <c r="D1656" s="70"/>
      <c r="E1656" s="70"/>
      <c r="F1656" s="70"/>
      <c r="G1656" s="70"/>
      <c r="H1656" s="70"/>
      <c r="I1656" s="70"/>
      <c r="J1656" s="70"/>
    </row>
    <row r="1657" spans="1:10" ht="15" x14ac:dyDescent="0.2">
      <c r="A1657" s="70"/>
      <c r="B1657" s="70"/>
      <c r="C1657" s="70"/>
      <c r="D1657" s="70"/>
      <c r="E1657" s="70"/>
      <c r="F1657" s="70"/>
      <c r="G1657" s="70"/>
      <c r="H1657" s="70"/>
      <c r="I1657" s="70"/>
      <c r="J1657" s="70"/>
    </row>
    <row r="1658" spans="1:10" ht="15" x14ac:dyDescent="0.2">
      <c r="A1658" s="70"/>
      <c r="B1658" s="70"/>
      <c r="C1658" s="70"/>
      <c r="D1658" s="70"/>
      <c r="E1658" s="70"/>
      <c r="F1658" s="70"/>
      <c r="G1658" s="70"/>
      <c r="H1658" s="70"/>
      <c r="I1658" s="70"/>
      <c r="J1658" s="70"/>
    </row>
    <row r="1659" spans="1:10" ht="15" x14ac:dyDescent="0.2">
      <c r="A1659" s="70"/>
      <c r="B1659" s="70"/>
      <c r="C1659" s="70"/>
      <c r="D1659" s="70"/>
      <c r="E1659" s="70"/>
      <c r="F1659" s="70"/>
      <c r="G1659" s="70"/>
      <c r="H1659" s="70"/>
      <c r="I1659" s="70"/>
      <c r="J1659" s="70"/>
    </row>
    <row r="1660" spans="1:10" ht="15" x14ac:dyDescent="0.2">
      <c r="A1660" s="70"/>
      <c r="B1660" s="70"/>
      <c r="C1660" s="70"/>
      <c r="D1660" s="70"/>
      <c r="E1660" s="70"/>
      <c r="F1660" s="70"/>
      <c r="G1660" s="70"/>
      <c r="H1660" s="70"/>
      <c r="I1660" s="70"/>
      <c r="J1660" s="70"/>
    </row>
    <row r="1661" spans="1:10" ht="15" x14ac:dyDescent="0.2">
      <c r="A1661" s="70"/>
      <c r="B1661" s="70"/>
      <c r="C1661" s="70"/>
      <c r="D1661" s="70"/>
      <c r="E1661" s="70"/>
      <c r="F1661" s="70"/>
      <c r="G1661" s="70"/>
      <c r="H1661" s="70"/>
      <c r="I1661" s="70"/>
      <c r="J1661" s="70"/>
    </row>
    <row r="1662" spans="1:10" ht="15" x14ac:dyDescent="0.2">
      <c r="A1662" s="70"/>
      <c r="B1662" s="70"/>
      <c r="C1662" s="70"/>
      <c r="D1662" s="70"/>
      <c r="E1662" s="70"/>
      <c r="F1662" s="70"/>
      <c r="G1662" s="70"/>
      <c r="H1662" s="70"/>
      <c r="I1662" s="70"/>
      <c r="J1662" s="70"/>
    </row>
    <row r="1663" spans="1:10" ht="15" x14ac:dyDescent="0.2">
      <c r="A1663" s="70"/>
      <c r="B1663" s="70"/>
      <c r="C1663" s="70"/>
      <c r="D1663" s="70"/>
      <c r="E1663" s="70"/>
      <c r="F1663" s="70"/>
      <c r="G1663" s="70"/>
      <c r="H1663" s="70"/>
      <c r="I1663" s="70"/>
      <c r="J1663" s="70"/>
    </row>
    <row r="1664" spans="1:10" ht="15" x14ac:dyDescent="0.2">
      <c r="A1664" s="70"/>
      <c r="B1664" s="70"/>
      <c r="C1664" s="70"/>
      <c r="D1664" s="70"/>
      <c r="E1664" s="70"/>
      <c r="F1664" s="70"/>
      <c r="G1664" s="70"/>
      <c r="H1664" s="70"/>
      <c r="I1664" s="70"/>
      <c r="J1664" s="70"/>
    </row>
    <row r="1665" spans="1:10" ht="15" x14ac:dyDescent="0.2">
      <c r="A1665" s="70"/>
      <c r="B1665" s="70"/>
      <c r="C1665" s="70"/>
      <c r="D1665" s="70"/>
      <c r="E1665" s="70"/>
      <c r="F1665" s="70"/>
      <c r="G1665" s="70"/>
      <c r="H1665" s="70"/>
      <c r="I1665" s="70"/>
      <c r="J1665" s="70"/>
    </row>
    <row r="1666" spans="1:10" ht="15" x14ac:dyDescent="0.2">
      <c r="A1666" s="70"/>
      <c r="B1666" s="70"/>
      <c r="C1666" s="70"/>
      <c r="D1666" s="70"/>
      <c r="E1666" s="70"/>
      <c r="F1666" s="70"/>
      <c r="G1666" s="70"/>
      <c r="H1666" s="70"/>
      <c r="I1666" s="70"/>
      <c r="J1666" s="70"/>
    </row>
    <row r="1667" spans="1:10" ht="15" x14ac:dyDescent="0.2">
      <c r="A1667" s="70"/>
      <c r="B1667" s="70"/>
      <c r="C1667" s="70"/>
      <c r="D1667" s="70"/>
      <c r="E1667" s="70"/>
      <c r="F1667" s="70"/>
      <c r="G1667" s="70"/>
      <c r="H1667" s="70"/>
      <c r="I1667" s="70"/>
      <c r="J1667" s="70"/>
    </row>
    <row r="1668" spans="1:10" ht="15" x14ac:dyDescent="0.2">
      <c r="A1668" s="70"/>
      <c r="B1668" s="70"/>
      <c r="C1668" s="70"/>
      <c r="D1668" s="70"/>
      <c r="E1668" s="70"/>
      <c r="F1668" s="70"/>
      <c r="G1668" s="70"/>
      <c r="H1668" s="70"/>
      <c r="I1668" s="70"/>
      <c r="J1668" s="70"/>
    </row>
    <row r="1669" spans="1:10" ht="15" x14ac:dyDescent="0.2">
      <c r="A1669" s="70"/>
      <c r="B1669" s="70"/>
      <c r="C1669" s="70"/>
      <c r="D1669" s="70"/>
      <c r="E1669" s="70"/>
      <c r="F1669" s="70"/>
      <c r="G1669" s="70"/>
      <c r="H1669" s="70"/>
      <c r="I1669" s="70"/>
      <c r="J1669" s="70"/>
    </row>
    <row r="1670" spans="1:10" ht="15" x14ac:dyDescent="0.2">
      <c r="A1670" s="70"/>
      <c r="B1670" s="70"/>
      <c r="C1670" s="70"/>
      <c r="D1670" s="70"/>
      <c r="E1670" s="70"/>
      <c r="F1670" s="70"/>
      <c r="G1670" s="70"/>
      <c r="H1670" s="70"/>
      <c r="I1670" s="70"/>
      <c r="J1670" s="70"/>
    </row>
    <row r="1671" spans="1:10" ht="15" x14ac:dyDescent="0.2">
      <c r="A1671" s="70"/>
      <c r="B1671" s="70"/>
      <c r="C1671" s="70"/>
      <c r="D1671" s="70"/>
      <c r="E1671" s="70"/>
      <c r="F1671" s="70"/>
      <c r="G1671" s="70"/>
      <c r="H1671" s="70"/>
      <c r="I1671" s="70"/>
      <c r="J1671" s="70"/>
    </row>
    <row r="1672" spans="1:10" ht="15" x14ac:dyDescent="0.2">
      <c r="A1672" s="70"/>
      <c r="B1672" s="70"/>
      <c r="C1672" s="70"/>
      <c r="D1672" s="70"/>
      <c r="E1672" s="70"/>
      <c r="F1672" s="70"/>
      <c r="G1672" s="70"/>
      <c r="H1672" s="70"/>
      <c r="I1672" s="70"/>
      <c r="J1672" s="70"/>
    </row>
    <row r="1673" spans="1:10" ht="15" x14ac:dyDescent="0.2">
      <c r="A1673" s="70"/>
      <c r="B1673" s="70"/>
      <c r="C1673" s="70"/>
      <c r="D1673" s="70"/>
      <c r="E1673" s="70"/>
      <c r="F1673" s="70"/>
      <c r="G1673" s="70"/>
      <c r="H1673" s="70"/>
      <c r="I1673" s="70"/>
      <c r="J1673" s="70"/>
    </row>
    <row r="1674" spans="1:10" ht="15" x14ac:dyDescent="0.2">
      <c r="A1674" s="70"/>
      <c r="B1674" s="70"/>
      <c r="C1674" s="70"/>
      <c r="D1674" s="70"/>
      <c r="E1674" s="70"/>
      <c r="F1674" s="70"/>
      <c r="G1674" s="70"/>
      <c r="H1674" s="70"/>
      <c r="I1674" s="70"/>
      <c r="J1674" s="70"/>
    </row>
    <row r="1675" spans="1:10" ht="15" x14ac:dyDescent="0.2">
      <c r="A1675" s="70"/>
      <c r="B1675" s="70"/>
      <c r="C1675" s="70"/>
      <c r="D1675" s="70"/>
      <c r="E1675" s="70"/>
      <c r="F1675" s="70"/>
      <c r="G1675" s="70"/>
      <c r="H1675" s="70"/>
      <c r="I1675" s="70"/>
      <c r="J1675" s="70"/>
    </row>
    <row r="1676" spans="1:10" ht="15" x14ac:dyDescent="0.2">
      <c r="A1676" s="70"/>
      <c r="B1676" s="70"/>
      <c r="C1676" s="70"/>
      <c r="D1676" s="70"/>
      <c r="E1676" s="70"/>
      <c r="F1676" s="70"/>
      <c r="G1676" s="70"/>
      <c r="H1676" s="70"/>
      <c r="I1676" s="70"/>
      <c r="J1676" s="70"/>
    </row>
    <row r="1677" spans="1:10" ht="15" x14ac:dyDescent="0.2">
      <c r="A1677" s="70"/>
      <c r="B1677" s="70"/>
      <c r="C1677" s="70"/>
      <c r="D1677" s="70"/>
      <c r="E1677" s="70"/>
      <c r="F1677" s="70"/>
      <c r="G1677" s="70"/>
      <c r="H1677" s="70"/>
      <c r="I1677" s="70"/>
      <c r="J1677" s="70"/>
    </row>
    <row r="1678" spans="1:10" ht="15" x14ac:dyDescent="0.2">
      <c r="A1678" s="70"/>
      <c r="B1678" s="70"/>
      <c r="C1678" s="70"/>
      <c r="D1678" s="70"/>
      <c r="E1678" s="70"/>
      <c r="F1678" s="70"/>
      <c r="G1678" s="70"/>
      <c r="H1678" s="70"/>
      <c r="I1678" s="70"/>
      <c r="J1678" s="70"/>
    </row>
    <row r="1679" spans="1:10" ht="15" x14ac:dyDescent="0.2">
      <c r="A1679" s="70"/>
      <c r="B1679" s="70"/>
      <c r="C1679" s="70"/>
      <c r="D1679" s="70"/>
      <c r="E1679" s="70"/>
      <c r="F1679" s="70"/>
      <c r="G1679" s="70"/>
      <c r="H1679" s="70"/>
      <c r="I1679" s="70"/>
      <c r="J1679" s="70"/>
    </row>
    <row r="1680" spans="1:10" ht="15" x14ac:dyDescent="0.2">
      <c r="A1680" s="70"/>
      <c r="B1680" s="70"/>
      <c r="C1680" s="70"/>
      <c r="D1680" s="70"/>
      <c r="E1680" s="70"/>
      <c r="F1680" s="70"/>
      <c r="G1680" s="70"/>
      <c r="H1680" s="70"/>
      <c r="I1680" s="70"/>
      <c r="J1680" s="70"/>
    </row>
    <row r="1681" spans="1:10" ht="15" x14ac:dyDescent="0.2">
      <c r="A1681" s="70"/>
      <c r="B1681" s="70"/>
      <c r="C1681" s="70"/>
      <c r="D1681" s="70"/>
      <c r="E1681" s="70"/>
      <c r="F1681" s="70"/>
      <c r="G1681" s="70"/>
      <c r="H1681" s="70"/>
      <c r="I1681" s="70"/>
      <c r="J1681" s="70"/>
    </row>
    <row r="1682" spans="1:10" ht="15" x14ac:dyDescent="0.2">
      <c r="A1682" s="70"/>
      <c r="B1682" s="70"/>
      <c r="C1682" s="70"/>
      <c r="D1682" s="70"/>
      <c r="E1682" s="70"/>
      <c r="F1682" s="70"/>
      <c r="G1682" s="70"/>
      <c r="H1682" s="70"/>
      <c r="I1682" s="70"/>
      <c r="J1682" s="70"/>
    </row>
    <row r="1683" spans="1:10" ht="15" x14ac:dyDescent="0.2">
      <c r="A1683" s="70"/>
      <c r="B1683" s="70"/>
      <c r="C1683" s="70"/>
      <c r="D1683" s="70"/>
      <c r="E1683" s="70"/>
      <c r="F1683" s="70"/>
      <c r="G1683" s="70"/>
      <c r="H1683" s="70"/>
      <c r="I1683" s="70"/>
      <c r="J1683" s="70"/>
    </row>
    <row r="1684" spans="1:10" ht="15" x14ac:dyDescent="0.2">
      <c r="A1684" s="70"/>
      <c r="B1684" s="70"/>
      <c r="C1684" s="70"/>
      <c r="D1684" s="70"/>
      <c r="E1684" s="70"/>
      <c r="F1684" s="70"/>
      <c r="G1684" s="70"/>
      <c r="H1684" s="70"/>
      <c r="I1684" s="70"/>
      <c r="J1684" s="70"/>
    </row>
    <row r="1685" spans="1:10" ht="15" x14ac:dyDescent="0.2">
      <c r="A1685" s="70"/>
      <c r="B1685" s="70"/>
      <c r="C1685" s="70"/>
      <c r="D1685" s="70"/>
      <c r="E1685" s="70"/>
      <c r="F1685" s="70"/>
      <c r="G1685" s="70"/>
      <c r="H1685" s="70"/>
      <c r="I1685" s="70"/>
      <c r="J1685" s="70"/>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100" sqref="A100"/>
    </sheetView>
  </sheetViews>
  <sheetFormatPr defaultColWidth="6.59765625" defaultRowHeight="12.75" x14ac:dyDescent="0.2"/>
  <cols>
    <col min="1" max="16384" width="6.59765625" style="270"/>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Z36"/>
  <sheetViews>
    <sheetView topLeftCell="A25" workbookViewId="0">
      <selection activeCell="A29" sqref="A29:C29"/>
    </sheetView>
  </sheetViews>
  <sheetFormatPr defaultColWidth="10.59765625" defaultRowHeight="15" x14ac:dyDescent="0.2"/>
  <cols>
    <col min="2" max="2" width="10.59765625" style="218"/>
    <col min="3" max="3" width="93.19921875" customWidth="1"/>
  </cols>
  <sheetData>
    <row r="1" spans="1:26" s="136" customFormat="1" ht="36" customHeight="1" x14ac:dyDescent="0.2">
      <c r="A1" s="357" t="s">
        <v>2675</v>
      </c>
      <c r="B1" s="358"/>
      <c r="C1" s="359"/>
      <c r="D1" s="210"/>
      <c r="E1" s="210"/>
      <c r="F1" s="210"/>
      <c r="G1" s="210"/>
      <c r="H1" s="210"/>
      <c r="I1" s="211"/>
      <c r="J1" s="212"/>
      <c r="K1" s="212"/>
      <c r="L1" s="212"/>
      <c r="M1" s="212"/>
      <c r="N1" s="212"/>
      <c r="O1" s="212"/>
      <c r="P1" s="212"/>
      <c r="Q1" s="212"/>
      <c r="R1" s="212"/>
      <c r="S1" s="212"/>
      <c r="T1" s="212"/>
      <c r="U1" s="212"/>
      <c r="V1" s="212"/>
      <c r="W1" s="212"/>
      <c r="X1" s="212"/>
      <c r="Y1" s="212"/>
      <c r="Z1" s="212"/>
    </row>
    <row r="2" spans="1:26" s="136" customFormat="1" ht="25.5" customHeight="1" x14ac:dyDescent="0.2">
      <c r="A2" s="360" t="s">
        <v>96</v>
      </c>
      <c r="B2" s="361"/>
      <c r="C2" s="362"/>
      <c r="D2" s="213"/>
      <c r="E2" s="213"/>
      <c r="F2" s="213"/>
      <c r="G2" s="213"/>
      <c r="H2" s="213"/>
      <c r="I2" s="211"/>
      <c r="J2" s="212"/>
      <c r="K2" s="212"/>
      <c r="L2" s="212"/>
      <c r="M2" s="212"/>
      <c r="N2" s="212"/>
      <c r="O2" s="212"/>
      <c r="P2" s="212"/>
      <c r="Q2" s="212"/>
      <c r="R2" s="212"/>
      <c r="S2" s="212"/>
      <c r="T2" s="212"/>
      <c r="U2" s="212"/>
      <c r="V2" s="212"/>
      <c r="W2" s="212"/>
      <c r="X2" s="212"/>
      <c r="Y2" s="212"/>
      <c r="Z2" s="212"/>
    </row>
    <row r="3" spans="1:26" s="16" customFormat="1" ht="24" customHeight="1" x14ac:dyDescent="0.2">
      <c r="A3" s="214" t="s">
        <v>146</v>
      </c>
      <c r="B3" s="214" t="s">
        <v>0</v>
      </c>
      <c r="C3" s="214" t="s">
        <v>147</v>
      </c>
      <c r="D3" s="215"/>
      <c r="E3" s="215"/>
      <c r="F3" s="215"/>
      <c r="G3" s="215"/>
      <c r="H3" s="215"/>
      <c r="I3" s="215"/>
      <c r="J3" s="215"/>
      <c r="K3" s="215"/>
      <c r="L3" s="215"/>
      <c r="M3" s="215"/>
      <c r="N3" s="215"/>
      <c r="O3" s="215"/>
      <c r="P3" s="215"/>
      <c r="Q3" s="215"/>
      <c r="R3" s="215"/>
      <c r="S3" s="215"/>
      <c r="T3" s="215"/>
      <c r="U3" s="215"/>
      <c r="V3" s="215"/>
      <c r="W3" s="215"/>
      <c r="X3" s="215"/>
      <c r="Y3" s="215"/>
      <c r="Z3" s="215"/>
    </row>
    <row r="4" spans="1:26" ht="36" customHeight="1" x14ac:dyDescent="0.2">
      <c r="A4" s="216" t="s">
        <v>148</v>
      </c>
      <c r="B4" s="217">
        <v>42586</v>
      </c>
      <c r="C4" s="216" t="s">
        <v>480</v>
      </c>
    </row>
    <row r="5" spans="1:26" ht="36" customHeight="1" x14ac:dyDescent="0.2">
      <c r="A5" s="216" t="s">
        <v>159</v>
      </c>
      <c r="B5" s="217">
        <v>42596</v>
      </c>
      <c r="C5" s="147" t="s">
        <v>3054</v>
      </c>
    </row>
    <row r="6" spans="1:26" ht="36" customHeight="1" x14ac:dyDescent="0.2">
      <c r="A6" s="216" t="s">
        <v>160</v>
      </c>
      <c r="B6" s="217">
        <v>42597</v>
      </c>
      <c r="C6" s="216" t="s">
        <v>481</v>
      </c>
    </row>
    <row r="7" spans="1:26" ht="36" customHeight="1" x14ac:dyDescent="0.2">
      <c r="A7" s="216" t="s">
        <v>163</v>
      </c>
      <c r="B7" s="217">
        <v>42598</v>
      </c>
      <c r="C7" s="216" t="s">
        <v>482</v>
      </c>
    </row>
    <row r="8" spans="1:26" ht="36" customHeight="1" x14ac:dyDescent="0.2">
      <c r="A8" s="216" t="s">
        <v>427</v>
      </c>
      <c r="B8" s="217">
        <v>42606</v>
      </c>
      <c r="C8" s="216" t="s">
        <v>483</v>
      </c>
    </row>
    <row r="9" spans="1:26" ht="36" customHeight="1" x14ac:dyDescent="0.2">
      <c r="A9" s="216" t="s">
        <v>428</v>
      </c>
      <c r="B9" s="217">
        <v>42607</v>
      </c>
      <c r="C9" s="216" t="s">
        <v>484</v>
      </c>
    </row>
    <row r="10" spans="1:26" ht="36" customHeight="1" x14ac:dyDescent="0.2">
      <c r="A10" s="216" t="s">
        <v>451</v>
      </c>
      <c r="B10" s="217">
        <v>42608</v>
      </c>
      <c r="C10" s="216" t="s">
        <v>485</v>
      </c>
    </row>
    <row r="11" spans="1:26" ht="36" customHeight="1" x14ac:dyDescent="0.2">
      <c r="A11" s="216" t="s">
        <v>463</v>
      </c>
      <c r="B11" s="217">
        <v>42608</v>
      </c>
      <c r="C11" s="216" t="s">
        <v>464</v>
      </c>
    </row>
    <row r="12" spans="1:26" ht="36" customHeight="1" x14ac:dyDescent="0.2">
      <c r="A12" s="216" t="s">
        <v>465</v>
      </c>
      <c r="B12" s="217">
        <v>42634</v>
      </c>
      <c r="C12" s="216" t="s">
        <v>466</v>
      </c>
    </row>
    <row r="13" spans="1:26" ht="36" customHeight="1" x14ac:dyDescent="0.2">
      <c r="A13" s="216" t="s">
        <v>469</v>
      </c>
      <c r="B13" s="217">
        <v>42636</v>
      </c>
      <c r="C13" s="216" t="s">
        <v>479</v>
      </c>
    </row>
    <row r="14" spans="1:26" ht="36" customHeight="1" x14ac:dyDescent="0.2">
      <c r="A14" s="216" t="s">
        <v>477</v>
      </c>
      <c r="B14" s="217">
        <v>42639</v>
      </c>
      <c r="C14" s="216" t="s">
        <v>478</v>
      </c>
    </row>
    <row r="15" spans="1:26" ht="36" customHeight="1" x14ac:dyDescent="0.2">
      <c r="A15" s="216" t="s">
        <v>492</v>
      </c>
      <c r="B15" s="217">
        <v>42649</v>
      </c>
      <c r="C15" s="216" t="s">
        <v>513</v>
      </c>
    </row>
    <row r="16" spans="1:26" ht="36" customHeight="1" x14ac:dyDescent="0.2">
      <c r="A16" s="216" t="s">
        <v>493</v>
      </c>
      <c r="B16" s="217">
        <v>42660</v>
      </c>
      <c r="C16" s="216" t="s">
        <v>514</v>
      </c>
    </row>
    <row r="17" spans="1:3" ht="36" customHeight="1" x14ac:dyDescent="0.2">
      <c r="A17" s="216" t="s">
        <v>494</v>
      </c>
      <c r="B17" s="217">
        <v>42690</v>
      </c>
      <c r="C17" s="216" t="s">
        <v>495</v>
      </c>
    </row>
    <row r="18" spans="1:3" ht="36" customHeight="1" x14ac:dyDescent="0.2">
      <c r="A18" s="216" t="s">
        <v>501</v>
      </c>
      <c r="B18" s="217">
        <v>42695</v>
      </c>
      <c r="C18" s="147" t="s">
        <v>3055</v>
      </c>
    </row>
    <row r="19" spans="1:3" ht="36" customHeight="1" x14ac:dyDescent="0.2">
      <c r="A19" s="216" t="s">
        <v>511</v>
      </c>
      <c r="B19" s="217">
        <v>42697</v>
      </c>
      <c r="C19" s="216" t="s">
        <v>512</v>
      </c>
    </row>
    <row r="20" spans="1:3" ht="36" customHeight="1" x14ac:dyDescent="0.2">
      <c r="A20" s="216" t="s">
        <v>531</v>
      </c>
      <c r="B20" s="217">
        <v>42847</v>
      </c>
      <c r="C20" s="216" t="s">
        <v>532</v>
      </c>
    </row>
    <row r="21" spans="1:3" ht="36" customHeight="1" x14ac:dyDescent="0.2">
      <c r="A21" s="216" t="s">
        <v>533</v>
      </c>
      <c r="B21" s="217">
        <v>42853</v>
      </c>
      <c r="C21" s="216" t="s">
        <v>534</v>
      </c>
    </row>
    <row r="22" spans="1:3" ht="36" customHeight="1" x14ac:dyDescent="0.2">
      <c r="A22" s="216" t="s">
        <v>889</v>
      </c>
      <c r="B22" s="217">
        <v>43032</v>
      </c>
      <c r="C22" s="216" t="s">
        <v>890</v>
      </c>
    </row>
    <row r="23" spans="1:3" ht="36" customHeight="1" x14ac:dyDescent="0.2">
      <c r="A23" s="147" t="s">
        <v>2639</v>
      </c>
      <c r="B23" s="217">
        <v>43386</v>
      </c>
      <c r="C23" s="147" t="s">
        <v>2659</v>
      </c>
    </row>
    <row r="24" spans="1:3" ht="36" customHeight="1" x14ac:dyDescent="0.2">
      <c r="A24" s="147" t="s">
        <v>2669</v>
      </c>
      <c r="B24" s="217">
        <v>43405</v>
      </c>
      <c r="C24" s="147" t="s">
        <v>2670</v>
      </c>
    </row>
    <row r="25" spans="1:3" ht="36" customHeight="1" x14ac:dyDescent="0.2">
      <c r="A25" s="147" t="s">
        <v>2992</v>
      </c>
      <c r="B25" s="217">
        <v>43490</v>
      </c>
      <c r="C25" s="147" t="s">
        <v>2671</v>
      </c>
    </row>
    <row r="26" spans="1:3" ht="36" customHeight="1" x14ac:dyDescent="0.2">
      <c r="A26" s="147" t="s">
        <v>2993</v>
      </c>
      <c r="B26" s="217">
        <v>43543</v>
      </c>
      <c r="C26" s="216" t="s">
        <v>2672</v>
      </c>
    </row>
    <row r="27" spans="1:3" ht="36" customHeight="1" x14ac:dyDescent="0.2">
      <c r="A27" s="216" t="s">
        <v>2994</v>
      </c>
      <c r="B27" s="217">
        <v>43584</v>
      </c>
      <c r="C27" s="216" t="s">
        <v>2673</v>
      </c>
    </row>
    <row r="28" spans="1:3" ht="36" customHeight="1" x14ac:dyDescent="0.2">
      <c r="A28" s="216" t="s">
        <v>2995</v>
      </c>
      <c r="B28" s="217">
        <v>43742</v>
      </c>
      <c r="C28" s="216" t="s">
        <v>2983</v>
      </c>
    </row>
    <row r="29" spans="1:3" ht="36" customHeight="1" x14ac:dyDescent="0.2">
      <c r="A29" s="216" t="s">
        <v>3066</v>
      </c>
      <c r="B29" s="217">
        <v>43790</v>
      </c>
      <c r="C29" s="216" t="s">
        <v>3067</v>
      </c>
    </row>
    <row r="30" spans="1:3" ht="36" customHeight="1" x14ac:dyDescent="0.2">
      <c r="A30" s="216"/>
      <c r="B30" s="269"/>
      <c r="C30" s="216"/>
    </row>
    <row r="31" spans="1:3" ht="36" customHeight="1" x14ac:dyDescent="0.2">
      <c r="A31" s="216"/>
      <c r="B31" s="269"/>
      <c r="C31" s="216"/>
    </row>
    <row r="32" spans="1:3" ht="36" customHeight="1" x14ac:dyDescent="0.2">
      <c r="A32" s="216"/>
      <c r="B32" s="269"/>
      <c r="C32" s="216"/>
    </row>
    <row r="33" spans="1:3" ht="36" customHeight="1" x14ac:dyDescent="0.2">
      <c r="A33" s="216"/>
      <c r="B33" s="269"/>
      <c r="C33" s="216"/>
    </row>
    <row r="34" spans="1:3" ht="36" customHeight="1" x14ac:dyDescent="0.2">
      <c r="A34" s="216"/>
      <c r="B34" s="269"/>
      <c r="C34" s="216"/>
    </row>
    <row r="35" spans="1:3" ht="36" customHeight="1" x14ac:dyDescent="0.2">
      <c r="A35" s="216"/>
      <c r="B35" s="269"/>
      <c r="C35" s="216"/>
    </row>
    <row r="36" spans="1:3" ht="36" customHeight="1" x14ac:dyDescent="0.2">
      <c r="A36" s="216"/>
      <c r="B36" s="269"/>
      <c r="C36" s="216"/>
    </row>
  </sheetData>
  <mergeCells count="2">
    <mergeCell ref="A1:C1"/>
    <mergeCell ref="A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70C0"/>
  </sheetPr>
  <dimension ref="A1:A38"/>
  <sheetViews>
    <sheetView workbookViewId="0">
      <selection activeCell="A4" sqref="A4"/>
    </sheetView>
  </sheetViews>
  <sheetFormatPr defaultColWidth="11.19921875" defaultRowHeight="15" x14ac:dyDescent="0.2"/>
  <cols>
    <col min="1" max="1" width="37" customWidth="1"/>
  </cols>
  <sheetData>
    <row r="1" spans="1:1" x14ac:dyDescent="0.2">
      <c r="A1" s="2" t="s">
        <v>81</v>
      </c>
    </row>
    <row r="3" spans="1:1" x14ac:dyDescent="0.2">
      <c r="A3" s="2" t="s">
        <v>82</v>
      </c>
    </row>
    <row r="4" spans="1:1" x14ac:dyDescent="0.2">
      <c r="A4" t="s">
        <v>17</v>
      </c>
    </row>
    <row r="5" spans="1:1" x14ac:dyDescent="0.2">
      <c r="A5" t="s">
        <v>20</v>
      </c>
    </row>
    <row r="6" spans="1:1" x14ac:dyDescent="0.2">
      <c r="A6" t="s">
        <v>83</v>
      </c>
    </row>
    <row r="8" spans="1:1" x14ac:dyDescent="0.2">
      <c r="A8" s="2" t="s">
        <v>84</v>
      </c>
    </row>
    <row r="9" spans="1:1" x14ac:dyDescent="0.2">
      <c r="A9" t="s">
        <v>85</v>
      </c>
    </row>
    <row r="10" spans="1:1" x14ac:dyDescent="0.2">
      <c r="A10" t="s">
        <v>86</v>
      </c>
    </row>
    <row r="11" spans="1:1" x14ac:dyDescent="0.2">
      <c r="A11" t="s">
        <v>87</v>
      </c>
    </row>
    <row r="12" spans="1:1" x14ac:dyDescent="0.2">
      <c r="A12" t="s">
        <v>30</v>
      </c>
    </row>
    <row r="14" spans="1:1" x14ac:dyDescent="0.2">
      <c r="A14" s="2" t="s">
        <v>88</v>
      </c>
    </row>
    <row r="15" spans="1:1" x14ac:dyDescent="0.2">
      <c r="A15" t="s">
        <v>89</v>
      </c>
    </row>
    <row r="16" spans="1:1" x14ac:dyDescent="0.2">
      <c r="A16" t="s">
        <v>90</v>
      </c>
    </row>
    <row r="17" spans="1:1" x14ac:dyDescent="0.2">
      <c r="A17" t="s">
        <v>91</v>
      </c>
    </row>
    <row r="18" spans="1:1" x14ac:dyDescent="0.2">
      <c r="A18" t="s">
        <v>92</v>
      </c>
    </row>
    <row r="19" spans="1:1" x14ac:dyDescent="0.2">
      <c r="A19" t="s">
        <v>30</v>
      </c>
    </row>
    <row r="21" spans="1:1" x14ac:dyDescent="0.2">
      <c r="A21" s="2" t="s">
        <v>115</v>
      </c>
    </row>
    <row r="22" spans="1:1" x14ac:dyDescent="0.2">
      <c r="A22" t="s">
        <v>116</v>
      </c>
    </row>
    <row r="23" spans="1:1" x14ac:dyDescent="0.2">
      <c r="A23" t="s">
        <v>117</v>
      </c>
    </row>
    <row r="25" spans="1:1" x14ac:dyDescent="0.2">
      <c r="A25" s="2" t="s">
        <v>486</v>
      </c>
    </row>
    <row r="26" spans="1:1" x14ac:dyDescent="0.2">
      <c r="A26" t="s">
        <v>487</v>
      </c>
    </row>
    <row r="27" spans="1:1" x14ac:dyDescent="0.2">
      <c r="A27" t="s">
        <v>488</v>
      </c>
    </row>
    <row r="29" spans="1:1" x14ac:dyDescent="0.2">
      <c r="A29" s="2" t="s">
        <v>489</v>
      </c>
    </row>
    <row r="30" spans="1:1" x14ac:dyDescent="0.2">
      <c r="A30" t="s">
        <v>490</v>
      </c>
    </row>
    <row r="31" spans="1:1" x14ac:dyDescent="0.2">
      <c r="A31" t="s">
        <v>491</v>
      </c>
    </row>
    <row r="33" spans="1:1" x14ac:dyDescent="0.2">
      <c r="A33" s="2" t="s">
        <v>496</v>
      </c>
    </row>
    <row r="34" spans="1:1" x14ac:dyDescent="0.2">
      <c r="A34" t="s">
        <v>497</v>
      </c>
    </row>
    <row r="35" spans="1:1" x14ac:dyDescent="0.2">
      <c r="A35" t="s">
        <v>498</v>
      </c>
    </row>
    <row r="36" spans="1:1" x14ac:dyDescent="0.2">
      <c r="A36" t="s">
        <v>499</v>
      </c>
    </row>
    <row r="37" spans="1:1" x14ac:dyDescent="0.2">
      <c r="A37" t="s">
        <v>500</v>
      </c>
    </row>
    <row r="38" spans="1:1" x14ac:dyDescent="0.2">
      <c r="A38"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V35"/>
  <sheetViews>
    <sheetView zoomScaleNormal="100" workbookViewId="0">
      <selection sqref="A1:B1"/>
    </sheetView>
  </sheetViews>
  <sheetFormatPr defaultColWidth="10.59765625" defaultRowHeight="15" x14ac:dyDescent="0.2"/>
  <cols>
    <col min="1" max="1" width="18.3984375" customWidth="1"/>
    <col min="2" max="2" width="88.09765625" customWidth="1"/>
  </cols>
  <sheetData>
    <row r="1" spans="1:256" ht="45.75" customHeight="1" x14ac:dyDescent="0.2">
      <c r="A1" s="297" t="s">
        <v>2987</v>
      </c>
      <c r="B1" s="297"/>
    </row>
    <row r="2" spans="1:256" ht="26.1" customHeight="1" x14ac:dyDescent="0.2">
      <c r="A2" s="298"/>
      <c r="B2" s="298"/>
      <c r="C2" s="20"/>
      <c r="D2" s="20"/>
      <c r="E2" s="20"/>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s="16" customFormat="1" ht="24" customHeight="1" x14ac:dyDescent="0.2">
      <c r="A3" s="292" t="s">
        <v>453</v>
      </c>
      <c r="B3" s="293"/>
    </row>
    <row r="4" spans="1:256" ht="72" customHeight="1" x14ac:dyDescent="0.2">
      <c r="A4" s="287" t="s">
        <v>2660</v>
      </c>
      <c r="B4" s="287"/>
    </row>
    <row r="5" spans="1:256" s="16" customFormat="1" ht="24" customHeight="1" x14ac:dyDescent="0.2">
      <c r="A5" s="292" t="s">
        <v>454</v>
      </c>
      <c r="B5" s="293"/>
    </row>
    <row r="6" spans="1:256" ht="84" customHeight="1" x14ac:dyDescent="0.2">
      <c r="A6" s="287" t="s">
        <v>2986</v>
      </c>
      <c r="B6" s="287"/>
    </row>
    <row r="7" spans="1:256" ht="55.35" customHeight="1" x14ac:dyDescent="0.2">
      <c r="A7" s="21" t="s">
        <v>1</v>
      </c>
      <c r="B7" s="14" t="s">
        <v>2661</v>
      </c>
    </row>
    <row r="8" spans="1:256" ht="54" customHeight="1" x14ac:dyDescent="0.2">
      <c r="A8" s="21" t="s">
        <v>12</v>
      </c>
      <c r="B8" s="14" t="s">
        <v>456</v>
      </c>
    </row>
    <row r="9" spans="1:256" ht="36" customHeight="1" x14ac:dyDescent="0.2">
      <c r="A9" s="21" t="s">
        <v>18</v>
      </c>
      <c r="B9" s="14" t="s">
        <v>2662</v>
      </c>
    </row>
    <row r="10" spans="1:256" ht="36" customHeight="1" x14ac:dyDescent="0.2">
      <c r="A10" s="21" t="s">
        <v>152</v>
      </c>
      <c r="B10" s="14" t="s">
        <v>457</v>
      </c>
    </row>
    <row r="11" spans="1:256" ht="36" customHeight="1" x14ac:dyDescent="0.2">
      <c r="A11" s="21" t="s">
        <v>455</v>
      </c>
      <c r="B11" s="14" t="s">
        <v>2615</v>
      </c>
    </row>
    <row r="12" spans="1:256" ht="96" customHeight="1" x14ac:dyDescent="0.2">
      <c r="A12" s="287" t="s">
        <v>460</v>
      </c>
      <c r="B12" s="287"/>
    </row>
    <row r="13" spans="1:256" ht="124.35" customHeight="1" x14ac:dyDescent="0.2">
      <c r="A13" s="289" t="s">
        <v>458</v>
      </c>
      <c r="B13" s="290"/>
    </row>
    <row r="14" spans="1:256" s="16" customFormat="1" ht="24" customHeight="1" x14ac:dyDescent="0.2">
      <c r="A14" s="292" t="s">
        <v>461</v>
      </c>
      <c r="B14" s="293"/>
    </row>
    <row r="15" spans="1:256" ht="56.1" customHeight="1" x14ac:dyDescent="0.2">
      <c r="A15" s="287" t="s">
        <v>462</v>
      </c>
      <c r="B15" s="287"/>
    </row>
    <row r="16" spans="1:256" ht="112.35" customHeight="1" x14ac:dyDescent="0.2">
      <c r="A16" s="289" t="s">
        <v>459</v>
      </c>
      <c r="B16" s="290"/>
    </row>
    <row r="17" spans="1:2" s="16" customFormat="1" ht="24" customHeight="1" x14ac:dyDescent="0.2">
      <c r="A17" s="292" t="s">
        <v>2644</v>
      </c>
      <c r="B17" s="293"/>
    </row>
    <row r="18" spans="1:2" s="136" customFormat="1" ht="36" customHeight="1" x14ac:dyDescent="0.2">
      <c r="A18" s="181" t="s">
        <v>2632</v>
      </c>
      <c r="B18" s="164" t="s">
        <v>2988</v>
      </c>
    </row>
    <row r="19" spans="1:2" s="136" customFormat="1" ht="36" customHeight="1" x14ac:dyDescent="0.2">
      <c r="A19" s="181" t="s">
        <v>2642</v>
      </c>
      <c r="B19" s="198" t="s">
        <v>2663</v>
      </c>
    </row>
    <row r="20" spans="1:2" s="136" customFormat="1" ht="36" customHeight="1" x14ac:dyDescent="0.2">
      <c r="A20" s="181" t="s">
        <v>2641</v>
      </c>
      <c r="B20" s="164" t="s">
        <v>2643</v>
      </c>
    </row>
    <row r="21" spans="1:2" s="136" customFormat="1" ht="86.1" customHeight="1" x14ac:dyDescent="0.2">
      <c r="A21" s="295" t="s">
        <v>2664</v>
      </c>
      <c r="B21" s="296"/>
    </row>
    <row r="22" spans="1:2" s="136" customFormat="1" ht="123.95" customHeight="1" x14ac:dyDescent="0.2">
      <c r="A22" s="204"/>
      <c r="B22" s="205" t="s">
        <v>2665</v>
      </c>
    </row>
    <row r="23" spans="1:2" s="16" customFormat="1" ht="24" customHeight="1" x14ac:dyDescent="0.2">
      <c r="A23" s="292" t="s">
        <v>2640</v>
      </c>
      <c r="B23" s="293"/>
    </row>
    <row r="24" spans="1:2" s="136" customFormat="1" ht="54" customHeight="1" x14ac:dyDescent="0.2">
      <c r="A24" s="294" t="s">
        <v>2666</v>
      </c>
      <c r="B24" s="287"/>
    </row>
    <row r="25" spans="1:2" ht="36" customHeight="1" x14ac:dyDescent="0.2">
      <c r="A25" s="291" t="s">
        <v>2996</v>
      </c>
      <c r="B25" s="291"/>
    </row>
    <row r="26" spans="1:2" ht="47.1" customHeight="1" x14ac:dyDescent="0.2">
      <c r="A26" s="288"/>
      <c r="B26" s="288"/>
    </row>
    <row r="27" spans="1:2" s="16" customFormat="1" ht="36" customHeight="1" x14ac:dyDescent="0.2">
      <c r="A27" s="285" t="s">
        <v>2621</v>
      </c>
      <c r="B27" s="286"/>
    </row>
    <row r="28" spans="1:2" s="136" customFormat="1" ht="135.94999999999999" customHeight="1" x14ac:dyDescent="0.2">
      <c r="A28" s="287" t="s">
        <v>2997</v>
      </c>
      <c r="B28" s="287"/>
    </row>
    <row r="29" spans="1:2" x14ac:dyDescent="0.2">
      <c r="A29" s="18"/>
    </row>
    <row r="30" spans="1:2" x14ac:dyDescent="0.2">
      <c r="A30" s="17"/>
    </row>
    <row r="32" spans="1:2" x14ac:dyDescent="0.2">
      <c r="A32" s="17"/>
    </row>
    <row r="35" spans="1:1" x14ac:dyDescent="0.2">
      <c r="A35" s="19"/>
    </row>
  </sheetData>
  <mergeCells count="19">
    <mergeCell ref="A6:B6"/>
    <mergeCell ref="A12:B12"/>
    <mergeCell ref="A14:B14"/>
    <mergeCell ref="A15:B15"/>
    <mergeCell ref="A17:B17"/>
    <mergeCell ref="A1:B1"/>
    <mergeCell ref="A2:B2"/>
    <mergeCell ref="A3:B3"/>
    <mergeCell ref="A4:B4"/>
    <mergeCell ref="A5:B5"/>
    <mergeCell ref="A27:B27"/>
    <mergeCell ref="A28:B28"/>
    <mergeCell ref="A26:B26"/>
    <mergeCell ref="A16:B16"/>
    <mergeCell ref="A13:B13"/>
    <mergeCell ref="A25:B25"/>
    <mergeCell ref="A23:B23"/>
    <mergeCell ref="A24:B24"/>
    <mergeCell ref="A21:B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C00000"/>
  </sheetPr>
  <dimension ref="A1:IV312"/>
  <sheetViews>
    <sheetView showGridLines="0" zoomScaleNormal="100" workbookViewId="0">
      <selection activeCell="A2" sqref="A2:E2"/>
    </sheetView>
  </sheetViews>
  <sheetFormatPr defaultColWidth="6.59765625" defaultRowHeight="15" customHeight="1" x14ac:dyDescent="0.2"/>
  <cols>
    <col min="1" max="1" width="8.19921875" style="102" customWidth="1"/>
    <col min="2" max="2" width="58.5" style="3" customWidth="1"/>
    <col min="3" max="3" width="20" style="24" customWidth="1"/>
    <col min="4" max="4" width="50.59765625" style="5" customWidth="1"/>
    <col min="5" max="5" width="32" style="6" customWidth="1"/>
    <col min="6" max="256" width="6.59765625" style="3" customWidth="1"/>
  </cols>
  <sheetData>
    <row r="1" spans="1:256" ht="36" customHeight="1" x14ac:dyDescent="0.2">
      <c r="A1" s="304" t="s">
        <v>2984</v>
      </c>
      <c r="B1" s="304"/>
      <c r="C1" s="304"/>
      <c r="D1" s="304"/>
      <c r="E1" s="208" t="s">
        <v>3068</v>
      </c>
    </row>
    <row r="2" spans="1:256" ht="26.1" customHeight="1" x14ac:dyDescent="0.2">
      <c r="A2" s="298" t="s">
        <v>96</v>
      </c>
      <c r="B2" s="298"/>
      <c r="C2" s="298"/>
      <c r="D2" s="298"/>
      <c r="E2" s="298"/>
    </row>
    <row r="3" spans="1:256" ht="29.1" customHeight="1" x14ac:dyDescent="0.2">
      <c r="A3" s="22" t="s">
        <v>426</v>
      </c>
      <c r="B3" s="8" t="s">
        <v>0</v>
      </c>
      <c r="C3" s="306" t="s">
        <v>2638</v>
      </c>
      <c r="D3" s="306"/>
      <c r="E3" s="306"/>
    </row>
    <row r="4" spans="1:256" ht="36" customHeight="1" x14ac:dyDescent="0.2">
      <c r="A4" s="301" t="s">
        <v>1</v>
      </c>
      <c r="B4" s="301"/>
      <c r="C4" s="25"/>
      <c r="D4" s="26"/>
      <c r="E4" s="27"/>
    </row>
    <row r="5" spans="1:256" ht="72" customHeight="1" x14ac:dyDescent="0.2">
      <c r="A5" s="305" t="s">
        <v>2982</v>
      </c>
      <c r="B5" s="305"/>
      <c r="C5" s="305"/>
      <c r="D5" s="305"/>
      <c r="E5" s="305"/>
    </row>
    <row r="6" spans="1:256" ht="24" customHeight="1" x14ac:dyDescent="0.2">
      <c r="A6" s="309" t="s">
        <v>2552</v>
      </c>
      <c r="B6" s="309"/>
      <c r="C6" s="309"/>
      <c r="D6" s="309"/>
      <c r="E6" s="309"/>
    </row>
    <row r="7" spans="1:256" ht="22.35" customHeight="1" x14ac:dyDescent="0.2">
      <c r="A7" s="15" t="s">
        <v>431</v>
      </c>
      <c r="B7" s="28" t="s">
        <v>3</v>
      </c>
      <c r="C7" s="307" t="s">
        <v>3</v>
      </c>
      <c r="D7" s="307"/>
      <c r="E7" s="307"/>
    </row>
    <row r="8" spans="1:256" ht="22.35" customHeight="1" x14ac:dyDescent="0.2">
      <c r="A8" s="15" t="s">
        <v>432</v>
      </c>
      <c r="B8" s="28" t="s">
        <v>4</v>
      </c>
      <c r="C8" s="307" t="s">
        <v>2103</v>
      </c>
      <c r="D8" s="307"/>
      <c r="E8" s="307"/>
    </row>
    <row r="9" spans="1:256" ht="22.35" customHeight="1" x14ac:dyDescent="0.2">
      <c r="A9" s="15" t="s">
        <v>433</v>
      </c>
      <c r="B9" s="28" t="s">
        <v>5</v>
      </c>
      <c r="C9" s="307" t="s">
        <v>2631</v>
      </c>
      <c r="D9" s="307"/>
      <c r="E9" s="307"/>
    </row>
    <row r="10" spans="1:256" ht="22.35" customHeight="1" x14ac:dyDescent="0.2">
      <c r="A10" s="15" t="s">
        <v>434</v>
      </c>
      <c r="B10" s="28" t="s">
        <v>6</v>
      </c>
      <c r="C10" s="307" t="s">
        <v>2104</v>
      </c>
      <c r="D10" s="307"/>
      <c r="E10" s="307"/>
    </row>
    <row r="11" spans="1:256" ht="22.35" customHeight="1" x14ac:dyDescent="0.2">
      <c r="A11" s="15" t="s">
        <v>435</v>
      </c>
      <c r="B11" s="28" t="s">
        <v>7</v>
      </c>
      <c r="C11" s="307" t="s">
        <v>7</v>
      </c>
      <c r="D11" s="307"/>
      <c r="E11" s="307"/>
    </row>
    <row r="12" spans="1:256" ht="22.35" customHeight="1" x14ac:dyDescent="0.2">
      <c r="A12" s="15" t="s">
        <v>436</v>
      </c>
      <c r="B12" s="28" t="s">
        <v>8</v>
      </c>
      <c r="C12" s="307" t="s">
        <v>8</v>
      </c>
      <c r="D12" s="307"/>
      <c r="E12" s="307"/>
    </row>
    <row r="13" spans="1:256" ht="22.35" customHeight="1" x14ac:dyDescent="0.2">
      <c r="A13" s="15" t="s">
        <v>437</v>
      </c>
      <c r="B13" s="28" t="s">
        <v>9</v>
      </c>
      <c r="C13" s="307" t="s">
        <v>2105</v>
      </c>
      <c r="D13" s="307"/>
      <c r="E13" s="307"/>
    </row>
    <row r="14" spans="1:256" ht="22.35" customHeight="1" x14ac:dyDescent="0.2">
      <c r="A14" s="15" t="s">
        <v>438</v>
      </c>
      <c r="B14" s="28" t="s">
        <v>10</v>
      </c>
      <c r="C14" s="307" t="s">
        <v>2</v>
      </c>
      <c r="D14" s="307"/>
      <c r="E14" s="307"/>
    </row>
    <row r="15" spans="1:256" s="136" customFormat="1" ht="22.35" customHeight="1" x14ac:dyDescent="0.2">
      <c r="A15" s="15" t="s">
        <v>439</v>
      </c>
      <c r="B15" s="28" t="s">
        <v>2641</v>
      </c>
      <c r="C15" s="307" t="s">
        <v>2648</v>
      </c>
      <c r="D15" s="307"/>
      <c r="E15" s="307"/>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r="16" spans="1:256" s="136" customFormat="1" ht="22.35" customHeight="1" x14ac:dyDescent="0.2">
      <c r="A16" s="15" t="s">
        <v>440</v>
      </c>
      <c r="B16" s="28" t="s">
        <v>2642</v>
      </c>
      <c r="C16" s="307" t="s">
        <v>2648</v>
      </c>
      <c r="D16" s="307"/>
      <c r="E16" s="307"/>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r="17" spans="1:5" ht="24" customHeight="1" x14ac:dyDescent="0.2">
      <c r="A17" s="309" t="s">
        <v>2645</v>
      </c>
      <c r="B17" s="309"/>
      <c r="C17" s="309"/>
      <c r="D17" s="309"/>
      <c r="E17" s="309"/>
    </row>
    <row r="18" spans="1:5" ht="22.35" customHeight="1" x14ac:dyDescent="0.2">
      <c r="A18" s="15" t="s">
        <v>2646</v>
      </c>
      <c r="B18" s="28" t="s">
        <v>2553</v>
      </c>
      <c r="C18" s="310" t="s">
        <v>2554</v>
      </c>
      <c r="D18" s="310"/>
      <c r="E18" s="310"/>
    </row>
    <row r="19" spans="1:5" ht="22.35" customHeight="1" x14ac:dyDescent="0.2">
      <c r="A19" s="15" t="s">
        <v>2647</v>
      </c>
      <c r="B19" s="28" t="s">
        <v>97</v>
      </c>
      <c r="C19" s="308" t="s">
        <v>2106</v>
      </c>
      <c r="D19" s="308"/>
      <c r="E19" s="308"/>
    </row>
    <row r="20" spans="1:5" ht="36" customHeight="1" x14ac:dyDescent="0.2">
      <c r="A20" s="301" t="s">
        <v>11</v>
      </c>
      <c r="B20" s="301"/>
      <c r="C20" s="25"/>
      <c r="D20" s="26"/>
      <c r="E20" s="27"/>
    </row>
    <row r="21" spans="1:5" ht="48" customHeight="1" x14ac:dyDescent="0.2">
      <c r="A21" s="305" t="s">
        <v>2674</v>
      </c>
      <c r="B21" s="305"/>
      <c r="C21" s="305"/>
      <c r="D21" s="305"/>
      <c r="E21" s="305"/>
    </row>
    <row r="22" spans="1:5" ht="37.35" customHeight="1" x14ac:dyDescent="0.2">
      <c r="A22" s="301" t="s">
        <v>12</v>
      </c>
      <c r="B22" s="301"/>
      <c r="C22" s="25" t="s">
        <v>13</v>
      </c>
      <c r="D22" s="25" t="s">
        <v>14</v>
      </c>
      <c r="E22" s="7" t="s">
        <v>15</v>
      </c>
    </row>
    <row r="23" spans="1:5" ht="48" customHeight="1" x14ac:dyDescent="0.2">
      <c r="A23" s="305" t="s">
        <v>2667</v>
      </c>
      <c r="B23" s="305"/>
      <c r="C23" s="305"/>
      <c r="D23" s="305"/>
      <c r="E23" s="305"/>
    </row>
    <row r="24" spans="1:5" ht="48" customHeight="1" x14ac:dyDescent="0.2">
      <c r="A24" s="15" t="s">
        <v>164</v>
      </c>
      <c r="B24" s="30" t="s">
        <v>95</v>
      </c>
      <c r="C24" s="12"/>
      <c r="D24" s="151"/>
      <c r="E24" s="9" t="str">
        <f>IF(C24="","",IF(C24="Yes","You are required to complete the questions in the HIPAA section.","Responses to the questions in the HIPAA section are optional."))</f>
        <v/>
      </c>
    </row>
    <row r="25" spans="1:5" ht="48" customHeight="1" x14ac:dyDescent="0.2">
      <c r="A25" s="15" t="s">
        <v>165</v>
      </c>
      <c r="B25" s="30" t="s">
        <v>566</v>
      </c>
      <c r="C25" s="12"/>
      <c r="D25" s="152"/>
      <c r="E25" s="9" t="str">
        <f>IF(C25="","",IF(C25="Yes","You are required to complete the questions in the Mobile Application section.","Responses to the questions in the Mobile Application section are optional."))</f>
        <v/>
      </c>
    </row>
    <row r="26" spans="1:5" ht="48" customHeight="1" x14ac:dyDescent="0.2">
      <c r="A26" s="15" t="s">
        <v>166</v>
      </c>
      <c r="B26" s="30" t="s">
        <v>567</v>
      </c>
      <c r="C26" s="12"/>
      <c r="D26" s="152"/>
      <c r="E26" s="9" t="str">
        <f>IF(C26="","",IF(C26="Yes","You are required to complete the questions in the Third Parties section.","Responses to the questions in the Third Parties section are optional."))</f>
        <v/>
      </c>
    </row>
    <row r="27" spans="1:5" ht="48" customHeight="1" x14ac:dyDescent="0.2">
      <c r="A27" s="15" t="s">
        <v>167</v>
      </c>
      <c r="B27" s="30" t="s">
        <v>155</v>
      </c>
      <c r="C27" s="12"/>
      <c r="D27" s="151"/>
      <c r="E27" s="9" t="str">
        <f>IF(C27="","",IF(C27="Yes","You are required to complete the questions in the Business Continuity section.","Respond to as many questions in the Business Continuity section as possible."))</f>
        <v/>
      </c>
    </row>
    <row r="28" spans="1:5" ht="48" customHeight="1" x14ac:dyDescent="0.2">
      <c r="A28" s="15" t="s">
        <v>168</v>
      </c>
      <c r="B28" s="30" t="s">
        <v>156</v>
      </c>
      <c r="C28" s="12"/>
      <c r="D28" s="151"/>
      <c r="E28" s="9" t="str">
        <f>IF(C28="","",IF(C28="Yes","You are required to complete the questions in the Disaster Recovery section.","Respond to as many questions in the Disaster Recovery section as possible."))</f>
        <v/>
      </c>
    </row>
    <row r="29" spans="1:5" ht="48" customHeight="1" x14ac:dyDescent="0.2">
      <c r="A29" s="15" t="s">
        <v>169</v>
      </c>
      <c r="B29" s="30" t="s">
        <v>16</v>
      </c>
      <c r="C29" s="12"/>
      <c r="D29" s="151"/>
      <c r="E29" s="9" t="str">
        <f>IF(C29="","",IF(C29="Yes","You are required to complete the questions in the PCI DSS section.","Responses to the questions in the PCI DSS section are optional."))</f>
        <v/>
      </c>
    </row>
    <row r="30" spans="1:5" ht="64.349999999999994" customHeight="1" x14ac:dyDescent="0.2">
      <c r="A30" s="15" t="s">
        <v>170</v>
      </c>
      <c r="B30" s="30" t="s">
        <v>515</v>
      </c>
      <c r="C30" s="12"/>
      <c r="D30" s="151"/>
      <c r="E30" s="9" t="str">
        <f>IF(C30="","",IF(C30="Yes","You are required to complete the questions in the Consulting section. All questions AFTER the Consulting section are OPTIONAL.","Responses to the questions in the Consulting section are optional."))</f>
        <v/>
      </c>
    </row>
    <row r="31" spans="1:5" ht="36" customHeight="1" x14ac:dyDescent="0.2">
      <c r="A31" s="301" t="s">
        <v>18</v>
      </c>
      <c r="B31" s="301"/>
      <c r="C31" s="25" t="s">
        <v>13</v>
      </c>
      <c r="D31" s="25" t="s">
        <v>14</v>
      </c>
      <c r="E31" s="7" t="s">
        <v>15</v>
      </c>
    </row>
    <row r="32" spans="1:5" ht="97.35" customHeight="1" x14ac:dyDescent="0.2">
      <c r="A32" s="15" t="s">
        <v>171</v>
      </c>
      <c r="B32" s="115" t="s">
        <v>3065</v>
      </c>
      <c r="C32" s="12"/>
      <c r="D32" s="153"/>
      <c r="E32" s="10" t="str">
        <f>IF(C32="","",IF(C32="Yes","Provide the date of assessment and include a SOC 2 Type 2 (preferred) or SOC 3 report. If you have a SOC3 report, include a URL for the published report. Indicate if your hosting provider was the subject of the audit.","Describe any plans to undergo a SSAE 16 audit."))</f>
        <v/>
      </c>
    </row>
    <row r="33" spans="1:5" ht="48" customHeight="1" x14ac:dyDescent="0.2">
      <c r="A33" s="15" t="s">
        <v>172</v>
      </c>
      <c r="B33" s="115" t="s">
        <v>129</v>
      </c>
      <c r="C33" s="12"/>
      <c r="D33" s="153"/>
      <c r="E33" s="10" t="str">
        <f>IF(C33="","",IF(C33="Yes","Please include a copy with your response and include a URL for the published assessment.","Describe any plans to complete the CSA self assessment or CAIQ."))</f>
        <v/>
      </c>
    </row>
    <row r="34" spans="1:5" ht="48" customHeight="1" x14ac:dyDescent="0.2">
      <c r="A34" s="15" t="s">
        <v>173</v>
      </c>
      <c r="B34" s="156" t="s">
        <v>19</v>
      </c>
      <c r="C34" s="12"/>
      <c r="D34" s="153"/>
      <c r="E34" s="9" t="str">
        <f>IF(C34="","",IF(C34="Yes","Provide date of certification, any supporting documentation, and a URL for the certification.","Describe any plans to obtain CSA STAR certification."))</f>
        <v/>
      </c>
    </row>
    <row r="35" spans="1:5" ht="64.349999999999994" customHeight="1" x14ac:dyDescent="0.2">
      <c r="A35" s="15" t="s">
        <v>174</v>
      </c>
      <c r="B35" s="115" t="s">
        <v>2634</v>
      </c>
      <c r="C35" s="12"/>
      <c r="D35" s="153"/>
      <c r="E35" s="9" t="str">
        <f>IF(C35="","",IF(C35="Yes","Provide documentation on how your organization conforms to each framework and indicate current certification levels, where appropriate.","Describe any plans to conform to an industry standard security framework."))</f>
        <v/>
      </c>
    </row>
    <row r="36" spans="1:5" ht="64.349999999999994" customHeight="1" x14ac:dyDescent="0.2">
      <c r="A36" s="15" t="s">
        <v>175</v>
      </c>
      <c r="B36" s="156" t="s">
        <v>891</v>
      </c>
      <c r="C36" s="12"/>
      <c r="D36" s="154"/>
      <c r="E36" s="9" t="str">
        <f>IF(C36="","",IF(C36="Yes","Indicate level, agency issuing ATO, and necessary details on ATO. If using FEDRamp, please indicate the supporting details.","Describe any plans to become FISMA compliant."))</f>
        <v/>
      </c>
    </row>
    <row r="37" spans="1:5" ht="48" customHeight="1" x14ac:dyDescent="0.2">
      <c r="A37" s="15" t="s">
        <v>176</v>
      </c>
      <c r="B37" s="30" t="s">
        <v>470</v>
      </c>
      <c r="C37" s="12"/>
      <c r="D37" s="155"/>
      <c r="E37" s="9" t="str">
        <f>IF(C37="","",IF(C37="Yes","Provide your data privacy document (or a valid link to it) upon submission.","Describe your plans to provide a data privacy document."))</f>
        <v/>
      </c>
    </row>
    <row r="38" spans="1:5" ht="36" customHeight="1" x14ac:dyDescent="0.2">
      <c r="A38" s="301" t="s">
        <v>152</v>
      </c>
      <c r="B38" s="301"/>
      <c r="C38" s="25" t="s">
        <v>13</v>
      </c>
      <c r="D38" s="25" t="s">
        <v>14</v>
      </c>
      <c r="E38" s="7" t="s">
        <v>15</v>
      </c>
    </row>
    <row r="39" spans="1:5" ht="54" customHeight="1" x14ac:dyDescent="0.2">
      <c r="A39" s="15" t="s">
        <v>177</v>
      </c>
      <c r="B39" s="115" t="s">
        <v>153</v>
      </c>
      <c r="C39" s="302"/>
      <c r="D39" s="302"/>
      <c r="E39" s="9" t="s">
        <v>2556</v>
      </c>
    </row>
    <row r="40" spans="1:5" ht="54" customHeight="1" x14ac:dyDescent="0.2">
      <c r="A40" s="15" t="s">
        <v>178</v>
      </c>
      <c r="B40" s="115" t="s">
        <v>154</v>
      </c>
      <c r="C40" s="302"/>
      <c r="D40" s="302"/>
      <c r="E40" s="9" t="s">
        <v>2557</v>
      </c>
    </row>
    <row r="41" spans="1:5" ht="54" customHeight="1" x14ac:dyDescent="0.2">
      <c r="A41" s="15" t="s">
        <v>179</v>
      </c>
      <c r="B41" s="115" t="s">
        <v>892</v>
      </c>
      <c r="C41" s="12"/>
      <c r="D41" s="116"/>
      <c r="E41" s="9" t="str">
        <f>IF(C41="","",IF(C41="Yes","Provide a list of Higher Ed references, with contact information.","State your primary industry."))</f>
        <v/>
      </c>
    </row>
    <row r="42" spans="1:5" ht="64.349999999999994" customHeight="1" x14ac:dyDescent="0.2">
      <c r="A42" s="15" t="s">
        <v>180</v>
      </c>
      <c r="B42" s="115" t="s">
        <v>893</v>
      </c>
      <c r="C42" s="12"/>
      <c r="D42" s="117"/>
      <c r="E42" s="9" t="str">
        <f>IF(C42="","",IF(C42="Yes","Provide a detailed summary of the breach.",""))</f>
        <v/>
      </c>
    </row>
    <row r="43" spans="1:5" ht="54" customHeight="1" x14ac:dyDescent="0.2">
      <c r="A43" s="15" t="s">
        <v>181</v>
      </c>
      <c r="B43" s="115" t="s">
        <v>894</v>
      </c>
      <c r="C43" s="12"/>
      <c r="D43" s="116"/>
      <c r="E43" s="9" t="str">
        <f>IF(C43="","",IF(C43="Yes","Decribe your Information Security Office, including size, talents, resources, etc.","Describe any plans to create an Information Security Office for your organization."))</f>
        <v/>
      </c>
    </row>
    <row r="44" spans="1:5" ht="64.349999999999994" customHeight="1" x14ac:dyDescent="0.2">
      <c r="A44" s="15" t="s">
        <v>182</v>
      </c>
      <c r="B44" s="115" t="s">
        <v>2555</v>
      </c>
      <c r="C44" s="12"/>
      <c r="D44" s="117"/>
      <c r="E44" s="9" t="str">
        <f>IF(C44="","",IF(C44="Yes","Describe the structure and size of your Software and System Development teams. (e.g. Customer Support, Implementation, Product Management, etc.)","Describe any plans to create an Information Security Office for your organization."))</f>
        <v/>
      </c>
    </row>
    <row r="45" spans="1:5" ht="83.1" customHeight="1" x14ac:dyDescent="0.2">
      <c r="A45" s="15" t="s">
        <v>430</v>
      </c>
      <c r="B45" s="115" t="s">
        <v>895</v>
      </c>
      <c r="C45" s="303"/>
      <c r="D45" s="303"/>
      <c r="E45" s="9" t="s">
        <v>2558</v>
      </c>
    </row>
    <row r="46" spans="1:5" ht="36" customHeight="1" x14ac:dyDescent="0.2">
      <c r="A46" s="301" t="str">
        <f>IF($C$26="No","Third Parties - Optional based on QUALIFIER response.","Third Parties")</f>
        <v>Third Parties</v>
      </c>
      <c r="B46" s="301"/>
      <c r="C46" s="25" t="s">
        <v>13</v>
      </c>
      <c r="D46" s="25" t="s">
        <v>14</v>
      </c>
      <c r="E46" s="7" t="s">
        <v>15</v>
      </c>
    </row>
    <row r="47" spans="1:5" ht="96" customHeight="1" x14ac:dyDescent="0.2">
      <c r="A47" s="15" t="s">
        <v>183</v>
      </c>
      <c r="B47" s="30" t="s">
        <v>130</v>
      </c>
      <c r="C47" s="299"/>
      <c r="D47" s="299"/>
      <c r="E47" s="9" t="s">
        <v>2623</v>
      </c>
    </row>
    <row r="48" spans="1:5" ht="80.099999999999994" customHeight="1" x14ac:dyDescent="0.2">
      <c r="A48" s="15" t="s">
        <v>184</v>
      </c>
      <c r="B48" s="30" t="s">
        <v>516</v>
      </c>
      <c r="C48" s="299"/>
      <c r="D48" s="299"/>
      <c r="E48" s="9" t="s">
        <v>2624</v>
      </c>
    </row>
    <row r="49" spans="1:256" ht="80.099999999999994" customHeight="1" x14ac:dyDescent="0.2">
      <c r="A49" s="15" t="s">
        <v>185</v>
      </c>
      <c r="B49" s="30" t="s">
        <v>21</v>
      </c>
      <c r="C49" s="299"/>
      <c r="D49" s="299"/>
      <c r="E49" s="9" t="s">
        <v>2625</v>
      </c>
    </row>
    <row r="50" spans="1:256" ht="80.099999999999994" customHeight="1" x14ac:dyDescent="0.2">
      <c r="A50" s="15" t="s">
        <v>429</v>
      </c>
      <c r="B50" s="30" t="s">
        <v>441</v>
      </c>
      <c r="C50" s="299"/>
      <c r="D50" s="299"/>
      <c r="E50" s="9" t="s">
        <v>2626</v>
      </c>
    </row>
    <row r="51" spans="1:256" ht="36" customHeight="1" x14ac:dyDescent="0.2">
      <c r="A51" s="301" t="str">
        <f>IF($C$30="","Consulting",IF($C$30="Yes","Consulting - All questions after this section are OPTIONAL.","Consulting - Optional based on QUALIFIER response."))</f>
        <v>Consulting</v>
      </c>
      <c r="B51" s="301"/>
      <c r="C51" s="25" t="s">
        <v>13</v>
      </c>
      <c r="D51" s="25" t="s">
        <v>14</v>
      </c>
      <c r="E51" s="7" t="s">
        <v>15</v>
      </c>
    </row>
    <row r="52" spans="1:256" ht="48" customHeight="1" x14ac:dyDescent="0.2">
      <c r="A52" s="15" t="s">
        <v>186</v>
      </c>
      <c r="B52" s="30" t="s">
        <v>901</v>
      </c>
      <c r="C52" s="12"/>
      <c r="D52" s="29"/>
      <c r="E52" s="10" t="str">
        <f>IF(C52="","",IF(C52="Yes","Describe how physical access will be managed.",""))</f>
        <v/>
      </c>
    </row>
    <row r="53" spans="1:256" ht="63" customHeight="1" x14ac:dyDescent="0.2">
      <c r="A53" s="15" t="s">
        <v>187</v>
      </c>
      <c r="B53" s="30" t="s">
        <v>535</v>
      </c>
      <c r="C53" s="12"/>
      <c r="D53" s="29"/>
      <c r="E53" s="10" t="str">
        <f>IF(C53="","",IF(C53="Yes","Describe how institution's resources will be protected during this engagement.",""))</f>
        <v/>
      </c>
    </row>
    <row r="54" spans="1:256" ht="63" customHeight="1" x14ac:dyDescent="0.2">
      <c r="A54" s="15" t="s">
        <v>188</v>
      </c>
      <c r="B54" s="30" t="s">
        <v>536</v>
      </c>
      <c r="C54" s="12"/>
      <c r="D54" s="29"/>
      <c r="E54" s="10" t="str">
        <f>IF(C54="","",IF(C54="Yes","Summarize the need for physical access and what steps/agreements will be implemented to ensure physical security.",""))</f>
        <v/>
      </c>
    </row>
    <row r="55" spans="1:256" ht="48" customHeight="1" x14ac:dyDescent="0.2">
      <c r="A55" s="15" t="s">
        <v>189</v>
      </c>
      <c r="B55" s="30" t="s">
        <v>537</v>
      </c>
      <c r="C55" s="12"/>
      <c r="D55" s="13"/>
      <c r="E55" s="10" t="str">
        <f>IF(C55="","",IF(C55="Yes","Summarize the need for an account within the Institution's domain.",""))</f>
        <v/>
      </c>
    </row>
    <row r="56" spans="1:256" ht="48" customHeight="1" x14ac:dyDescent="0.2">
      <c r="A56" s="15" t="s">
        <v>190</v>
      </c>
      <c r="B56" s="30" t="s">
        <v>468</v>
      </c>
      <c r="C56" s="12"/>
      <c r="D56" s="13"/>
      <c r="E56" s="10" t="str">
        <f>IF(C56="","",IF(C56="Yes","State the name of  the training received and the most currently training date for each training.",""))</f>
        <v/>
      </c>
    </row>
    <row r="57" spans="1:256" ht="48" customHeight="1" x14ac:dyDescent="0.2">
      <c r="A57" s="15" t="s">
        <v>191</v>
      </c>
      <c r="B57" s="30" t="s">
        <v>471</v>
      </c>
      <c r="C57" s="12"/>
      <c r="D57" s="13"/>
      <c r="E57" s="10" t="str">
        <f>IF(C57="","",IF(C57="Yes","State how long the data will remain in their possession and state how the data will be protected.",""))</f>
        <v/>
      </c>
    </row>
    <row r="58" spans="1:256" s="1" customFormat="1" ht="48" customHeight="1" x14ac:dyDescent="0.2">
      <c r="A58" s="15" t="s">
        <v>192</v>
      </c>
      <c r="B58" s="30" t="s">
        <v>472</v>
      </c>
      <c r="C58" s="180"/>
      <c r="D58" s="13"/>
      <c r="E58" s="10" t="str">
        <f>IF(C58="","",IF(C58="Yes","Describe how encryption is implemented.","Describe the implemented compensating controls  to safeguard data."))</f>
        <v/>
      </c>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row>
    <row r="59" spans="1:256" ht="48" customHeight="1" x14ac:dyDescent="0.2">
      <c r="A59" s="15" t="s">
        <v>193</v>
      </c>
      <c r="B59" s="30" t="s">
        <v>538</v>
      </c>
      <c r="C59" s="12"/>
      <c r="D59" s="13"/>
      <c r="E59" s="10" t="str">
        <f>IF(C59="","",IF(C59="Yes","Describe the tools and technical controls implemented to secure remote access.",""))</f>
        <v/>
      </c>
    </row>
    <row r="60" spans="1:256" s="1" customFormat="1" ht="48" customHeight="1" x14ac:dyDescent="0.2">
      <c r="A60" s="15" t="s">
        <v>194</v>
      </c>
      <c r="B60" s="30" t="s">
        <v>22</v>
      </c>
      <c r="C60" s="12"/>
      <c r="D60" s="13"/>
      <c r="E60" s="10" t="str">
        <f>IF(C60="","",IF(C60="Yes","State any limitations to this restriction.",IF(C60="No","State potential restriction capabilities.","No remote access necessary.")))</f>
        <v/>
      </c>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row>
    <row r="61" spans="1:256" ht="36" customHeight="1" x14ac:dyDescent="0.2">
      <c r="A61" s="301" t="str">
        <f>IF($C$30="","Application/Service Security",IF($C$30="Yes","App/Service Security - Optional based on QUALIFIER response.","Application/Service Security"))</f>
        <v>Application/Service Security</v>
      </c>
      <c r="B61" s="301"/>
      <c r="C61" s="25" t="s">
        <v>13</v>
      </c>
      <c r="D61" s="25" t="s">
        <v>14</v>
      </c>
      <c r="E61" s="7" t="s">
        <v>15</v>
      </c>
    </row>
    <row r="62" spans="1:256" ht="49.35" customHeight="1" x14ac:dyDescent="0.2">
      <c r="A62" s="15" t="s">
        <v>195</v>
      </c>
      <c r="B62" s="69" t="s">
        <v>896</v>
      </c>
      <c r="C62" s="12"/>
      <c r="D62" s="152"/>
      <c r="E62" s="9" t="str">
        <f>IF(C62="","",IF(C62="Yes","Describe any infrastructure dependencies.","Describe any limitations that prevent virtualization."))</f>
        <v/>
      </c>
    </row>
    <row r="63" spans="1:256" ht="48" customHeight="1" x14ac:dyDescent="0.2">
      <c r="A63" s="15" t="s">
        <v>196</v>
      </c>
      <c r="B63" s="69" t="s">
        <v>897</v>
      </c>
      <c r="C63" s="12"/>
      <c r="D63" s="154"/>
      <c r="E63" s="9" t="str">
        <f>IF(C63="","",IF(C63="Yes","Describe the utilized technology.","Describe any plans to virtualize your environment hosting Institution data."))</f>
        <v/>
      </c>
    </row>
    <row r="64" spans="1:256" ht="48" customHeight="1" x14ac:dyDescent="0.2">
      <c r="A64" s="15" t="s">
        <v>539</v>
      </c>
      <c r="B64" s="69" t="s">
        <v>898</v>
      </c>
      <c r="C64" s="12"/>
      <c r="D64" s="152"/>
      <c r="E64" s="9" t="str">
        <f>IF(C64="","",IF(C64="Yes","If available, submit documentation and/or web resources.","Provide details that prevent this capability."))</f>
        <v/>
      </c>
    </row>
    <row r="65" spans="1:256" ht="80.099999999999994" customHeight="1" x14ac:dyDescent="0.2">
      <c r="A65" s="15" t="s">
        <v>197</v>
      </c>
      <c r="B65" s="69" t="s">
        <v>899</v>
      </c>
      <c r="C65" s="12"/>
      <c r="D65" s="137"/>
      <c r="E65" s="9" t="str">
        <f>IF(C65="","",IF(C65="Yes","Provide a reference to the requested documents or provide them when submitting this fully-populated HECVAT.","State any plans to provide system and/or application architecture diagrams."))</f>
        <v/>
      </c>
    </row>
    <row r="66" spans="1:256" ht="63" customHeight="1" x14ac:dyDescent="0.2">
      <c r="A66" s="15" t="s">
        <v>198</v>
      </c>
      <c r="B66" s="69" t="s">
        <v>31</v>
      </c>
      <c r="C66" s="12"/>
      <c r="D66" s="137"/>
      <c r="E66" s="9" t="str">
        <f>IF(C66="","",IF(C66="Yes","Provide a reference to documentation of your data input validation and error messaging capabilities.","State plans to implement data input validation and error messaging across all components of your system."))</f>
        <v/>
      </c>
    </row>
    <row r="67" spans="1:256" ht="48" customHeight="1" x14ac:dyDescent="0.2">
      <c r="A67" s="15" t="s">
        <v>199</v>
      </c>
      <c r="B67" s="69" t="s">
        <v>900</v>
      </c>
      <c r="C67" s="12"/>
      <c r="D67" s="31"/>
      <c r="E67" s="9" t="str">
        <f>IF(C67="","",IF(C67="Yes","Describe your single-tenant strategy.",""))</f>
        <v/>
      </c>
    </row>
    <row r="68" spans="1:256" s="1" customFormat="1" ht="80.099999999999994" customHeight="1" x14ac:dyDescent="0.2">
      <c r="A68" s="15" t="s">
        <v>200</v>
      </c>
      <c r="B68" s="69" t="s">
        <v>560</v>
      </c>
      <c r="C68" s="300"/>
      <c r="D68" s="299"/>
      <c r="E68" s="11" t="s">
        <v>2073</v>
      </c>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row>
    <row r="69" spans="1:256" ht="72" customHeight="1" x14ac:dyDescent="0.2">
      <c r="A69" s="15" t="s">
        <v>201</v>
      </c>
      <c r="B69" s="30" t="s">
        <v>517</v>
      </c>
      <c r="C69" s="12"/>
      <c r="D69" s="13"/>
      <c r="E69" s="9" t="str">
        <f>IF(C69="","",IF(C69="Yes","Describe the conditions of this breach and how was the investigation and response was managed in conjunction with the customer.",""))</f>
        <v/>
      </c>
    </row>
    <row r="70" spans="1:256" ht="64.349999999999994" customHeight="1" x14ac:dyDescent="0.2">
      <c r="A70" s="15" t="s">
        <v>202</v>
      </c>
      <c r="B70" s="69" t="s">
        <v>442</v>
      </c>
      <c r="C70" s="300"/>
      <c r="D70" s="299"/>
      <c r="E70" s="11" t="s">
        <v>2074</v>
      </c>
    </row>
    <row r="71" spans="1:256" ht="64.349999999999994" customHeight="1" x14ac:dyDescent="0.2">
      <c r="A71" s="15" t="s">
        <v>203</v>
      </c>
      <c r="B71" s="69" t="s">
        <v>443</v>
      </c>
      <c r="C71" s="300"/>
      <c r="D71" s="299"/>
      <c r="E71" s="9" t="s">
        <v>2560</v>
      </c>
    </row>
    <row r="72" spans="1:256" ht="48" customHeight="1" x14ac:dyDescent="0.2">
      <c r="A72" s="15" t="s">
        <v>204</v>
      </c>
      <c r="B72" s="69" t="s">
        <v>502</v>
      </c>
      <c r="C72" s="12"/>
      <c r="D72" s="103"/>
      <c r="E72" s="9" t="str">
        <f>IF(C72="","",IF(C72="Yes","Provide a brief description.","Provide a detailed description of the database and front-end system relationship."))</f>
        <v/>
      </c>
    </row>
    <row r="73" spans="1:256" ht="65.099999999999994" customHeight="1" x14ac:dyDescent="0.2">
      <c r="A73" s="15" t="s">
        <v>205</v>
      </c>
      <c r="B73" s="69" t="s">
        <v>444</v>
      </c>
      <c r="C73" s="300"/>
      <c r="D73" s="299"/>
      <c r="E73" s="9" t="s">
        <v>2998</v>
      </c>
    </row>
    <row r="74" spans="1:256" ht="65.099999999999994" customHeight="1" x14ac:dyDescent="0.2">
      <c r="A74" s="15" t="s">
        <v>206</v>
      </c>
      <c r="B74" s="69" t="s">
        <v>2075</v>
      </c>
      <c r="C74" s="12"/>
      <c r="D74" s="13"/>
      <c r="E74" s="9" t="str">
        <f>IF(C74="","",IF(C74="Yes","Describe all OS and web-browser combonations that are not currently supported.",""))</f>
        <v/>
      </c>
    </row>
    <row r="75" spans="1:256" ht="63" customHeight="1" x14ac:dyDescent="0.2">
      <c r="A75" s="15" t="s">
        <v>207</v>
      </c>
      <c r="B75" s="69" t="s">
        <v>113</v>
      </c>
      <c r="C75" s="12"/>
      <c r="D75" s="13"/>
      <c r="E75" s="9" t="str">
        <f>IF(C75="","",IF(C75="Yes","Provide a detailed description of system capabilities and how location data is secured.",""))</f>
        <v/>
      </c>
    </row>
    <row r="76" spans="1:256" ht="84" customHeight="1" x14ac:dyDescent="0.2">
      <c r="A76" s="15" t="s">
        <v>540</v>
      </c>
      <c r="B76" s="69" t="s">
        <v>445</v>
      </c>
      <c r="C76" s="300"/>
      <c r="D76" s="299"/>
      <c r="E76" s="9" t="s">
        <v>2561</v>
      </c>
    </row>
    <row r="77" spans="1:256" ht="65.099999999999994" customHeight="1" x14ac:dyDescent="0.2">
      <c r="A77" s="15" t="s">
        <v>208</v>
      </c>
      <c r="B77" s="69" t="s">
        <v>503</v>
      </c>
      <c r="C77" s="300"/>
      <c r="D77" s="299"/>
      <c r="E77" s="9" t="s">
        <v>2562</v>
      </c>
    </row>
    <row r="78" spans="1:256" ht="65.099999999999994" customHeight="1" x14ac:dyDescent="0.2">
      <c r="A78" s="15" t="s">
        <v>209</v>
      </c>
      <c r="B78" s="69" t="s">
        <v>3001</v>
      </c>
      <c r="C78" s="300"/>
      <c r="D78" s="299"/>
      <c r="E78" s="9" t="s">
        <v>2563</v>
      </c>
    </row>
    <row r="79" spans="1:256" ht="36" customHeight="1" x14ac:dyDescent="0.2">
      <c r="A79" s="301" t="str">
        <f>IF($C$30="","Authentication, Authorization, and Accounting",IF($C$30="Yes","AAA - Optional based on QUALIFIER response.","Authentication, Authorization, and Accounting"))</f>
        <v>Authentication, Authorization, and Accounting</v>
      </c>
      <c r="B79" s="301"/>
      <c r="C79" s="25" t="s">
        <v>13</v>
      </c>
      <c r="D79" s="25" t="s">
        <v>14</v>
      </c>
      <c r="E79" s="7" t="s">
        <v>15</v>
      </c>
    </row>
    <row r="80" spans="1:256" ht="48" customHeight="1" x14ac:dyDescent="0.2">
      <c r="A80" s="15" t="s">
        <v>211</v>
      </c>
      <c r="B80" s="30" t="s">
        <v>34</v>
      </c>
      <c r="C80" s="12"/>
      <c r="D80" s="13"/>
      <c r="E80" s="10" t="str">
        <f>IF(C80="","",IF(C80="Yes","Describe how aging requirements are implemented in the product.","Describe plans to support password/passphrase aging requirements."))</f>
        <v/>
      </c>
    </row>
    <row r="81" spans="1:5" ht="48" customHeight="1" x14ac:dyDescent="0.2">
      <c r="A81" s="15" t="s">
        <v>212</v>
      </c>
      <c r="B81" s="30" t="s">
        <v>518</v>
      </c>
      <c r="C81" s="12"/>
      <c r="D81" s="13"/>
      <c r="E81" s="10" t="str">
        <f>IF(C81="","",IF(C81="Yes","Describe how password/passphrase complexity requirements are implemented in the product.","Describe plans to support password/passphrase complexity requirements."))</f>
        <v/>
      </c>
    </row>
    <row r="82" spans="1:5" ht="48" customHeight="1" x14ac:dyDescent="0.2">
      <c r="A82" s="15" t="s">
        <v>213</v>
      </c>
      <c r="B82" s="30" t="s">
        <v>2066</v>
      </c>
      <c r="C82" s="12"/>
      <c r="D82" s="154"/>
      <c r="E82" s="10" t="str">
        <f>IF(C82="","",IF(C82="Yes","Describe these limitations and/or restrictions and state what lengths and complexities are supported.",""))</f>
        <v/>
      </c>
    </row>
    <row r="83" spans="1:5" ht="65.099999999999994" customHeight="1" x14ac:dyDescent="0.2">
      <c r="A83" s="15" t="s">
        <v>214</v>
      </c>
      <c r="B83" s="30" t="s">
        <v>2067</v>
      </c>
      <c r="C83" s="12"/>
      <c r="D83" s="154"/>
      <c r="E83" s="10" t="str">
        <f>IF(C83="","",IF(C83="Yes","Describe your documented password/passphrase reset procedures that are currently implemented in the system and/or customer support.","Describe your plans to document system password/passphrase reset procedures."))</f>
        <v/>
      </c>
    </row>
    <row r="84" spans="1:5" ht="47.1" customHeight="1" x14ac:dyDescent="0.2">
      <c r="A84" s="15" t="s">
        <v>215</v>
      </c>
      <c r="B84" s="30" t="s">
        <v>2657</v>
      </c>
      <c r="C84" s="12"/>
      <c r="D84" s="197"/>
      <c r="E84" s="10" t="str">
        <f>IF(C84="","",IF(C84="Yes","Describe or provide a reference to the supported types of authentication.","Describe plans to support authentication in your web-based interface."))</f>
        <v/>
      </c>
    </row>
    <row r="85" spans="1:5" ht="48" customHeight="1" x14ac:dyDescent="0.2">
      <c r="A85" s="15" t="s">
        <v>216</v>
      </c>
      <c r="B85" s="30" t="s">
        <v>2564</v>
      </c>
      <c r="C85" s="12"/>
      <c r="D85" s="13"/>
      <c r="E85" s="10" t="str">
        <f>IF(C85="","",IF(C85="Yes","Provide a detailed description of passwords/passphrases hard-coded into your systems or products.",""))</f>
        <v/>
      </c>
    </row>
    <row r="86" spans="1:5" ht="48" customHeight="1" x14ac:dyDescent="0.2">
      <c r="A86" s="15" t="s">
        <v>217</v>
      </c>
      <c r="B86" s="30" t="s">
        <v>35</v>
      </c>
      <c r="C86" s="12"/>
      <c r="D86" s="103"/>
      <c r="E86" s="10" t="str">
        <f>IF(C86="","",IF(C86="Yes","Provide a detailed description stating why user account passwords/passphrases are visible by administrators.",""))</f>
        <v/>
      </c>
    </row>
    <row r="87" spans="1:5" ht="48" customHeight="1" x14ac:dyDescent="0.2">
      <c r="A87" s="15" t="s">
        <v>218</v>
      </c>
      <c r="B87" s="30" t="s">
        <v>36</v>
      </c>
      <c r="C87" s="12"/>
      <c r="D87" s="13"/>
      <c r="E87" s="10" t="str">
        <f>IF(C87="","",IF(C87="Yes","Describe or provide a reference to the algorithm/strategy that is used to encrypt stored passwords/passphrases.","Provide a detailed description stating why user account passwords/passphrases are not encrypted in storage."))</f>
        <v/>
      </c>
    </row>
    <row r="88" spans="1:5" ht="48" customHeight="1" x14ac:dyDescent="0.2">
      <c r="A88" s="68" t="s">
        <v>219</v>
      </c>
      <c r="B88" s="30" t="s">
        <v>132</v>
      </c>
      <c r="C88" s="12"/>
      <c r="D88" s="13"/>
      <c r="E88" s="10" t="str">
        <f>IF(C88="","",IF(C88="Yes","List all supported multi-factor authentication methods, technologies, and/or products and provide a brief summary of each.","Describe any plans to support multi-factor authentication in your application."))</f>
        <v/>
      </c>
    </row>
    <row r="89" spans="1:5" ht="53.1" customHeight="1" x14ac:dyDescent="0.2">
      <c r="A89" s="68" t="s">
        <v>220</v>
      </c>
      <c r="B89" s="30" t="s">
        <v>902</v>
      </c>
      <c r="C89" s="12"/>
      <c r="D89" s="13"/>
      <c r="E89" s="10" t="str">
        <f>IF(C89="","",IF(C89="Yes","Provide a brief description of supported authentication and authorization systems.","Describe any plans to support integration with other authentication and authorization systems."))</f>
        <v/>
      </c>
    </row>
    <row r="90" spans="1:5" ht="47.1" customHeight="1" x14ac:dyDescent="0.2">
      <c r="A90" s="68" t="s">
        <v>221</v>
      </c>
      <c r="B90" s="30" t="s">
        <v>519</v>
      </c>
      <c r="C90" s="180"/>
      <c r="D90" s="13"/>
      <c r="E90" s="10" t="str">
        <f>IF(C90="","",IF(C90="Yes","Summarize the utilized technology and provide references to how it is implemented in the product/system.",""))</f>
        <v/>
      </c>
    </row>
    <row r="91" spans="1:5" ht="54" customHeight="1" x14ac:dyDescent="0.2">
      <c r="A91" s="68" t="s">
        <v>222</v>
      </c>
      <c r="B91" s="30" t="s">
        <v>131</v>
      </c>
      <c r="C91" s="12"/>
      <c r="D91" s="13"/>
      <c r="E91" s="10" t="str">
        <f>IF(C91="","",IF(C91="Yes","Describe all authentication services supported by the system.","Describe any plans to support external authentication services in place of local authentication."))</f>
        <v/>
      </c>
    </row>
    <row r="92" spans="1:5" ht="54" customHeight="1" x14ac:dyDescent="0.2">
      <c r="A92" s="68" t="s">
        <v>223</v>
      </c>
      <c r="B92" s="30" t="s">
        <v>94</v>
      </c>
      <c r="C92" s="180"/>
      <c r="D92" s="13"/>
      <c r="E92" s="10" t="str">
        <f>IF(C92="","",IF(C92="Yes","Provide a detailed description of your mixed authentication mode practices.","Describe any plans to use mixed authentication modes."))</f>
        <v/>
      </c>
    </row>
    <row r="93" spans="1:5" ht="47.1" customHeight="1" x14ac:dyDescent="0.2">
      <c r="A93" s="68" t="s">
        <v>224</v>
      </c>
      <c r="B93" s="30" t="s">
        <v>520</v>
      </c>
      <c r="C93" s="180"/>
      <c r="D93" s="13"/>
      <c r="E93" s="10" t="str">
        <f>IF(C93="","",IF(C93="Yes","Summarize the utilized technology and provide references to how it is implemented in the product/system.",""))</f>
        <v/>
      </c>
    </row>
    <row r="94" spans="1:5" ht="48" customHeight="1" x14ac:dyDescent="0.2">
      <c r="A94" s="68" t="s">
        <v>225</v>
      </c>
      <c r="B94" s="30" t="s">
        <v>541</v>
      </c>
      <c r="C94" s="12"/>
      <c r="D94" s="13"/>
      <c r="E94" s="10" t="str">
        <f>IF(C94="","",IF(C94="Yes","Ensure that all elements of AAAI-15 are evaluated for your response. Provide a description of logging capabilities.","Describe any plans to enable audit logs for these data elements."))</f>
        <v/>
      </c>
    </row>
    <row r="95" spans="1:5" ht="96" customHeight="1" x14ac:dyDescent="0.2">
      <c r="A95" s="68" t="s">
        <v>226</v>
      </c>
      <c r="B95" s="30" t="s">
        <v>2068</v>
      </c>
      <c r="C95" s="299"/>
      <c r="D95" s="299"/>
      <c r="E95" s="10" t="s">
        <v>2565</v>
      </c>
    </row>
    <row r="96" spans="1:5" ht="84" customHeight="1" x14ac:dyDescent="0.2">
      <c r="A96" s="68" t="s">
        <v>227</v>
      </c>
      <c r="B96" s="30" t="s">
        <v>446</v>
      </c>
      <c r="C96" s="299"/>
      <c r="D96" s="299"/>
      <c r="E96" s="10" t="s">
        <v>2566</v>
      </c>
    </row>
    <row r="97" spans="1:5" ht="36" customHeight="1" x14ac:dyDescent="0.2">
      <c r="A97" s="301" t="str">
        <f>IF(OR($C$27="No",$C$30="Yes"),"BCP - Respond to as many questions below as possible.","Business Continuity Plan")</f>
        <v>Business Continuity Plan</v>
      </c>
      <c r="B97" s="301"/>
      <c r="C97" s="25" t="s">
        <v>13</v>
      </c>
      <c r="D97" s="25" t="s">
        <v>14</v>
      </c>
      <c r="E97" s="7" t="s">
        <v>15</v>
      </c>
    </row>
    <row r="98" spans="1:5" ht="48" customHeight="1" x14ac:dyDescent="0.2">
      <c r="A98" s="15" t="s">
        <v>210</v>
      </c>
      <c r="B98" s="30" t="s">
        <v>542</v>
      </c>
      <c r="C98" s="300"/>
      <c r="D98" s="299"/>
      <c r="E98" s="10" t="s">
        <v>2568</v>
      </c>
    </row>
    <row r="99" spans="1:5" ht="47.1" customHeight="1" x14ac:dyDescent="0.2">
      <c r="A99" s="15" t="s">
        <v>228</v>
      </c>
      <c r="B99" s="30" t="s">
        <v>2567</v>
      </c>
      <c r="C99" s="12"/>
      <c r="D99" s="13"/>
      <c r="E99" s="10" t="str">
        <f>IF(C99="","",IF(C99="Yes","Provide a reference to your BCP and supporting documentation or submit it along with this fully-populated HECVAT.","Briefly summarize your response."))</f>
        <v/>
      </c>
    </row>
    <row r="100" spans="1:5" ht="47.1" customHeight="1" x14ac:dyDescent="0.2">
      <c r="A100" s="15" t="s">
        <v>229</v>
      </c>
      <c r="B100" s="30" t="s">
        <v>119</v>
      </c>
      <c r="C100" s="12"/>
      <c r="D100" s="103"/>
      <c r="E100" s="10" t="str">
        <f>IF(C100="","",IF(C100="Yes","Provide additional details, as needed.","Describe any plans to define a BCP owner responsible for maintenance and review."))</f>
        <v/>
      </c>
    </row>
    <row r="101" spans="1:5" ht="47.1" customHeight="1" x14ac:dyDescent="0.2">
      <c r="A101" s="15" t="s">
        <v>230</v>
      </c>
      <c r="B101" s="30" t="s">
        <v>122</v>
      </c>
      <c r="C101" s="12"/>
      <c r="D101" s="13"/>
      <c r="E101" s="10" t="str">
        <f>IF(C101="","",IF(C101="Yes","Summarize your defined problem/issue escalation plan contained in your BCP.","Describe any plans to define a problem/issue escalation plan in your BCP."))</f>
        <v/>
      </c>
    </row>
    <row r="102" spans="1:5" ht="47.1" customHeight="1" x14ac:dyDescent="0.2">
      <c r="A102" s="15" t="s">
        <v>231</v>
      </c>
      <c r="B102" s="30" t="s">
        <v>123</v>
      </c>
      <c r="C102" s="12"/>
      <c r="D102" s="13"/>
      <c r="E102" s="10" t="str">
        <f>IF(C102="","",IF(C102="Yes","Summarize your documented communication plan contained in your BCP.","Describe any plans to document a communication plan in your BCP."))</f>
        <v/>
      </c>
    </row>
    <row r="103" spans="1:5" ht="48" customHeight="1" x14ac:dyDescent="0.2">
      <c r="A103" s="15" t="s">
        <v>232</v>
      </c>
      <c r="B103" s="30" t="s">
        <v>543</v>
      </c>
      <c r="C103" s="12"/>
      <c r="D103" s="13"/>
      <c r="E103" s="10" t="str">
        <f>IF(C103="","",IF(C103="Yes","Describe your BCP component review strategy.","Describe any plans to annually review and update (as needed) your BCP."))</f>
        <v/>
      </c>
    </row>
    <row r="104" spans="1:5" ht="48" customHeight="1" x14ac:dyDescent="0.2">
      <c r="A104" s="15" t="s">
        <v>233</v>
      </c>
      <c r="B104" s="30" t="s">
        <v>2069</v>
      </c>
      <c r="C104" s="12"/>
      <c r="D104" s="13"/>
      <c r="E104" s="10" t="str">
        <f>IF(C104="","",IF(C104="Yes","State the date of your last BCP test.","Describe your strategy to implement annual BCP testing."))</f>
        <v/>
      </c>
    </row>
    <row r="105" spans="1:5" ht="47.1" customHeight="1" x14ac:dyDescent="0.2">
      <c r="A105" s="15" t="s">
        <v>234</v>
      </c>
      <c r="B105" s="30" t="s">
        <v>124</v>
      </c>
      <c r="C105" s="12"/>
      <c r="D105" s="13"/>
      <c r="E105" s="10" t="str">
        <f>IF(C105="","",IF(C105="Yes","Describe your training and awareness activities.","State your plans to implement training and awareness activities focused on roles and responsibilities during a crisis."))</f>
        <v/>
      </c>
    </row>
    <row r="106" spans="1:5" ht="47.1" customHeight="1" x14ac:dyDescent="0.2">
      <c r="A106" s="15" t="s">
        <v>235</v>
      </c>
      <c r="B106" s="30" t="s">
        <v>125</v>
      </c>
      <c r="C106" s="12"/>
      <c r="D106" s="13"/>
      <c r="E106" s="10" t="str">
        <f>IF(C106="","",IF(C106="Yes","Summarize these crisis management roles and responsibilities.","State your plans to define and document crisis management roles and responsibilities."))</f>
        <v/>
      </c>
    </row>
    <row r="107" spans="1:5" ht="47.1" customHeight="1" x14ac:dyDescent="0.2">
      <c r="A107" s="15" t="s">
        <v>236</v>
      </c>
      <c r="B107" s="30" t="s">
        <v>126</v>
      </c>
      <c r="C107" s="12"/>
      <c r="D107" s="13"/>
      <c r="E107" s="10" t="str">
        <f>IF(C107="","",IF(C107="Yes","Provide the distance (in miles) between the primary and secondary locations.","Describe your plans to coordinate an alternative business site or contract with a business recovery provider?"))</f>
        <v/>
      </c>
    </row>
    <row r="108" spans="1:5" ht="47.1" customHeight="1" x14ac:dyDescent="0.2">
      <c r="A108" s="15" t="s">
        <v>237</v>
      </c>
      <c r="B108" s="30" t="s">
        <v>2649</v>
      </c>
      <c r="C108" s="12"/>
      <c r="D108" s="13"/>
      <c r="E108" s="10" t="str">
        <f>IF(C108="","",IF(C108="Yes","State the date of your last alternate site relocation test.","Describe your strategy to implement annual alternate site relocation testing."))</f>
        <v/>
      </c>
    </row>
    <row r="109" spans="1:5" ht="64.349999999999994" customHeight="1" x14ac:dyDescent="0.2">
      <c r="A109" s="15" t="s">
        <v>238</v>
      </c>
      <c r="B109" s="30" t="s">
        <v>2070</v>
      </c>
      <c r="C109" s="12"/>
      <c r="D109" s="13"/>
      <c r="E109" s="10" t="str">
        <f>IF(C109="","",IF(C109="Yes","Provide a brief summary to support your selection.","Summarize this product's restoration priority in your BCP."))</f>
        <v/>
      </c>
    </row>
    <row r="110" spans="1:5" ht="36" customHeight="1" x14ac:dyDescent="0.2">
      <c r="A110" s="301" t="str">
        <f>IF($C$30="","Change Management",IF($C$30="Yes","Change Management - Optional based on QUALIFIER response.","Change Management"))</f>
        <v>Change Management</v>
      </c>
      <c r="B110" s="301"/>
      <c r="C110" s="25" t="s">
        <v>13</v>
      </c>
      <c r="D110" s="25" t="s">
        <v>14</v>
      </c>
      <c r="E110" s="7" t="s">
        <v>15</v>
      </c>
    </row>
    <row r="111" spans="1:5" ht="48" customHeight="1" x14ac:dyDescent="0.2">
      <c r="A111" s="15" t="s">
        <v>239</v>
      </c>
      <c r="B111" s="30" t="s">
        <v>101</v>
      </c>
      <c r="C111" s="12"/>
      <c r="D111" s="13"/>
      <c r="E111" s="10" t="str">
        <f>IF(C111="","",IF(C111="Yes","Summarize your current change management process.","Describe current plans to implement a change management process."))</f>
        <v/>
      </c>
    </row>
    <row r="112" spans="1:5" ht="80.099999999999994" customHeight="1" x14ac:dyDescent="0.2">
      <c r="A112" s="15" t="s">
        <v>240</v>
      </c>
      <c r="B112" s="30" t="s">
        <v>504</v>
      </c>
      <c r="C112" s="300"/>
      <c r="D112" s="299"/>
      <c r="E112" s="10" t="s">
        <v>2569</v>
      </c>
    </row>
    <row r="113" spans="1:256" ht="64.349999999999994" customHeight="1" x14ac:dyDescent="0.2">
      <c r="A113" s="15" t="s">
        <v>241</v>
      </c>
      <c r="B113" s="30" t="s">
        <v>2071</v>
      </c>
      <c r="C113" s="12"/>
      <c r="D113" s="138"/>
      <c r="E113" s="134" t="str">
        <f>IF(C113="","",IF(C113="Yes","State how and when the Institution will be notified of major changes to your environment.","Describe plans to establish a notification mechanism for major environmental changes."))</f>
        <v/>
      </c>
    </row>
    <row r="114" spans="1:256" ht="64.349999999999994" customHeight="1" x14ac:dyDescent="0.2">
      <c r="A114" s="15" t="s">
        <v>242</v>
      </c>
      <c r="B114" s="30" t="s">
        <v>98</v>
      </c>
      <c r="C114" s="12"/>
      <c r="D114" s="137"/>
      <c r="E114" s="10" t="str">
        <f>IF(C114="","",IF(C114="Yes","Provide reference the the process/procedure to manage releases.","Summarize why clients do not have alternative release option."))</f>
        <v/>
      </c>
    </row>
    <row r="115" spans="1:256" ht="64.349999999999994" customHeight="1" x14ac:dyDescent="0.2">
      <c r="A115" s="15" t="s">
        <v>243</v>
      </c>
      <c r="B115" s="30" t="s">
        <v>450</v>
      </c>
      <c r="C115" s="300"/>
      <c r="D115" s="299"/>
      <c r="E115" s="10" t="s">
        <v>2570</v>
      </c>
    </row>
    <row r="116" spans="1:256" ht="64.349999999999994" customHeight="1" x14ac:dyDescent="0.2">
      <c r="A116" s="15" t="s">
        <v>244</v>
      </c>
      <c r="B116" s="30" t="s">
        <v>112</v>
      </c>
      <c r="C116" s="300"/>
      <c r="D116" s="299"/>
      <c r="E116" s="10" t="s">
        <v>2571</v>
      </c>
    </row>
    <row r="117" spans="1:256" ht="64.349999999999994" customHeight="1" x14ac:dyDescent="0.2">
      <c r="A117" s="15" t="s">
        <v>245</v>
      </c>
      <c r="B117" s="30" t="s">
        <v>2072</v>
      </c>
      <c r="C117" s="12"/>
      <c r="D117" s="137"/>
      <c r="E117" s="10" t="str">
        <f>IF(C117="","",IF(C117="Yes","Describe how this is accomplished within your system.","Describe any business or technical reasons why customizations are not supported."))</f>
        <v/>
      </c>
    </row>
    <row r="118" spans="1:256" ht="64.349999999999994" customHeight="1" x14ac:dyDescent="0.2">
      <c r="A118" s="15" t="s">
        <v>246</v>
      </c>
      <c r="B118" s="30" t="s">
        <v>2076</v>
      </c>
      <c r="C118" s="12"/>
      <c r="D118" s="137"/>
      <c r="E118" s="10" t="str">
        <f>IF(C118="","",IF(C118="Yes","Describe how this is accomplished within your environment.","Describe your plans to ensure that only application software verifiable as authorized, tested, and approved for production, is placed into production."))</f>
        <v/>
      </c>
    </row>
    <row r="119" spans="1:256" ht="64.349999999999994" customHeight="1" x14ac:dyDescent="0.2">
      <c r="A119" s="15" t="s">
        <v>247</v>
      </c>
      <c r="B119" s="30" t="s">
        <v>2077</v>
      </c>
      <c r="C119" s="12"/>
      <c r="D119" s="137"/>
      <c r="E119" s="10" t="str">
        <f>IF(C119="","",IF(C119="Yes","Provide a reference to this product's release schedule.","State any plans to release a schedule of product updates."))</f>
        <v/>
      </c>
    </row>
    <row r="120" spans="1:256" ht="64.349999999999994" customHeight="1" x14ac:dyDescent="0.2">
      <c r="A120" s="15" t="s">
        <v>248</v>
      </c>
      <c r="B120" s="30" t="s">
        <v>2078</v>
      </c>
      <c r="C120" s="12"/>
      <c r="D120" s="137"/>
      <c r="E120" s="10" t="str">
        <f>IF(C120="","",IF(C120="Yes","Provide a reference to your technology roadmap.","State any plans to release a technology roadmap covering the next two years."))</f>
        <v/>
      </c>
    </row>
    <row r="121" spans="1:256" ht="64.349999999999994" customHeight="1" x14ac:dyDescent="0.2">
      <c r="A121" s="15" t="s">
        <v>249</v>
      </c>
      <c r="B121" s="30" t="s">
        <v>2079</v>
      </c>
      <c r="C121" s="12"/>
      <c r="D121" s="137"/>
      <c r="E121" s="10" t="str">
        <f>IF(C121="","",IF(C121="Yes","Summarize the Institution's responsibilities during product updates.",""))</f>
        <v/>
      </c>
    </row>
    <row r="122" spans="1:256" ht="64.349999999999994" customHeight="1" x14ac:dyDescent="0.2">
      <c r="A122" s="15" t="s">
        <v>250</v>
      </c>
      <c r="B122" s="30" t="s">
        <v>2080</v>
      </c>
      <c r="C122" s="12"/>
      <c r="D122" s="137"/>
      <c r="E122" s="10" t="str">
        <f>IF(C122="","",IF(C122="Yes","Summarize the policy and procedure(s) managing how critical patches are applied to systems and applications.","State your plans to implement policy and procedure(s) to manage how critical patches are applied to systems and applications."))</f>
        <v/>
      </c>
    </row>
    <row r="123" spans="1:256" ht="64.349999999999994" customHeight="1" x14ac:dyDescent="0.2">
      <c r="A123" s="15" t="s">
        <v>251</v>
      </c>
      <c r="B123" s="30" t="s">
        <v>2081</v>
      </c>
      <c r="C123" s="12"/>
      <c r="D123" s="137"/>
      <c r="E123" s="10" t="str">
        <f>IF(C123="","",IF(C123="Yes","Summarize the policy and procedure(s) guiding risk mitigation practices before critical patches can be applied.","State your plans to implement policy and procedure(s) guiding risk mitigation practices before critical patches can be applied."))</f>
        <v/>
      </c>
    </row>
    <row r="124" spans="1:256" ht="48" customHeight="1" x14ac:dyDescent="0.2">
      <c r="A124" s="15" t="s">
        <v>252</v>
      </c>
      <c r="B124" s="30" t="s">
        <v>102</v>
      </c>
      <c r="C124" s="12"/>
      <c r="D124" s="137"/>
      <c r="E124" s="10" t="str">
        <f>IF(C124="","",IF(C124="Yes","Define current off-peak hours.","Decribe plans to minimize the impact of downtime based on predefined off-peak hours."))</f>
        <v/>
      </c>
    </row>
    <row r="125" spans="1:256" ht="48" customHeight="1" x14ac:dyDescent="0.2">
      <c r="A125" s="15" t="s">
        <v>253</v>
      </c>
      <c r="B125" s="30" t="s">
        <v>103</v>
      </c>
      <c r="C125" s="12"/>
      <c r="D125" s="137"/>
      <c r="E125" s="10" t="str">
        <f>IF(C125="","",IF(C125="Yes","Summarize implemented procedures ensuring that emergency changes are documented and authorized.","Describe plans to implement procedure ensuring that emergency changes are documented and authorized."))</f>
        <v/>
      </c>
    </row>
    <row r="126" spans="1:256" ht="36" customHeight="1" x14ac:dyDescent="0.2">
      <c r="A126" s="301" t="str">
        <f>IF($C$30="","Data",IF($C$30="Yes","Data - Optional based on QUALIFIER response.","Data"))</f>
        <v>Data</v>
      </c>
      <c r="B126" s="301"/>
      <c r="C126" s="25" t="s">
        <v>13</v>
      </c>
      <c r="D126" s="25" t="s">
        <v>14</v>
      </c>
      <c r="E126" s="7" t="s">
        <v>15</v>
      </c>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ht="48" customHeight="1" x14ac:dyDescent="0.2">
      <c r="A127" s="68" t="s">
        <v>254</v>
      </c>
      <c r="B127" s="30" t="s">
        <v>2082</v>
      </c>
      <c r="C127" s="23"/>
      <c r="D127" s="32"/>
      <c r="E127" s="10" t="str">
        <f>IF(C127="","",IF(C127="Yes","Describe or provide a reference to how institution data is physically and logically separated from that of other customers.","Describe your plan to physically and logically separate Institution's data from other customers."))</f>
        <v/>
      </c>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48" customHeight="1" x14ac:dyDescent="0.2">
      <c r="A128" s="68" t="s">
        <v>255</v>
      </c>
      <c r="B128" s="30" t="s">
        <v>544</v>
      </c>
      <c r="C128" s="23"/>
      <c r="D128" s="32"/>
      <c r="E128" s="10" t="str">
        <f>IF(C128="","",IF(C128="Yes","State the need for this strategy, in detail.",""))</f>
        <v/>
      </c>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48" customHeight="1" x14ac:dyDescent="0.2">
      <c r="A129" s="68" t="s">
        <v>256</v>
      </c>
      <c r="B129" s="30" t="s">
        <v>2575</v>
      </c>
      <c r="C129" s="23"/>
      <c r="D129" s="32"/>
      <c r="E129" s="10" t="str">
        <f>IF(C129="","",IF(C129="Yes","Summarize your transport encryption strategy.","Decribe why sensitive data in not encrypted in transport."))</f>
        <v/>
      </c>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48" customHeight="1" x14ac:dyDescent="0.2">
      <c r="A130" s="68" t="s">
        <v>257</v>
      </c>
      <c r="B130" s="30" t="s">
        <v>473</v>
      </c>
      <c r="C130" s="23"/>
      <c r="D130" s="32"/>
      <c r="E130" s="10" t="str">
        <f>IF(C130="","",IF(C130="Yes","Summarize your data encryption strategy.","Decribe why sensitive data in not encrypted in storage."))</f>
        <v/>
      </c>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48" customHeight="1" x14ac:dyDescent="0.2">
      <c r="A131" s="68" t="s">
        <v>258</v>
      </c>
      <c r="B131" s="30" t="s">
        <v>452</v>
      </c>
      <c r="C131" s="23"/>
      <c r="D131" s="32"/>
      <c r="E131" s="10" t="str">
        <f>IF(C131="","",IF(C131="Yes","Provide a detailed description of all non-conforming modules.",""))</f>
        <v/>
      </c>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65.099999999999994" customHeight="1" x14ac:dyDescent="0.2">
      <c r="A132" s="68" t="s">
        <v>259</v>
      </c>
      <c r="B132" s="30" t="s">
        <v>2576</v>
      </c>
      <c r="C132" s="23"/>
      <c r="D132" s="32"/>
      <c r="E132" s="10" t="str">
        <f>IF(C132="","","Include all types of encryption; remote-access, application/database, end-user-to-system, etc.")</f>
        <v/>
      </c>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ht="60" customHeight="1" x14ac:dyDescent="0.2">
      <c r="A133" s="68" t="s">
        <v>260</v>
      </c>
      <c r="B133" s="30" t="s">
        <v>521</v>
      </c>
      <c r="C133" s="311"/>
      <c r="D133" s="312"/>
      <c r="E133" s="10" t="s">
        <v>2572</v>
      </c>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ht="48" customHeight="1" x14ac:dyDescent="0.2">
      <c r="A134" s="68" t="s">
        <v>261</v>
      </c>
      <c r="B134" s="30" t="s">
        <v>522</v>
      </c>
      <c r="C134" s="23"/>
      <c r="D134" s="104"/>
      <c r="E134" s="10" t="str">
        <f>IF(C134="","",IF(C134="Yes","Describe how data will be returned to the institution and in what format will it be presented.","Summarize why the institution's data won't be returned."))</f>
        <v/>
      </c>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ht="48" customHeight="1" x14ac:dyDescent="0.2">
      <c r="A135" s="68" t="s">
        <v>262</v>
      </c>
      <c r="B135" s="30" t="s">
        <v>2577</v>
      </c>
      <c r="C135" s="23"/>
      <c r="D135" s="104"/>
      <c r="E135" s="10" t="str">
        <f>IF(C135="","",IF(C135="Yes","State the length of time that Institution's data will be available in the system at the completion of the contract.","Describe your data export procedures conducted at the termination of contract."))</f>
        <v/>
      </c>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ht="48" customHeight="1" x14ac:dyDescent="0.2">
      <c r="A136" s="68" t="s">
        <v>263</v>
      </c>
      <c r="B136" s="30" t="s">
        <v>523</v>
      </c>
      <c r="C136" s="23"/>
      <c r="D136" s="32"/>
      <c r="E136" s="10" t="str">
        <f>IF(C136="","",IF(C136="Yes","Describe frequency and procedures for obtaining a full backup of data.","Summarize why the institution cannot extract a full backup of its data."))</f>
        <v/>
      </c>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ht="48" customHeight="1" x14ac:dyDescent="0.2">
      <c r="A137" s="68" t="s">
        <v>264</v>
      </c>
      <c r="B137" s="30" t="s">
        <v>2578</v>
      </c>
      <c r="C137" s="23"/>
      <c r="D137" s="32"/>
      <c r="E137" s="10" t="str">
        <f>IF(C137="","",IF(C137="Yes","Provide reference to your data ownership documention.","Describe in detail why ownership rights are not retained by the institution."))</f>
        <v/>
      </c>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row>
    <row r="138" spans="1:256" ht="48" customHeight="1" x14ac:dyDescent="0.2">
      <c r="A138" s="68" t="s">
        <v>265</v>
      </c>
      <c r="B138" s="30" t="s">
        <v>99</v>
      </c>
      <c r="C138" s="23"/>
      <c r="D138" s="32"/>
      <c r="E138" s="10" t="str">
        <f>IF(C138="","",IF(C138="Yes","Provide references, as needed.","Provide a detailed description why rights are not retained."))</f>
        <v/>
      </c>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ht="54" customHeight="1" x14ac:dyDescent="0.2">
      <c r="A139" s="68" t="s">
        <v>266</v>
      </c>
      <c r="B139" s="30" t="s">
        <v>100</v>
      </c>
      <c r="C139" s="23"/>
      <c r="D139" s="32"/>
      <c r="E139" s="10" t="str">
        <f>IF(C139="","",IF(C139="Yes","State how the institution will be notified of imminent termination.","Provide a detailed summary to support your selection."))</f>
        <v/>
      </c>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48" customHeight="1" x14ac:dyDescent="0.2">
      <c r="A140" s="68" t="s">
        <v>267</v>
      </c>
      <c r="B140" s="30" t="s">
        <v>447</v>
      </c>
      <c r="C140" s="311"/>
      <c r="D140" s="312"/>
      <c r="E140" s="10" t="s">
        <v>2573</v>
      </c>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2">
      <c r="A141" s="15" t="s">
        <v>268</v>
      </c>
      <c r="B141" s="30" t="s">
        <v>105</v>
      </c>
      <c r="C141" s="23"/>
      <c r="D141" s="32"/>
      <c r="E141" s="10" t="str">
        <f>IF(C141="","",IF(C141="Yes","Summarize your backup scheduling strategy.","Describe plans to implement pre-defined schedules for secure backups."))</f>
        <v/>
      </c>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2">
      <c r="A142" s="15" t="s">
        <v>269</v>
      </c>
      <c r="B142" s="30" t="s">
        <v>23</v>
      </c>
      <c r="C142" s="311"/>
      <c r="D142" s="312"/>
      <c r="E142" s="10" t="s">
        <v>2574</v>
      </c>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2">
      <c r="A143" s="15" t="s">
        <v>270</v>
      </c>
      <c r="B143" s="30" t="s">
        <v>545</v>
      </c>
      <c r="C143" s="23"/>
      <c r="D143" s="104"/>
      <c r="E143" s="10" t="str">
        <f>IF(C143="","",IF(C143="Yes","Summarize the encryption algorithm/strategy you are using to secure backups.","Summarize why backups are not encrypted."))</f>
        <v/>
      </c>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72" customHeight="1" x14ac:dyDescent="0.2">
      <c r="A144" s="15" t="s">
        <v>271</v>
      </c>
      <c r="B144" s="30" t="s">
        <v>2651</v>
      </c>
      <c r="C144" s="23"/>
      <c r="D144" s="33"/>
      <c r="E144" s="10" t="str">
        <f>IF(C144="","",IF(C144="Yes","Summarize your cryptographic key management process.","Provide a brief summary supporting your response."))</f>
        <v/>
      </c>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48" customHeight="1" x14ac:dyDescent="0.2">
      <c r="A145" s="15" t="s">
        <v>272</v>
      </c>
      <c r="B145" s="30" t="s">
        <v>546</v>
      </c>
      <c r="C145" s="23"/>
      <c r="D145" s="32"/>
      <c r="E145" s="10" t="str">
        <f>IF(C145="","",IF(C145="Yes","Decribe your overall strategy to accomplish these elements.","State plans to include the elements listed in DATA-20 in your backup strategy."))</f>
        <v/>
      </c>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48" customHeight="1" x14ac:dyDescent="0.2">
      <c r="A146" s="15" t="s">
        <v>273</v>
      </c>
      <c r="B146" s="30" t="s">
        <v>2579</v>
      </c>
      <c r="C146" s="23"/>
      <c r="D146" s="32"/>
      <c r="E146" s="10" t="str">
        <f>IF(C146="","",IF(C146="Yes","Summarize your off site backup strategy.","State any plans to implement off site physical backups in your environment."))</f>
        <v/>
      </c>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48" customHeight="1" x14ac:dyDescent="0.2">
      <c r="A147" s="15" t="s">
        <v>274</v>
      </c>
      <c r="B147" s="30" t="s">
        <v>547</v>
      </c>
      <c r="C147" s="23"/>
      <c r="D147" s="32"/>
      <c r="E147" s="10" t="str">
        <f>IF(C147="","",IF(C147="Yes","Provide the distance (in miles) between the primary and off-site locations.","State any plans to implement off site physical backups in your environment."))</f>
        <v/>
      </c>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2">
      <c r="A148" s="15" t="s">
        <v>275</v>
      </c>
      <c r="B148" s="30" t="s">
        <v>2635</v>
      </c>
      <c r="C148" s="23"/>
      <c r="D148" s="32"/>
      <c r="E148" s="10" t="str">
        <f>IF(C148="","",IF(C148="Yes","Summarize why backups containing the Institution's data leave the Institution's data zone.",""))</f>
        <v/>
      </c>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73.349999999999994" customHeight="1" x14ac:dyDescent="0.2">
      <c r="A149" s="15" t="s">
        <v>276</v>
      </c>
      <c r="B149" s="30" t="s">
        <v>2650</v>
      </c>
      <c r="C149" s="23"/>
      <c r="D149" s="206"/>
      <c r="E149" s="207" t="str">
        <f>IF(C149="","",IF(C149="Yes","Provide details of these procedures (link or attached).","Provide a detailed summary for this response."))</f>
        <v/>
      </c>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48" customHeight="1" x14ac:dyDescent="0.2">
      <c r="A150" s="15" t="s">
        <v>277</v>
      </c>
      <c r="B150" s="30" t="s">
        <v>2658</v>
      </c>
      <c r="C150" s="23"/>
      <c r="D150" s="32"/>
      <c r="E150" s="10" t="str">
        <f>IF(C150="","",IF(C150="Yes","","State plans to adhere to DoD 5220.22-M and/or NIST SP 800-88 standards."))</f>
        <v/>
      </c>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2">
      <c r="A151" s="15" t="s">
        <v>278</v>
      </c>
      <c r="B151" s="30" t="s">
        <v>107</v>
      </c>
      <c r="C151" s="23"/>
      <c r="D151" s="32"/>
      <c r="E151" s="10" t="str">
        <f>IF(C151="","",IF(C151="Yes","Provide a general summary of your long-term data retention strategy.","State plans to implement a long-term data retention strategy."))</f>
        <v/>
      </c>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2">
      <c r="A152" s="15" t="s">
        <v>279</v>
      </c>
      <c r="B152" s="30" t="s">
        <v>106</v>
      </c>
      <c r="C152" s="23"/>
      <c r="D152" s="32"/>
      <c r="E152" s="10" t="str">
        <f>IF(C152="","",IF(C152="Yes","Provide a general summary of your archival environment.","State plans to store long-term media in environmentally protected areas."))</f>
        <v/>
      </c>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2">
      <c r="A153" s="15" t="s">
        <v>280</v>
      </c>
      <c r="B153" s="30" t="s">
        <v>24</v>
      </c>
      <c r="C153" s="23"/>
      <c r="D153" s="32"/>
      <c r="E153" s="10" t="str">
        <f>IF(C153="","",IF(C153="Yes","Describe how FERPA compliance is integrated into your process and procedures.","State plans to handle data in a FERPA compliant manner."))</f>
        <v/>
      </c>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2">
      <c r="A154" s="15" t="s">
        <v>281</v>
      </c>
      <c r="B154" s="30" t="s">
        <v>524</v>
      </c>
      <c r="C154" s="23"/>
      <c r="D154" s="13"/>
      <c r="E154" s="10" t="str">
        <f>IF(C154="","",IF(C154="Yes","Summarize why the Institution's data is visible in system adminitration modules/tools.",""))</f>
        <v/>
      </c>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36" customHeight="1" x14ac:dyDescent="0.2">
      <c r="A155" s="301" t="str">
        <f>IF($C$30="","Database",IF($C$30="Yes","Database - Optional based on QUALIFIER response.","Database"))</f>
        <v>Database</v>
      </c>
      <c r="B155" s="301"/>
      <c r="C155" s="25" t="s">
        <v>13</v>
      </c>
      <c r="D155" s="25" t="s">
        <v>14</v>
      </c>
      <c r="E155" s="7" t="s">
        <v>15</v>
      </c>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2">
      <c r="A156" s="15" t="s">
        <v>282</v>
      </c>
      <c r="B156" s="30" t="s">
        <v>25</v>
      </c>
      <c r="C156" s="12"/>
      <c r="D156" s="13"/>
      <c r="E156" s="10" t="str">
        <f>IF(C156="","",IF(C156="Yes","Describe the type of encryption that is supported.","State plans to support database encryption (in storage) of specified data elements."))</f>
        <v/>
      </c>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2">
      <c r="A157" s="15" t="s">
        <v>283</v>
      </c>
      <c r="B157" s="30" t="s">
        <v>559</v>
      </c>
      <c r="C157" s="12"/>
      <c r="D157" s="13"/>
      <c r="E157" s="10" t="str">
        <f>IF(C157="","",IF(C157="Yes","Describe how encryption is leveraged in your database(s).","Describe plans to implement encryption in your database(s)"))</f>
        <v/>
      </c>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36" customHeight="1" x14ac:dyDescent="0.2">
      <c r="A158" s="301" t="str">
        <f>IF($C$30="","Datacenter",IF($C$30="Yes","Datacenter - Optional based on QUALIFIER response.","Datacenter"))</f>
        <v>Datacenter</v>
      </c>
      <c r="B158" s="301"/>
      <c r="C158" s="25" t="s">
        <v>13</v>
      </c>
      <c r="D158" s="25" t="s">
        <v>14</v>
      </c>
      <c r="E158" s="7" t="s">
        <v>15</v>
      </c>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9.35" customHeight="1" x14ac:dyDescent="0.2">
      <c r="A159" s="15" t="s">
        <v>284</v>
      </c>
      <c r="B159" s="30" t="s">
        <v>548</v>
      </c>
      <c r="C159" s="12"/>
      <c r="D159" s="13"/>
      <c r="E159" s="10" t="str">
        <f>IF(C159="","",IF(C159="Yes","Provide a brief summary of your data center.","Provide a detailed description of where the Institution's data will reside."))</f>
        <v/>
      </c>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2">
      <c r="A160" s="15" t="s">
        <v>285</v>
      </c>
      <c r="B160" s="30" t="s">
        <v>505</v>
      </c>
      <c r="C160" s="12"/>
      <c r="D160" s="13"/>
      <c r="E160" s="10" t="str">
        <f>IF(C160="","",IF(C160="Yes","Obtain the report if possible and add it to your submission.",""))</f>
        <v/>
      </c>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2">
      <c r="A161" s="15" t="s">
        <v>286</v>
      </c>
      <c r="B161" s="30" t="s">
        <v>2999</v>
      </c>
      <c r="C161" s="12"/>
      <c r="D161" s="13"/>
      <c r="E161" s="10" t="str">
        <f>IF(C161="","",IF(C161="Yes","Describe the on-site staff capabilities.","State any plans to staff data centers 24x7x365."))</f>
        <v/>
      </c>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7.1" customHeight="1" x14ac:dyDescent="0.2">
      <c r="A162" s="15" t="s">
        <v>287</v>
      </c>
      <c r="B162" s="30" t="s">
        <v>26</v>
      </c>
      <c r="C162" s="12"/>
      <c r="D162" s="13"/>
      <c r="E162" s="10" t="str">
        <f>IF(C162="","",IF(C162="Yes","Provide a brief summary of this arrangement.",""))</f>
        <v/>
      </c>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47.1" customHeight="1" x14ac:dyDescent="0.2">
      <c r="A163" s="15" t="s">
        <v>288</v>
      </c>
      <c r="B163" s="30" t="s">
        <v>27</v>
      </c>
      <c r="C163" s="12"/>
      <c r="D163" s="13"/>
      <c r="E163" s="10" t="str">
        <f>IF(C163="","",IF(C163="Yes","Describe your physical barrier strategy.","State plans to separate your servers for others via a physical barrier."))</f>
        <v/>
      </c>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2">
      <c r="A164" s="15" t="s">
        <v>289</v>
      </c>
      <c r="B164" s="30" t="s">
        <v>2652</v>
      </c>
      <c r="C164" s="12"/>
      <c r="D164" s="13"/>
      <c r="E164" s="10" t="str">
        <f>IF(C164="","",IF(C164="Yes","Elaborate on your DCTR-05 response, as needed.","State plans to implement a physical barrier to prevent physical contact with any of your devices."))</f>
        <v/>
      </c>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7.1" customHeight="1" x14ac:dyDescent="0.2">
      <c r="A165" s="15" t="s">
        <v>290</v>
      </c>
      <c r="B165" s="30" t="s">
        <v>29</v>
      </c>
      <c r="C165" s="12"/>
      <c r="D165" s="13"/>
      <c r="E165" s="10" t="s">
        <v>2580</v>
      </c>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8" customHeight="1" x14ac:dyDescent="0.2">
      <c r="A166" s="15" t="s">
        <v>291</v>
      </c>
      <c r="B166" s="30" t="s">
        <v>2096</v>
      </c>
      <c r="C166" s="12"/>
      <c r="D166" s="13"/>
      <c r="E166" s="10" t="str">
        <f>IF(C166="","",IF(C166="Yes","State the location of the data center and summarize the strategy for this implementation.",""))</f>
        <v/>
      </c>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2">
      <c r="A167" s="15" t="s">
        <v>292</v>
      </c>
      <c r="B167" s="30" t="s">
        <v>2610</v>
      </c>
      <c r="C167" s="12"/>
      <c r="D167" s="13"/>
      <c r="E167" s="10" t="str">
        <f>IF(C167="","",IF(C167="Yes","Summarize the strategy for removing Institution's data from its Data Zone.",""))</f>
        <v/>
      </c>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64.349999999999994" customHeight="1" x14ac:dyDescent="0.2">
      <c r="A168" s="15" t="s">
        <v>293</v>
      </c>
      <c r="B168" s="30" t="s">
        <v>2637</v>
      </c>
      <c r="C168" s="299"/>
      <c r="D168" s="299"/>
      <c r="E168" s="10" t="s">
        <v>2581</v>
      </c>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54" customHeight="1" x14ac:dyDescent="0.2">
      <c r="A169" s="15" t="s">
        <v>294</v>
      </c>
      <c r="B169" s="30" t="s">
        <v>28</v>
      </c>
      <c r="C169" s="12"/>
      <c r="D169" s="13"/>
      <c r="E169" s="10" t="str">
        <f>IF(C169="","",IF(C169="Yes","State your primary and secondary data center locations. For cloud infrastructures, state the primary and secondary zones.","Decribe any plans to implement a geographically diverse infrastructure."))</f>
        <v/>
      </c>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8" customHeight="1" x14ac:dyDescent="0.2">
      <c r="A170" s="15" t="s">
        <v>295</v>
      </c>
      <c r="B170" s="30" t="s">
        <v>2611</v>
      </c>
      <c r="C170" s="12"/>
      <c r="D170" s="13"/>
      <c r="E170" s="10" t="str">
        <f>IF(C170="","",IF(C170="Yes","Summarize details of the contract, where applicable.","State any plans to implement data location elements in future contracts."))</f>
        <v/>
      </c>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64.349999999999994" customHeight="1" x14ac:dyDescent="0.2">
      <c r="A171" s="15" t="s">
        <v>296</v>
      </c>
      <c r="B171" s="30" t="s">
        <v>104</v>
      </c>
      <c r="C171" s="12"/>
      <c r="D171" s="33"/>
      <c r="E171" s="10" t="s">
        <v>2582</v>
      </c>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s="1" customFormat="1" ht="48" customHeight="1" x14ac:dyDescent="0.2">
      <c r="A172" s="15" t="s">
        <v>297</v>
      </c>
      <c r="B172" s="30" t="s">
        <v>467</v>
      </c>
      <c r="C172" s="12"/>
      <c r="D172" s="13"/>
      <c r="E172" s="10" t="str">
        <f>IF(C172="","",IF(C172="Yes","Provide a summary to support your response selection.","Describe any plans to implement a high availability environment for your systems."))</f>
        <v/>
      </c>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row>
    <row r="173" spans="1:256" ht="48" customHeight="1" x14ac:dyDescent="0.2">
      <c r="A173" s="15" t="s">
        <v>298</v>
      </c>
      <c r="B173" s="30" t="s">
        <v>525</v>
      </c>
      <c r="C173" s="12"/>
      <c r="D173" s="13"/>
      <c r="E173" s="10" t="str">
        <f>IF(C173="","",IF(C173="Yes","Provide a detailed description of the implemented strategy. (i.e. batteries, generator)","Provide a brief description."))</f>
        <v/>
      </c>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48" customHeight="1" x14ac:dyDescent="0.2">
      <c r="A174" s="15" t="s">
        <v>299</v>
      </c>
      <c r="B174" s="30" t="s">
        <v>2584</v>
      </c>
      <c r="C174" s="12"/>
      <c r="D174" s="13"/>
      <c r="E174" s="10" t="str">
        <f>IF(C174="","",IF(C174="Yes","State how often redundant power strategies are tested and the date of the last successful test.","State plans to implement redundant power testing for your systems."))</f>
        <v/>
      </c>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48" customHeight="1" x14ac:dyDescent="0.2">
      <c r="A175" s="15" t="s">
        <v>300</v>
      </c>
      <c r="B175" s="30" t="s">
        <v>526</v>
      </c>
      <c r="C175" s="300"/>
      <c r="D175" s="299"/>
      <c r="E175" s="10" t="s">
        <v>2583</v>
      </c>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2">
      <c r="A176" s="15" t="s">
        <v>301</v>
      </c>
      <c r="B176" s="30" t="s">
        <v>549</v>
      </c>
      <c r="C176" s="300"/>
      <c r="D176" s="299"/>
      <c r="E176" s="10" t="s">
        <v>2627</v>
      </c>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2">
      <c r="A177" s="15" t="s">
        <v>302</v>
      </c>
      <c r="B177" s="30" t="s">
        <v>550</v>
      </c>
      <c r="C177" s="12"/>
      <c r="D177" s="13"/>
      <c r="E177" s="10" t="str">
        <f>IF(C177="","",IF(C177="Yes","Provide a brief description for each datacenter.","State plans to implement diversity of path in your network provider connections."))</f>
        <v/>
      </c>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36" customHeight="1" x14ac:dyDescent="0.2">
      <c r="A178" s="301" t="str">
        <f>IF(OR($C$28="No",$C$30="Yes"),"DRP - Respond to as many questions below as possible.","Disaster Recovery Plan")</f>
        <v>Disaster Recovery Plan</v>
      </c>
      <c r="B178" s="301"/>
      <c r="C178" s="25" t="s">
        <v>13</v>
      </c>
      <c r="D178" s="25" t="s">
        <v>14</v>
      </c>
      <c r="E178" s="7" t="s">
        <v>15</v>
      </c>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48" customHeight="1" x14ac:dyDescent="0.2">
      <c r="A179" s="15" t="s">
        <v>303</v>
      </c>
      <c r="B179" s="30" t="s">
        <v>551</v>
      </c>
      <c r="C179" s="299"/>
      <c r="D179" s="299"/>
      <c r="E179" s="10" t="s">
        <v>2586</v>
      </c>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47.1" customHeight="1" x14ac:dyDescent="0.2">
      <c r="A180" s="15" t="s">
        <v>304</v>
      </c>
      <c r="B180" s="30" t="s">
        <v>552</v>
      </c>
      <c r="C180" s="12"/>
      <c r="D180" s="13"/>
      <c r="E180" s="10" t="str">
        <f>IF(C180="","",IF(C180="Yes","State the responsible owner, or position title.","State plans to assign an owner responsible of the maintenance and review of the DRP."))</f>
        <v/>
      </c>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47.1" customHeight="1" x14ac:dyDescent="0.2">
      <c r="A181" s="15" t="s">
        <v>305</v>
      </c>
      <c r="B181" s="30" t="s">
        <v>2585</v>
      </c>
      <c r="C181" s="12"/>
      <c r="D181" s="103"/>
      <c r="E181" s="10" t="str">
        <f>IF(C181="","",IF(C181="Yes","Provide DRP with your submission of this fully-populated HECVAT.",""))</f>
        <v/>
      </c>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ht="47.1" customHeight="1" x14ac:dyDescent="0.2">
      <c r="A182" s="15" t="s">
        <v>306</v>
      </c>
      <c r="B182" s="30" t="s">
        <v>2612</v>
      </c>
      <c r="C182" s="12"/>
      <c r="D182" s="13"/>
      <c r="E182" s="10" t="str">
        <f>IF(C182="","",IF(C182="Yes","List all locations outside of the U.S. and provide a brief summary of each.",""))</f>
        <v/>
      </c>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47.1" customHeight="1" x14ac:dyDescent="0.2">
      <c r="A183" s="15" t="s">
        <v>307</v>
      </c>
      <c r="B183" s="30" t="s">
        <v>2588</v>
      </c>
      <c r="C183" s="12"/>
      <c r="D183" s="13"/>
      <c r="E183" s="10" t="str">
        <f>IF(C183="","",IF(C183="Yes","Summarize your disaster recovery strategy including the type of availability your disaster recovery site provides.","Describe your recovery plans if your primary location is unavailable."))</f>
        <v/>
      </c>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7.1" customHeight="1" x14ac:dyDescent="0.2">
      <c r="A184" s="15" t="s">
        <v>308</v>
      </c>
      <c r="B184" s="30" t="s">
        <v>118</v>
      </c>
      <c r="C184" s="12"/>
      <c r="D184" s="13"/>
      <c r="E184" s="10" t="str">
        <f>IF(C184="","",IF(C184="Yes","Summarize your disaster recovery relocation testing strategy.","State plans to implement disaster recovery relocation testing."))</f>
        <v/>
      </c>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1" customHeight="1" x14ac:dyDescent="0.2">
      <c r="A185" s="15" t="s">
        <v>309</v>
      </c>
      <c r="B185" s="30" t="s">
        <v>121</v>
      </c>
      <c r="C185" s="12"/>
      <c r="D185" s="13"/>
      <c r="E185" s="10" t="str">
        <f>IF(C185="","",IF(C185="Yes","Summarize your problem/issue escalation plan.","Describe your plans to implement a problem/issue escalation plan in your DRP."))</f>
        <v/>
      </c>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1" customHeight="1" x14ac:dyDescent="0.2">
      <c r="A186" s="15" t="s">
        <v>310</v>
      </c>
      <c r="B186" s="30" t="s">
        <v>120</v>
      </c>
      <c r="C186" s="12"/>
      <c r="D186" s="13"/>
      <c r="E186" s="10" t="str">
        <f>IF(C186="","",IF(C186="Yes","Summarize your documented communication plan in your DRP.","Describe your plans to implement a documented communication plan in your DRP."))</f>
        <v/>
      </c>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1" customHeight="1" x14ac:dyDescent="0.2">
      <c r="A187" s="15" t="s">
        <v>311</v>
      </c>
      <c r="B187" s="30" t="s">
        <v>506</v>
      </c>
      <c r="C187" s="299"/>
      <c r="D187" s="299"/>
      <c r="E187" s="10" t="s">
        <v>2587</v>
      </c>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64.349999999999994" customHeight="1" x14ac:dyDescent="0.2">
      <c r="A188" s="15" t="s">
        <v>312</v>
      </c>
      <c r="B188" s="30" t="s">
        <v>903</v>
      </c>
      <c r="C188" s="12"/>
      <c r="D188" s="13"/>
      <c r="E188" s="10" t="str">
        <f>IF(C188="","",IF(C188="Yes","Provide a summary of the results, including actual recovery time.","State the date of your next planned DRP test."))</f>
        <v/>
      </c>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64.349999999999994" customHeight="1" x14ac:dyDescent="0.2">
      <c r="A189" s="15" t="s">
        <v>313</v>
      </c>
      <c r="B189" s="30" t="s">
        <v>114</v>
      </c>
      <c r="C189" s="12"/>
      <c r="D189" s="13"/>
      <c r="E189" s="10" t="str">
        <f>IF(C189="","",IF(C189="Yes","Summarize your recovery time capabilities observations.","Describe plans to implement appropriate tests to identify actual recovery time capabilities."))</f>
        <v/>
      </c>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8" customHeight="1" x14ac:dyDescent="0.2">
      <c r="A190" s="15" t="s">
        <v>314</v>
      </c>
      <c r="B190" s="30" t="s">
        <v>553</v>
      </c>
      <c r="C190" s="12"/>
      <c r="D190" s="13"/>
      <c r="E190" s="10" t="str">
        <f>IF(C190="","",IF(C190="Yes","Summarize your DRP review and update processes and/or procedures.","State plans to implement annual (at a minimum) testing of your DRP."))</f>
        <v/>
      </c>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8" customHeight="1" x14ac:dyDescent="0.2">
      <c r="A191" s="15" t="s">
        <v>315</v>
      </c>
      <c r="B191" s="30" t="s">
        <v>474</v>
      </c>
      <c r="C191" s="12"/>
      <c r="D191" s="13"/>
      <c r="E191" s="10" t="str">
        <f>IF(C191="","",IF(C191="Yes","Summarize your cyber insurance strategy.","Descibe any plans to carry cyber-risk insurance in the future."))</f>
        <v/>
      </c>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36" customHeight="1" x14ac:dyDescent="0.2">
      <c r="A192" s="301" t="str">
        <f>IF($C$30="","Firewalls, IDS, IPS, and Networking",IF($C$30="Yes","FW/IDPS/Networks - Optional based on QUALIFIER response.","Firewalls, IDS, IPS, and Networking"))</f>
        <v>Firewalls, IDS, IPS, and Networking</v>
      </c>
      <c r="B192" s="301"/>
      <c r="C192" s="25" t="s">
        <v>13</v>
      </c>
      <c r="D192" s="25" t="s">
        <v>14</v>
      </c>
      <c r="E192" s="7" t="s">
        <v>15</v>
      </c>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48" customHeight="1" x14ac:dyDescent="0.2">
      <c r="A193" s="15" t="s">
        <v>316</v>
      </c>
      <c r="B193" s="30" t="s">
        <v>32</v>
      </c>
      <c r="C193" s="12"/>
      <c r="D193" s="13"/>
      <c r="E193" s="10" t="str">
        <f>IF(C193="","",IF(C193="Yes","Describe the currently implemented WAF.","Describe compensating controls that protect your web application, if applicable."))</f>
        <v/>
      </c>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48" customHeight="1" x14ac:dyDescent="0.2">
      <c r="A194" s="15" t="s">
        <v>317</v>
      </c>
      <c r="B194" s="30" t="s">
        <v>33</v>
      </c>
      <c r="C194" s="12"/>
      <c r="D194" s="13"/>
      <c r="E194" s="10" t="str">
        <f>IF(C194="","",IF(C194="Yes","Describe the currently implemented SPI firewall.","Describe any plans to implement a SPI firewall."))</f>
        <v/>
      </c>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48" customHeight="1" x14ac:dyDescent="0.2">
      <c r="A195" s="15" t="s">
        <v>318</v>
      </c>
      <c r="B195" s="30" t="s">
        <v>507</v>
      </c>
      <c r="C195" s="299"/>
      <c r="D195" s="299"/>
      <c r="E195" s="10" t="s">
        <v>2590</v>
      </c>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2">
      <c r="A196" s="15" t="s">
        <v>319</v>
      </c>
      <c r="B196" s="30" t="s">
        <v>508</v>
      </c>
      <c r="C196" s="12"/>
      <c r="D196" s="13"/>
      <c r="E196" s="10" t="str">
        <f>IF(C196="","",IF(C196="Yes","Describe your documented firewall change request policy.","Describe your plans to implement a documented policy for firewall change requests."))</f>
        <v/>
      </c>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2">
      <c r="A197" s="15" t="s">
        <v>320</v>
      </c>
      <c r="B197" s="30" t="s">
        <v>108</v>
      </c>
      <c r="C197" s="12"/>
      <c r="D197" s="13"/>
      <c r="E197" s="10" t="str">
        <f>IF(C197="","",IF(C197="Yes","Describe the currently implemented IDS.","Describe your plan to implement a Intrusion Detection System in your environment."))</f>
        <v/>
      </c>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2">
      <c r="A198" s="15" t="s">
        <v>321</v>
      </c>
      <c r="B198" s="30" t="s">
        <v>109</v>
      </c>
      <c r="C198" s="12"/>
      <c r="D198" s="13"/>
      <c r="E198" s="10" t="str">
        <f>IF(C198="","",IF(C198="Yes","Describe the currently implemented IPS.","Describe your plan to implement a Intrusion Prevention System in your environment."))</f>
        <v/>
      </c>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2">
      <c r="A199" s="15" t="s">
        <v>322</v>
      </c>
      <c r="B199" s="30" t="s">
        <v>127</v>
      </c>
      <c r="C199" s="12"/>
      <c r="D199" s="13"/>
      <c r="E199" s="10" t="str">
        <f>IF(C199="","",IF(C199="Yes","Describe the currently implemented host-based IDS solution(s).","Describe your plan to implement host-based Intrusion Detection System capabilities in your environment."))</f>
        <v/>
      </c>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2">
      <c r="A200" s="15" t="s">
        <v>323</v>
      </c>
      <c r="B200" s="30" t="s">
        <v>128</v>
      </c>
      <c r="C200" s="12"/>
      <c r="D200" s="13"/>
      <c r="E200" s="10" t="str">
        <f>IF(C200="","",IF(C200="Yes","Describe the currently implemented host-based IPS solution(s).","Describe your plan to implement host-based Intrusion Prevention System capabilities in your environment."))</f>
        <v/>
      </c>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2">
      <c r="A201" s="15" t="s">
        <v>324</v>
      </c>
      <c r="B201" s="30" t="s">
        <v>2653</v>
      </c>
      <c r="C201" s="12"/>
      <c r="D201" s="33"/>
      <c r="E201" s="207" t="str">
        <f>IF(C201="","",IF(C201="Yes","Describe your NGPT monitoring strategy.","Describe your intent to implement NGPT monitoring."))</f>
        <v/>
      </c>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2">
      <c r="A202" s="15" t="s">
        <v>325</v>
      </c>
      <c r="B202" s="30" t="s">
        <v>110</v>
      </c>
      <c r="C202" s="12"/>
      <c r="D202" s="13"/>
      <c r="E202" s="10" t="str">
        <f>IF(C202="","",IF(C202="Yes","Provide a brief summary of this activity.","State plans to implement 24x7x365 intrusion monitoring in your environment(s)."))</f>
        <v/>
      </c>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2">
      <c r="A203" s="15" t="s">
        <v>326</v>
      </c>
      <c r="B203" s="30" t="s">
        <v>111</v>
      </c>
      <c r="C203" s="299"/>
      <c r="D203" s="299"/>
      <c r="E203" s="10" t="s">
        <v>3000</v>
      </c>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2">
      <c r="A204" s="15" t="s">
        <v>327</v>
      </c>
      <c r="B204" s="30" t="s">
        <v>2589</v>
      </c>
      <c r="C204" s="12"/>
      <c r="D204" s="13"/>
      <c r="E204" s="10" t="str">
        <f>IF(C204="","",IF(C204="Yes","Describe your current network systems logging strategy.","State plans to implement auditing capabilities for your network, firewall, IDS and/or IPS"))</f>
        <v/>
      </c>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36" customHeight="1" x14ac:dyDescent="0.2">
      <c r="A205" s="301" t="str">
        <f>IF(OR($C$25="No",$C$30="Yes"),"Mobile Applications - Optional based on QUALIFIER response.","Mobile Applications")</f>
        <v>Mobile Applications</v>
      </c>
      <c r="B205" s="301"/>
      <c r="C205" s="25" t="s">
        <v>13</v>
      </c>
      <c r="D205" s="25" t="s">
        <v>14</v>
      </c>
      <c r="E205" s="7" t="s">
        <v>15</v>
      </c>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2">
      <c r="A206" s="15" t="s">
        <v>328</v>
      </c>
      <c r="B206" s="30" t="s">
        <v>51</v>
      </c>
      <c r="C206" s="300"/>
      <c r="D206" s="299"/>
      <c r="E206" s="10" t="s">
        <v>2591</v>
      </c>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47.1" customHeight="1" x14ac:dyDescent="0.2">
      <c r="A207" s="15" t="s">
        <v>329</v>
      </c>
      <c r="B207" s="30" t="s">
        <v>509</v>
      </c>
      <c r="C207" s="300"/>
      <c r="D207" s="299"/>
      <c r="E207" s="10" t="s">
        <v>2592</v>
      </c>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8" customHeight="1" x14ac:dyDescent="0.2">
      <c r="A208" s="15" t="s">
        <v>330</v>
      </c>
      <c r="B208" s="30" t="s">
        <v>52</v>
      </c>
      <c r="C208" s="12"/>
      <c r="D208" s="13"/>
      <c r="E208" s="10" t="str">
        <f>IF(C208="","",IF(C208="Yes","State the application title as listed within the trusted source.","Decribe how the application is distributed. Also, state any plans to publish the app to a trusted source."))</f>
        <v/>
      </c>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2">
      <c r="A209" s="15" t="s">
        <v>331</v>
      </c>
      <c r="B209" s="30" t="s">
        <v>53</v>
      </c>
      <c r="C209" s="12"/>
      <c r="D209" s="13"/>
      <c r="E209" s="10" t="str">
        <f>IF(C209="","",IF(C209="Yes","Provide a detailed summary for your response.",""))</f>
        <v/>
      </c>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2">
      <c r="A210" s="15" t="s">
        <v>332</v>
      </c>
      <c r="B210" s="30" t="s">
        <v>2593</v>
      </c>
      <c r="C210" s="12"/>
      <c r="D210" s="13"/>
      <c r="E210" s="10" t="str">
        <f>IF(C210="","",IF(C210="Yes","Describe how data is encrypted in transport. (i.e. from system to app)","Summarize why data is not encrypted in transport. (i.e. from system to app)"))</f>
        <v/>
      </c>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2">
      <c r="A211" s="15" t="s">
        <v>333</v>
      </c>
      <c r="B211" s="30" t="s">
        <v>2594</v>
      </c>
      <c r="C211" s="12"/>
      <c r="D211" s="13"/>
      <c r="E211" s="10" t="str">
        <f>IF(C211="","",IF(C211="Yes","Describe how data is encrypted in storage. (i.e. at-rest within the app)","Summarize why data is not encrypted in storage. (i.e. at-rest within the app)"))</f>
        <v/>
      </c>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2">
      <c r="A212" s="15" t="s">
        <v>334</v>
      </c>
      <c r="B212" s="30" t="s">
        <v>54</v>
      </c>
      <c r="C212" s="12"/>
      <c r="D212" s="13"/>
      <c r="E212" s="10" t="str">
        <f>IF(C212="","",IF(C212="Yes","Summarize your system authentication capabilities.","State any plans to support these authentication systems."))</f>
        <v/>
      </c>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2">
      <c r="A213" s="15" t="s">
        <v>335</v>
      </c>
      <c r="B213" s="30" t="s">
        <v>554</v>
      </c>
      <c r="C213" s="12"/>
      <c r="D213" s="13"/>
      <c r="E213" s="10" t="str">
        <f>IF(C213="","",IF(C213="Yes","Summarize any requirements for the Institution to take advantage of these capabilities.",""))</f>
        <v/>
      </c>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2">
      <c r="A214" s="15" t="s">
        <v>336</v>
      </c>
      <c r="B214" s="30" t="s">
        <v>2595</v>
      </c>
      <c r="C214" s="12"/>
      <c r="D214" s="13"/>
      <c r="E214" s="10" t="str">
        <f>IF(C214="","",IF(C214="Yes","Summarize your secure coding practices.","State plans to update your application to adhere to industry secure coding practices."))</f>
        <v/>
      </c>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2">
      <c r="A215" s="15" t="s">
        <v>337</v>
      </c>
      <c r="B215" s="30" t="s">
        <v>55</v>
      </c>
      <c r="C215" s="12"/>
      <c r="D215" s="13"/>
      <c r="E215" s="10" t="str">
        <f>IF(C215="","",IF(C215="Yes","State the party that performed the test and the date it was conducted. Provide test results and mitigation plans, if any.","Describe any plans to implement mobile application vulnerability testing."))</f>
        <v/>
      </c>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48" customHeight="1" x14ac:dyDescent="0.2">
      <c r="A216" s="30" t="s">
        <v>555</v>
      </c>
      <c r="B216" s="30" t="s">
        <v>2628</v>
      </c>
      <c r="C216" s="299"/>
      <c r="D216" s="299"/>
      <c r="E216" s="10" t="s">
        <v>2622</v>
      </c>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36" customHeight="1" x14ac:dyDescent="0.2">
      <c r="A217" s="301" t="str">
        <f>IF($C$30="","Physical Security",IF($C$30="Yes","Physical Security - Optional based on QUALIFIER response.","Physical Security"))</f>
        <v>Physical Security</v>
      </c>
      <c r="B217" s="301"/>
      <c r="C217" s="25" t="s">
        <v>13</v>
      </c>
      <c r="D217" s="25" t="s">
        <v>14</v>
      </c>
      <c r="E217" s="7" t="s">
        <v>15</v>
      </c>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7.1" customHeight="1" x14ac:dyDescent="0.2">
      <c r="A218" s="15" t="s">
        <v>338</v>
      </c>
      <c r="B218" s="30" t="s">
        <v>2654</v>
      </c>
      <c r="C218" s="12"/>
      <c r="D218" s="33"/>
      <c r="E218" s="207" t="str">
        <f>IF(C218="","",IF(C218="Yes","Provide a copy of your physical security controls and policies along with this document (link or attached).","Describe your intent to implement physical security controls and policies."))</f>
        <v/>
      </c>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2">
      <c r="A219" s="15" t="s">
        <v>339</v>
      </c>
      <c r="B219" s="30" t="s">
        <v>556</v>
      </c>
      <c r="C219" s="12"/>
      <c r="D219" s="13"/>
      <c r="E219" s="10" t="str">
        <f>IF(C219="","",IF(C219="Yes","Provide a detailed summary outlining the security controls implemented to protect the Institution's data.",""))</f>
        <v/>
      </c>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2">
      <c r="A220" s="15" t="s">
        <v>340</v>
      </c>
      <c r="B220" s="30" t="s">
        <v>158</v>
      </c>
      <c r="C220" s="12"/>
      <c r="D220" s="13"/>
      <c r="E220" s="10" t="str">
        <f>IF(C220="","",IF(C220="Yes","State the retention period for security video.","State your plans to retain video monitoring feeds."))</f>
        <v/>
      </c>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48" customHeight="1" x14ac:dyDescent="0.2">
      <c r="A221" s="15" t="s">
        <v>341</v>
      </c>
      <c r="B221" s="30" t="s">
        <v>2596</v>
      </c>
      <c r="C221" s="12"/>
      <c r="D221" s="13"/>
      <c r="E221" s="10" t="str">
        <f>IF(C221="","",IF(C221="Yes","Summarize your video monitoring strategy for datacenter staff.","Describe plans to have video feed(s) monitored."))</f>
        <v/>
      </c>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8" customHeight="1" x14ac:dyDescent="0.2">
      <c r="A222" s="15" t="s">
        <v>342</v>
      </c>
      <c r="B222" s="30" t="s">
        <v>37</v>
      </c>
      <c r="C222" s="12"/>
      <c r="D222" s="13"/>
      <c r="E222" s="10" t="str">
        <f>IF(C222="","",IF(C222="Yes","Summarize your process and procedure for the installation and removal of equipment to/from your environment.","Provide a brief summary for your response."))</f>
        <v/>
      </c>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301" t="str">
        <f>IF($C$30="","Policies, Procedures, and Processes",IF($C$30="Yes","Pol/Pro/Proc - Optional based on QUALIFIER response.","Policies, Procedures, and Processes"))</f>
        <v>Policies, Procedures, and Processes</v>
      </c>
      <c r="B223" s="301"/>
      <c r="C223" s="25" t="s">
        <v>13</v>
      </c>
      <c r="D223" s="25" t="s">
        <v>14</v>
      </c>
      <c r="E223" s="7" t="s">
        <v>15</v>
      </c>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83.1" customHeight="1" x14ac:dyDescent="0.2">
      <c r="A224" s="68" t="s">
        <v>343</v>
      </c>
      <c r="B224" s="30" t="s">
        <v>2655</v>
      </c>
      <c r="C224" s="12"/>
      <c r="D224" s="197"/>
      <c r="E224" s="207" t="str">
        <f>IF(C224="","",IF(C224="Yes","Provide a links to these documents in Additional Information or attach them with your submission. Include the responsible party for your information security program and the size of your security staff.","Provide a brief summary for this response."))</f>
        <v/>
      </c>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2">
      <c r="A225" s="15" t="s">
        <v>344</v>
      </c>
      <c r="B225" s="30" t="s">
        <v>38</v>
      </c>
      <c r="C225" s="12"/>
      <c r="D225" s="13"/>
      <c r="E225" s="10" t="str">
        <f>IF(C225="","",IF(C225="Yes","Summarize your documented patch management process.","State plans to document your patch management process."))</f>
        <v/>
      </c>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2">
      <c r="A226" s="15" t="s">
        <v>345</v>
      </c>
      <c r="B226" s="30" t="s">
        <v>39</v>
      </c>
      <c r="C226" s="12"/>
      <c r="D226" s="13"/>
      <c r="E226" s="10" t="str">
        <f>IF(C226="","",IF(C226="Yes","Summarize any limitations to your accomodation capabilities.","State why you are unable to accommodate encryption requirements using open standards."))</f>
        <v/>
      </c>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2">
      <c r="A227" s="15" t="s">
        <v>346</v>
      </c>
      <c r="B227" s="30" t="s">
        <v>40</v>
      </c>
      <c r="C227" s="12"/>
      <c r="D227" s="13"/>
      <c r="E227" s="10" t="str">
        <f>IF(C227="","",IF(C227="Yes","Provide a brief description of the training provided.","State any scheduled training sessions focused on secure coding techniques."))</f>
        <v/>
      </c>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2">
      <c r="A228" s="15" t="s">
        <v>347</v>
      </c>
      <c r="B228" s="30" t="s">
        <v>41</v>
      </c>
      <c r="C228" s="12"/>
      <c r="D228" s="13"/>
      <c r="E228" s="10" t="str">
        <f>IF(C228="","",IF(C228="Yes","Describe the secure coding techniques used to develop your application.","State plans to update your application code using secure coding techniques."))</f>
        <v/>
      </c>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48" customHeight="1" x14ac:dyDescent="0.2">
      <c r="A229" s="15" t="s">
        <v>348</v>
      </c>
      <c r="B229" s="30" t="s">
        <v>2603</v>
      </c>
      <c r="C229" s="12"/>
      <c r="D229" s="13"/>
      <c r="E229" s="10" t="str">
        <f>IF(C229="","",IF(C229="Yes","Provide a list of all tools utilized during static code analysis or static application security testing.","State your plans to implement static code testing practices into your environment."))</f>
        <v/>
      </c>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84" customHeight="1" x14ac:dyDescent="0.2">
      <c r="A230" s="15" t="s">
        <v>349</v>
      </c>
      <c r="B230" s="30" t="s">
        <v>2604</v>
      </c>
      <c r="C230" s="12"/>
      <c r="D230" s="13"/>
      <c r="E230" s="10" t="str">
        <f>IF(C230="","",IF(C230="Yes","Describe testing processes, including but not limited to, development of test plans, personnel involved in the testing process, and authorized individual accountable for approval and certification of test results.","State your plans to implement software testing processes into your environment."))</f>
        <v/>
      </c>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2">
      <c r="A231" s="15" t="s">
        <v>350</v>
      </c>
      <c r="B231" s="30" t="s">
        <v>42</v>
      </c>
      <c r="C231" s="12"/>
      <c r="D231" s="13"/>
      <c r="E231" s="10" t="str">
        <f>IF(C231="","",IF(C231="Yes","Summarize the information security principles designed into the product lifecycle.","Describe why security principles are not designed into the product lifecycle."))</f>
        <v/>
      </c>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96" customHeight="1" x14ac:dyDescent="0.2">
      <c r="A232" s="15" t="s">
        <v>351</v>
      </c>
      <c r="B232" s="30" t="s">
        <v>43</v>
      </c>
      <c r="C232" s="12"/>
      <c r="D232" s="13"/>
      <c r="E232" s="10" t="str">
        <f>IF(C232="","",IF(C232="Yes","Describe or provide a reference to your system development life cycle methodology including your environments, version control, and change management (if not already covered in the Change Management section).","Describe any plans to implement a documented SDLC."))</f>
        <v/>
      </c>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8" customHeight="1" x14ac:dyDescent="0.2">
      <c r="A233" s="15" t="s">
        <v>352</v>
      </c>
      <c r="B233" s="30" t="s">
        <v>44</v>
      </c>
      <c r="C233" s="12"/>
      <c r="D233" s="13"/>
      <c r="E233" s="10" t="str">
        <f>IF(C233="","",IF(C233="Yes","Summarize your formal incident response plan.","State plans to formalize an incident response plan."))</f>
        <v/>
      </c>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2">
      <c r="A234" s="15" t="s">
        <v>353</v>
      </c>
      <c r="B234" s="30" t="s">
        <v>2605</v>
      </c>
      <c r="C234" s="12"/>
      <c r="D234" s="13"/>
      <c r="E234" s="10" t="str">
        <f>IF(C234="","",IF(C234="Yes","State how quickly the Institution will be notified of a data breach or security incident.","Summarize why you will not comple with applicable breach notification laws."))</f>
        <v/>
      </c>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48" customHeight="1" x14ac:dyDescent="0.2">
      <c r="A235" s="15" t="s">
        <v>354</v>
      </c>
      <c r="B235" s="30" t="s">
        <v>557</v>
      </c>
      <c r="C235" s="12"/>
      <c r="D235" s="13"/>
      <c r="E235" s="10" t="str">
        <f>IF(C235="","",IF(C235="Yes","State that you have reviewed the Institution's IT policies with regards to user privacy and data protection.","Summarize why you will not comply with the Institution's IT policy with regards to user privacy and data protection."))</f>
        <v/>
      </c>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2">
      <c r="A236" s="15" t="s">
        <v>355</v>
      </c>
      <c r="B236" s="30" t="s">
        <v>2636</v>
      </c>
      <c r="C236" s="12"/>
      <c r="D236" s="13"/>
      <c r="E236" s="10" t="str">
        <f>IF(C236="","",IF(C236="Yes","","State the country that governs and regulates your company."))</f>
        <v/>
      </c>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2">
      <c r="A237" s="15" t="s">
        <v>356</v>
      </c>
      <c r="B237" s="30" t="s">
        <v>475</v>
      </c>
      <c r="C237" s="12"/>
      <c r="D237" s="13"/>
      <c r="E237" s="10" t="str">
        <f>IF(C237="","",IF(C237="Yes","Summarize your background check practices.","State plans to implement background check elements into your hiring process."))</f>
        <v/>
      </c>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65.099999999999994" customHeight="1" x14ac:dyDescent="0.2">
      <c r="A238" s="15" t="s">
        <v>357</v>
      </c>
      <c r="B238" s="30" t="s">
        <v>45</v>
      </c>
      <c r="C238" s="12"/>
      <c r="D238" s="13"/>
      <c r="E238" s="10" t="str">
        <f>IF(C238="","",IF(C238="Yes","Summarize the required agreements and reviewed policies.","Summarize why new employees are not required to accept agreements or review policy."))</f>
        <v/>
      </c>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8" customHeight="1" x14ac:dyDescent="0.2">
      <c r="A239" s="15" t="s">
        <v>358</v>
      </c>
      <c r="B239" s="30" t="s">
        <v>2606</v>
      </c>
      <c r="C239" s="12"/>
      <c r="D239" s="13"/>
      <c r="E239" s="10" t="str">
        <f>IF(C239="","",IF(C239="Yes","Provide a reference to your information security policy or submit documentation with this fully-populated HECVAT.","State plans to implement information security policy at your company."))</f>
        <v/>
      </c>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48" customHeight="1" x14ac:dyDescent="0.2">
      <c r="A240" s="15" t="s">
        <v>359</v>
      </c>
      <c r="B240" s="30" t="s">
        <v>46</v>
      </c>
      <c r="C240" s="12"/>
      <c r="D240" s="13"/>
      <c r="E240" s="10" t="str">
        <f>IF(C240="","",IF(C240="Yes","Summarize your information security awareness program.","State plans to implement an information security awareness program."))</f>
        <v/>
      </c>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4.349999999999994" customHeight="1" x14ac:dyDescent="0.2">
      <c r="A241" s="15" t="s">
        <v>360</v>
      </c>
      <c r="B241" s="30" t="s">
        <v>2607</v>
      </c>
      <c r="C241" s="12"/>
      <c r="D241" s="13"/>
      <c r="E241" s="10" t="str">
        <f>IF(C241="","",IF(C241="Yes","Summarize your security awareness training content and state how frequently employees are required to undergo security awareness training.","State plans to make security awareness training mandatory for all employees."))</f>
        <v/>
      </c>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48" customHeight="1" x14ac:dyDescent="0.2">
      <c r="A242" s="15" t="s">
        <v>361</v>
      </c>
      <c r="B242" s="30" t="s">
        <v>2608</v>
      </c>
      <c r="C242" s="12"/>
      <c r="D242" s="13"/>
      <c r="E242" s="10" t="str">
        <f>IF(C242="","",IF(C242="Yes","Provide a brief summary and the implement review interval.","Describe plans to implement privileged account access-list reviews to your environment."))</f>
        <v/>
      </c>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4.349999999999994" customHeight="1" x14ac:dyDescent="0.2">
      <c r="A243" s="15" t="s">
        <v>362</v>
      </c>
      <c r="B243" s="30" t="s">
        <v>2609</v>
      </c>
      <c r="C243" s="12"/>
      <c r="D243" s="13"/>
      <c r="E243" s="10" t="str">
        <f>IF(C243="","",IF(C243="Yes","Summarize your internal audit processes and procedures.","State plans to document and implement internal audit process and procedure in your environment."))</f>
        <v/>
      </c>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36" customHeight="1" x14ac:dyDescent="0.2">
      <c r="A244" s="301" t="str">
        <f>IF($C$30="","Product Evaluation",IF($C$30="Yes","Product Evaluation - Optional based on QUALIFIER response.","Product Evaluation"))</f>
        <v>Product Evaluation</v>
      </c>
      <c r="B244" s="301"/>
      <c r="C244" s="25" t="s">
        <v>13</v>
      </c>
      <c r="D244" s="25" t="s">
        <v>14</v>
      </c>
      <c r="E244" s="7" t="s">
        <v>15</v>
      </c>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2">
      <c r="A245" s="15" t="s">
        <v>363</v>
      </c>
      <c r="B245" s="30" t="s">
        <v>47</v>
      </c>
      <c r="C245" s="12"/>
      <c r="D245" s="13"/>
      <c r="E245" s="10" t="str">
        <f>IF(C245="","",IF(C245="Yes","Provide a reference to your customer feedback procedures.","State any plans to incorporate customer feedback into security feature requests."))</f>
        <v/>
      </c>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2">
      <c r="A246" s="15" t="s">
        <v>364</v>
      </c>
      <c r="B246" s="30" t="s">
        <v>527</v>
      </c>
      <c r="C246" s="12"/>
      <c r="D246" s="13"/>
      <c r="E246" s="10" t="str">
        <f>IF(C246="","",IF(C246="Yes","Summarize the scope of your evaluation site(s) and request procedures. Provide references, as needed.","State why an evaluation site cannot be provided to the Institution."))</f>
        <v/>
      </c>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36" customHeight="1" x14ac:dyDescent="0.2">
      <c r="A247" s="301" t="str">
        <f>IF($C$30="","Quality Assurance",IF($C$30="Yes","Quality Assurance - Optional based on QUALIFIER response.","Quality Assurance"))</f>
        <v>Quality Assurance</v>
      </c>
      <c r="B247" s="301"/>
      <c r="C247" s="25" t="s">
        <v>13</v>
      </c>
      <c r="D247" s="25" t="s">
        <v>14</v>
      </c>
      <c r="E247" s="7" t="s">
        <v>15</v>
      </c>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2">
      <c r="A248" s="15" t="s">
        <v>365</v>
      </c>
      <c r="B248" s="30" t="s">
        <v>157</v>
      </c>
      <c r="C248" s="299"/>
      <c r="D248" s="299"/>
      <c r="E248" s="10" t="s">
        <v>2597</v>
      </c>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2">
      <c r="A249" s="15" t="s">
        <v>366</v>
      </c>
      <c r="B249" s="30" t="s">
        <v>149</v>
      </c>
      <c r="C249" s="12"/>
      <c r="D249" s="13"/>
      <c r="E249" s="10" t="str">
        <f>IF(C249="","",IF(C249="Yes","If certified, provide supporting documentation.","Describe plans and/or efforts towards certification."))</f>
        <v/>
      </c>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53.1" customHeight="1" x14ac:dyDescent="0.2">
      <c r="A250" s="15" t="s">
        <v>367</v>
      </c>
      <c r="B250" s="30" t="s">
        <v>150</v>
      </c>
      <c r="C250" s="12"/>
      <c r="D250" s="13"/>
      <c r="E250" s="10" t="str">
        <f>IF(C250="","",IF(C250="Yes","Provide references to quality and performance metrics documentation.","State plans to provide quality and performance metrics for this service."))</f>
        <v/>
      </c>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53.1" customHeight="1" x14ac:dyDescent="0.2">
      <c r="A251" s="15" t="s">
        <v>368</v>
      </c>
      <c r="B251" s="30" t="s">
        <v>528</v>
      </c>
      <c r="C251" s="12"/>
      <c r="D251" s="13"/>
      <c r="E251" s="10" t="str">
        <f>IF(C251="","",IF(C251="Yes","Provide the Institution's contact, describe the products and/or services offered, and the total value of the services provided.",""))</f>
        <v/>
      </c>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2">
      <c r="A252" s="15" t="s">
        <v>369</v>
      </c>
      <c r="B252" s="30" t="s">
        <v>151</v>
      </c>
      <c r="C252" s="12"/>
      <c r="D252" s="13"/>
      <c r="E252" s="10" t="str">
        <f>IF(C252="","",IF(C252="Yes","Summarize your informational program.","Describe plans to implement this informational program."))</f>
        <v/>
      </c>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36" customHeight="1" x14ac:dyDescent="0.2">
      <c r="A253" s="301" t="str">
        <f>IF($C$30="","Systems Management &amp; Configuration",IF($C$30="Yes","System Mgmt/Config - Optional based on QUALIFIER response.","Systems Management &amp; Configuration"))</f>
        <v>Systems Management &amp; Configuration</v>
      </c>
      <c r="B253" s="301"/>
      <c r="C253" s="25" t="s">
        <v>13</v>
      </c>
      <c r="D253" s="25" t="s">
        <v>14</v>
      </c>
      <c r="E253" s="7" t="s">
        <v>15</v>
      </c>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9.35" customHeight="1" x14ac:dyDescent="0.2">
      <c r="A254" s="15" t="s">
        <v>370</v>
      </c>
      <c r="B254" s="30" t="s">
        <v>161</v>
      </c>
      <c r="C254" s="12"/>
      <c r="D254" s="13"/>
      <c r="E254" s="10" t="str">
        <f>IF(C254="","",IF(C254="Yes","Summarize how this is implemented in your environment.","Describe any implemented compensating controls."))</f>
        <v/>
      </c>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2">
      <c r="A255" s="15" t="s">
        <v>371</v>
      </c>
      <c r="B255" s="30" t="s">
        <v>558</v>
      </c>
      <c r="C255" s="12"/>
      <c r="D255" s="13"/>
      <c r="E255" s="10" t="str">
        <f>IF(C255="","",IF(C255="Yes","Summarize your implemented system configuration management precess.","Describe how system configuration management is currently handled in your environment."))</f>
        <v/>
      </c>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2">
      <c r="A256" s="15" t="s">
        <v>372</v>
      </c>
      <c r="B256" s="30" t="s">
        <v>162</v>
      </c>
      <c r="C256" s="12"/>
      <c r="D256" s="13"/>
      <c r="E256" s="10" t="str">
        <f>IF(C256="","",IF(C256="Yes","Summarize your on-site MDM capabilities.","State any plans to implement a MDM platform in your environment."))</f>
        <v/>
      </c>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64.349999999999994" customHeight="1" x14ac:dyDescent="0.2">
      <c r="A257" s="15" t="s">
        <v>373</v>
      </c>
      <c r="B257" s="30" t="s">
        <v>2656</v>
      </c>
      <c r="C257" s="12"/>
      <c r="D257" s="33"/>
      <c r="E257" s="207" t="str">
        <f>IF(C257="","",IF(C257="Yes","Summarize your systems management and configuration strategy.","Describe your intent to implement a systems management and configuration strategy."))</f>
        <v/>
      </c>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36" customHeight="1" x14ac:dyDescent="0.2">
      <c r="A258" s="301" t="str">
        <f>IF($C$30="","Vulnerability Scanning",IF($C$30="Yes","Vulnerability Scanning - Optional based on QUALIFIER response.","Vulnerability Scanning"))</f>
        <v>Vulnerability Scanning</v>
      </c>
      <c r="B258" s="301"/>
      <c r="C258" s="25" t="s">
        <v>13</v>
      </c>
      <c r="D258" s="25" t="s">
        <v>14</v>
      </c>
      <c r="E258" s="7" t="s">
        <v>15</v>
      </c>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2">
      <c r="A259" s="15" t="s">
        <v>374</v>
      </c>
      <c r="B259" s="30" t="s">
        <v>48</v>
      </c>
      <c r="C259" s="12"/>
      <c r="D259" s="13"/>
      <c r="E259" s="10" t="str">
        <f>IF(C259="","",IF(C259="Yes","Decribe your external application vulnerability scanning strategy.","Describe any plans to implement external vulnerability scanning for your applications."))</f>
        <v/>
      </c>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2">
      <c r="A260" s="15" t="s">
        <v>375</v>
      </c>
      <c r="B260" s="30" t="s">
        <v>2629</v>
      </c>
      <c r="C260" s="12"/>
      <c r="D260" s="13"/>
      <c r="E260" s="10" t="str">
        <f>IF(C260="","",IF(C260="Yes","State the date of your most recent application external assessment.","Describe any plans to have application external assessment(s) performed on your systems."))</f>
        <v/>
      </c>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65.099999999999994" customHeight="1" x14ac:dyDescent="0.2">
      <c r="A261" s="15" t="s">
        <v>376</v>
      </c>
      <c r="B261" s="30" t="s">
        <v>49</v>
      </c>
      <c r="C261" s="12"/>
      <c r="D261" s="13"/>
      <c r="E261" s="10" t="str">
        <f>IF(C261="","",IF(C261="Yes","Summarize your vulnerability scanning strategy.","Describe plans to implement application vulnerability scanning prior to release."))</f>
        <v/>
      </c>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9.35" customHeight="1" x14ac:dyDescent="0.2">
      <c r="A262" s="15" t="s">
        <v>377</v>
      </c>
      <c r="B262" s="30" t="s">
        <v>50</v>
      </c>
      <c r="C262" s="12"/>
      <c r="D262" s="13"/>
      <c r="E262" s="10" t="str">
        <f>IF(C262="","",IF(C262="Yes","Decribe your external system vulnerability scanning strategy.","Describe any plans to implement external vulnerability scanning for your systems."))</f>
        <v/>
      </c>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2">
      <c r="A263" s="15" t="s">
        <v>378</v>
      </c>
      <c r="B263" s="30" t="s">
        <v>2630</v>
      </c>
      <c r="C263" s="12"/>
      <c r="D263" s="13"/>
      <c r="E263" s="10" t="str">
        <f>IF(C263="","",IF(C263="Yes","State the date of your most recent system external assessment.","Describe any plans to have system external assessment(s) performed on your systems."))</f>
        <v/>
      </c>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099999999999994" customHeight="1" x14ac:dyDescent="0.2">
      <c r="A264" s="15" t="s">
        <v>379</v>
      </c>
      <c r="B264" s="30" t="s">
        <v>448</v>
      </c>
      <c r="C264" s="299"/>
      <c r="D264" s="299"/>
      <c r="E264" s="10" t="s">
        <v>2598</v>
      </c>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2">
      <c r="A265" s="15" t="s">
        <v>380</v>
      </c>
      <c r="B265" s="30" t="s">
        <v>2600</v>
      </c>
      <c r="C265" s="12"/>
      <c r="D265" s="13"/>
      <c r="E265" s="10" t="str">
        <f>IF(C265="","",IF(C265="Yes","Provide a reference to security scan documentation.","Describe why security scan results will not be provided to the Institution."))</f>
        <v/>
      </c>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65.099999999999994" customHeight="1" x14ac:dyDescent="0.2">
      <c r="A266" s="15" t="s">
        <v>381</v>
      </c>
      <c r="B266" s="30" t="s">
        <v>449</v>
      </c>
      <c r="C266" s="299"/>
      <c r="D266" s="299"/>
      <c r="E266" s="10" t="s">
        <v>2599</v>
      </c>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54" customHeight="1" x14ac:dyDescent="0.2">
      <c r="A267" s="15" t="s">
        <v>382</v>
      </c>
      <c r="B267" s="30" t="s">
        <v>529</v>
      </c>
      <c r="C267" s="12"/>
      <c r="D267" s="13"/>
      <c r="E267" s="10" t="str">
        <f>IF(C267="","",IF(C267="Yes","Provide reference to the process or procedure to setup security testing times and scopes.","Provide a brief summary for your response."))</f>
        <v/>
      </c>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36" customHeight="1" x14ac:dyDescent="0.2">
      <c r="A268" s="301" t="str">
        <f>IF(OR($C$24="No",$C$30="Yes"),"HIPAA - Optional based on QUALIFIER response.","HIPAA")</f>
        <v>HIPAA</v>
      </c>
      <c r="B268" s="301"/>
      <c r="C268" s="25" t="s">
        <v>13</v>
      </c>
      <c r="D268" s="25" t="s">
        <v>14</v>
      </c>
      <c r="E268" s="7" t="s">
        <v>15</v>
      </c>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65.099999999999994" customHeight="1" x14ac:dyDescent="0.2">
      <c r="A269" s="15" t="s">
        <v>383</v>
      </c>
      <c r="B269" s="30" t="s">
        <v>133</v>
      </c>
      <c r="C269" s="12"/>
      <c r="D269" s="13"/>
      <c r="E269" s="10" t="s">
        <v>2601</v>
      </c>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2">
      <c r="A270" s="15" t="s">
        <v>384</v>
      </c>
      <c r="B270" s="30" t="s">
        <v>134</v>
      </c>
      <c r="C270" s="12"/>
      <c r="D270" s="13"/>
      <c r="E270" s="10" t="s">
        <v>2601</v>
      </c>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2">
      <c r="A271" s="15" t="s">
        <v>385</v>
      </c>
      <c r="B271" s="30" t="s">
        <v>135</v>
      </c>
      <c r="C271" s="12"/>
      <c r="D271" s="13"/>
      <c r="E271" s="10" t="s">
        <v>2601</v>
      </c>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2">
      <c r="A272" s="15" t="s">
        <v>386</v>
      </c>
      <c r="B272" s="30" t="s">
        <v>136</v>
      </c>
      <c r="C272" s="12"/>
      <c r="D272" s="13"/>
      <c r="E272" s="10" t="s">
        <v>2601</v>
      </c>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2">
      <c r="A273" s="15" t="s">
        <v>387</v>
      </c>
      <c r="B273" s="30" t="s">
        <v>137</v>
      </c>
      <c r="C273" s="12"/>
      <c r="D273" s="13"/>
      <c r="E273" s="10" t="s">
        <v>2601</v>
      </c>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2">
      <c r="A274" s="15" t="s">
        <v>388</v>
      </c>
      <c r="B274" s="30" t="s">
        <v>138</v>
      </c>
      <c r="C274" s="12"/>
      <c r="D274" s="13"/>
      <c r="E274" s="10" t="s">
        <v>2601</v>
      </c>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2">
      <c r="A275" s="15" t="s">
        <v>389</v>
      </c>
      <c r="B275" s="30" t="s">
        <v>139</v>
      </c>
      <c r="C275" s="12"/>
      <c r="D275" s="13"/>
      <c r="E275" s="10" t="s">
        <v>2601</v>
      </c>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2">
      <c r="A276" s="15" t="s">
        <v>390</v>
      </c>
      <c r="B276" s="30" t="s">
        <v>140</v>
      </c>
      <c r="C276" s="12"/>
      <c r="D276" s="13"/>
      <c r="E276" s="10" t="s">
        <v>2601</v>
      </c>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2">
      <c r="A277" s="15" t="s">
        <v>391</v>
      </c>
      <c r="B277" s="30" t="s">
        <v>141</v>
      </c>
      <c r="C277" s="12"/>
      <c r="D277" s="13"/>
      <c r="E277" s="10" t="s">
        <v>2601</v>
      </c>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2">
      <c r="A278" s="15" t="s">
        <v>392</v>
      </c>
      <c r="B278" s="30" t="s">
        <v>56</v>
      </c>
      <c r="C278" s="12"/>
      <c r="D278" s="13"/>
      <c r="E278" s="10" t="s">
        <v>2601</v>
      </c>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48" customHeight="1" x14ac:dyDescent="0.2">
      <c r="A279" s="15" t="s">
        <v>393</v>
      </c>
      <c r="B279" s="30" t="s">
        <v>57</v>
      </c>
      <c r="C279" s="12"/>
      <c r="D279" s="13"/>
      <c r="E279" s="10" t="s">
        <v>2601</v>
      </c>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2">
      <c r="A280" s="15" t="s">
        <v>394</v>
      </c>
      <c r="B280" s="30" t="s">
        <v>58</v>
      </c>
      <c r="C280" s="12"/>
      <c r="D280" s="13"/>
      <c r="E280" s="10" t="s">
        <v>2601</v>
      </c>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2">
      <c r="A281" s="15" t="s">
        <v>395</v>
      </c>
      <c r="B281" s="30" t="s">
        <v>59</v>
      </c>
      <c r="C281" s="12"/>
      <c r="D281" s="13"/>
      <c r="E281" s="10" t="s">
        <v>2601</v>
      </c>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2">
      <c r="A282" s="15" t="s">
        <v>396</v>
      </c>
      <c r="B282" s="30" t="s">
        <v>60</v>
      </c>
      <c r="C282" s="12"/>
      <c r="D282" s="13"/>
      <c r="E282" s="10" t="s">
        <v>2601</v>
      </c>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48" customHeight="1" x14ac:dyDescent="0.2">
      <c r="A283" s="15" t="s">
        <v>397</v>
      </c>
      <c r="B283" s="30" t="s">
        <v>530</v>
      </c>
      <c r="C283" s="12"/>
      <c r="D283" s="13"/>
      <c r="E283" s="10" t="s">
        <v>2601</v>
      </c>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48" customHeight="1" x14ac:dyDescent="0.2">
      <c r="A284" s="15" t="s">
        <v>398</v>
      </c>
      <c r="B284" s="30" t="s">
        <v>61</v>
      </c>
      <c r="C284" s="12"/>
      <c r="D284" s="13"/>
      <c r="E284" s="10" t="s">
        <v>2601</v>
      </c>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48" customHeight="1" x14ac:dyDescent="0.2">
      <c r="A285" s="15" t="s">
        <v>399</v>
      </c>
      <c r="B285" s="30" t="s">
        <v>510</v>
      </c>
      <c r="C285" s="12"/>
      <c r="D285" s="13"/>
      <c r="E285" s="10" t="s">
        <v>2601</v>
      </c>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row>
    <row r="286" spans="1:256" ht="48" customHeight="1" x14ac:dyDescent="0.2">
      <c r="A286" s="15" t="s">
        <v>400</v>
      </c>
      <c r="B286" s="30" t="s">
        <v>62</v>
      </c>
      <c r="C286" s="12"/>
      <c r="D286" s="13"/>
      <c r="E286" s="10" t="s">
        <v>2601</v>
      </c>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row>
    <row r="287" spans="1:256" ht="47.1" customHeight="1" x14ac:dyDescent="0.2">
      <c r="A287" s="15" t="s">
        <v>401</v>
      </c>
      <c r="B287" s="30" t="s">
        <v>63</v>
      </c>
      <c r="C287" s="12"/>
      <c r="D287" s="13"/>
      <c r="E287" s="10" t="s">
        <v>2601</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row>
    <row r="288" spans="1:256" ht="47.1" customHeight="1" x14ac:dyDescent="0.2">
      <c r="A288" s="15" t="s">
        <v>402</v>
      </c>
      <c r="B288" s="30" t="s">
        <v>69</v>
      </c>
      <c r="C288" s="12"/>
      <c r="D288" s="13"/>
      <c r="E288" s="10" t="s">
        <v>2601</v>
      </c>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row>
    <row r="289" spans="1:256" ht="48" customHeight="1" x14ac:dyDescent="0.2">
      <c r="A289" s="15" t="s">
        <v>403</v>
      </c>
      <c r="B289" s="30" t="s">
        <v>64</v>
      </c>
      <c r="C289" s="12"/>
      <c r="D289" s="13"/>
      <c r="E289" s="10" t="s">
        <v>2601</v>
      </c>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row>
    <row r="290" spans="1:256" ht="65.099999999999994" customHeight="1" x14ac:dyDescent="0.2">
      <c r="A290" s="15" t="s">
        <v>404</v>
      </c>
      <c r="B290" s="30" t="s">
        <v>65</v>
      </c>
      <c r="C290" s="12"/>
      <c r="D290" s="13"/>
      <c r="E290" s="10" t="s">
        <v>2601</v>
      </c>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row>
    <row r="291" spans="1:256" ht="48" customHeight="1" x14ac:dyDescent="0.2">
      <c r="A291" s="15" t="s">
        <v>405</v>
      </c>
      <c r="B291" s="30" t="s">
        <v>66</v>
      </c>
      <c r="C291" s="299"/>
      <c r="D291" s="299"/>
      <c r="E291" s="10" t="s">
        <v>2601</v>
      </c>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row>
    <row r="292" spans="1:256" ht="48" customHeight="1" x14ac:dyDescent="0.2">
      <c r="A292" s="15" t="s">
        <v>406</v>
      </c>
      <c r="B292" s="30" t="s">
        <v>67</v>
      </c>
      <c r="C292" s="12"/>
      <c r="D292" s="13"/>
      <c r="E292" s="10" t="s">
        <v>2601</v>
      </c>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row>
    <row r="293" spans="1:256" ht="48" customHeight="1" x14ac:dyDescent="0.2">
      <c r="A293" s="15" t="s">
        <v>407</v>
      </c>
      <c r="B293" s="30" t="s">
        <v>68</v>
      </c>
      <c r="C293" s="12"/>
      <c r="D293" s="13"/>
      <c r="E293" s="10" t="s">
        <v>2601</v>
      </c>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row>
    <row r="294" spans="1:256" ht="48" customHeight="1" x14ac:dyDescent="0.2">
      <c r="A294" s="15" t="s">
        <v>408</v>
      </c>
      <c r="B294" s="30" t="s">
        <v>142</v>
      </c>
      <c r="C294" s="12"/>
      <c r="D294" s="13"/>
      <c r="E294" s="10" t="s">
        <v>2601</v>
      </c>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row>
    <row r="295" spans="1:256" ht="48" customHeight="1" x14ac:dyDescent="0.2">
      <c r="A295" s="15" t="s">
        <v>409</v>
      </c>
      <c r="B295" s="30" t="s">
        <v>143</v>
      </c>
      <c r="C295" s="12"/>
      <c r="D295" s="13"/>
      <c r="E295" s="10" t="s">
        <v>2601</v>
      </c>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row>
    <row r="296" spans="1:256" ht="48" customHeight="1" x14ac:dyDescent="0.2">
      <c r="A296" s="15" t="s">
        <v>410</v>
      </c>
      <c r="B296" s="30" t="s">
        <v>144</v>
      </c>
      <c r="C296" s="12"/>
      <c r="D296" s="13"/>
      <c r="E296" s="10" t="s">
        <v>2601</v>
      </c>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row>
    <row r="297" spans="1:256" ht="48" customHeight="1" x14ac:dyDescent="0.2">
      <c r="A297" s="15" t="s">
        <v>411</v>
      </c>
      <c r="B297" s="30" t="s">
        <v>70</v>
      </c>
      <c r="C297" s="12"/>
      <c r="D297" s="13"/>
      <c r="E297" s="10" t="s">
        <v>2601</v>
      </c>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row>
    <row r="298" spans="1:256" ht="48" customHeight="1" x14ac:dyDescent="0.2">
      <c r="A298" s="15" t="s">
        <v>412</v>
      </c>
      <c r="B298" s="30" t="s">
        <v>145</v>
      </c>
      <c r="C298" s="12"/>
      <c r="D298" s="13"/>
      <c r="E298" s="10" t="s">
        <v>2601</v>
      </c>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row>
    <row r="299" spans="1:256" ht="47.1" customHeight="1" x14ac:dyDescent="0.2">
      <c r="A299" s="15" t="s">
        <v>413</v>
      </c>
      <c r="B299" s="30" t="s">
        <v>476</v>
      </c>
      <c r="C299" s="12"/>
      <c r="D299" s="13"/>
      <c r="E299" s="10" t="s">
        <v>2601</v>
      </c>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row>
    <row r="300" spans="1:256" ht="36" customHeight="1" x14ac:dyDescent="0.2">
      <c r="A300" s="301" t="str">
        <f>IF(OR($C$29="No",$C$30="Yes"),"PCI DSS - Optional based on QUALIFIER response.","PCI DSS")</f>
        <v>PCI DSS</v>
      </c>
      <c r="B300" s="301"/>
      <c r="C300" s="25" t="s">
        <v>13</v>
      </c>
      <c r="D300" s="25" t="s">
        <v>14</v>
      </c>
      <c r="E300" s="7" t="s">
        <v>15</v>
      </c>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row>
    <row r="301" spans="1:256" ht="48" customHeight="1" x14ac:dyDescent="0.2">
      <c r="A301" s="15" t="s">
        <v>414</v>
      </c>
      <c r="B301" s="30" t="s">
        <v>2613</v>
      </c>
      <c r="C301" s="12"/>
      <c r="D301" s="13"/>
      <c r="E301" s="10" t="s">
        <v>2602</v>
      </c>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row>
    <row r="302" spans="1:256" ht="48" customHeight="1" x14ac:dyDescent="0.2">
      <c r="A302" s="15" t="s">
        <v>415</v>
      </c>
      <c r="B302" s="30" t="s">
        <v>71</v>
      </c>
      <c r="C302" s="12"/>
      <c r="D302" s="13"/>
      <c r="E302" s="10" t="s">
        <v>2602</v>
      </c>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row>
    <row r="303" spans="1:256" ht="48" customHeight="1" x14ac:dyDescent="0.2">
      <c r="A303" s="15" t="s">
        <v>416</v>
      </c>
      <c r="B303" s="30" t="s">
        <v>72</v>
      </c>
      <c r="C303" s="12"/>
      <c r="D303" s="13"/>
      <c r="E303" s="10" t="s">
        <v>2602</v>
      </c>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row>
    <row r="304" spans="1:256" ht="48" customHeight="1" x14ac:dyDescent="0.2">
      <c r="A304" s="15" t="s">
        <v>417</v>
      </c>
      <c r="B304" s="30" t="s">
        <v>73</v>
      </c>
      <c r="C304" s="12"/>
      <c r="D304" s="13"/>
      <c r="E304" s="10" t="s">
        <v>2602</v>
      </c>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row>
    <row r="305" spans="1:256" ht="48" customHeight="1" x14ac:dyDescent="0.2">
      <c r="A305" s="15" t="s">
        <v>418</v>
      </c>
      <c r="B305" s="30" t="s">
        <v>74</v>
      </c>
      <c r="C305" s="12"/>
      <c r="D305" s="13"/>
      <c r="E305" s="10" t="s">
        <v>2602</v>
      </c>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row>
    <row r="306" spans="1:256" ht="48" customHeight="1" x14ac:dyDescent="0.2">
      <c r="A306" s="15" t="s">
        <v>419</v>
      </c>
      <c r="B306" s="30" t="s">
        <v>75</v>
      </c>
      <c r="C306" s="12"/>
      <c r="D306" s="13"/>
      <c r="E306" s="10" t="s">
        <v>2602</v>
      </c>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row>
    <row r="307" spans="1:256" ht="64.349999999999994" customHeight="1" x14ac:dyDescent="0.2">
      <c r="A307" s="15" t="s">
        <v>420</v>
      </c>
      <c r="B307" s="30" t="s">
        <v>76</v>
      </c>
      <c r="C307" s="299"/>
      <c r="D307" s="299"/>
      <c r="E307" s="10" t="s">
        <v>2602</v>
      </c>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row>
    <row r="308" spans="1:256" ht="64.349999999999994" customHeight="1" x14ac:dyDescent="0.2">
      <c r="A308" s="15" t="s">
        <v>421</v>
      </c>
      <c r="B308" s="30" t="s">
        <v>77</v>
      </c>
      <c r="C308" s="299"/>
      <c r="D308" s="299"/>
      <c r="E308" s="10" t="s">
        <v>2602</v>
      </c>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row>
    <row r="309" spans="1:256" ht="48" customHeight="1" x14ac:dyDescent="0.2">
      <c r="A309" s="15" t="s">
        <v>422</v>
      </c>
      <c r="B309" s="30" t="s">
        <v>78</v>
      </c>
      <c r="C309" s="12"/>
      <c r="D309" s="13"/>
      <c r="E309" s="10" t="s">
        <v>2602</v>
      </c>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row>
    <row r="310" spans="1:256" ht="48" customHeight="1" x14ac:dyDescent="0.2">
      <c r="A310" s="15" t="s">
        <v>423</v>
      </c>
      <c r="B310" s="30" t="s">
        <v>79</v>
      </c>
      <c r="C310" s="12"/>
      <c r="D310" s="13"/>
      <c r="E310" s="10" t="s">
        <v>2602</v>
      </c>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row>
    <row r="311" spans="1:256" ht="54" customHeight="1" x14ac:dyDescent="0.2">
      <c r="A311" s="15" t="s">
        <v>424</v>
      </c>
      <c r="B311" s="30" t="s">
        <v>2614</v>
      </c>
      <c r="C311" s="12"/>
      <c r="D311" s="13"/>
      <c r="E311" s="10" t="str">
        <f>IF(C311="","",IF(C311="Yes","State the providors name and provide a current copy of their AoC or RoC.","Refer to PCI DSS Security Standards for supplemental guidance in this section"))</f>
        <v/>
      </c>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row>
    <row r="312" spans="1:256" ht="64.349999999999994" customHeight="1" x14ac:dyDescent="0.2">
      <c r="A312" s="15" t="s">
        <v>425</v>
      </c>
      <c r="B312" s="30" t="s">
        <v>80</v>
      </c>
      <c r="C312" s="299"/>
      <c r="D312" s="299"/>
      <c r="E312" s="10" t="s">
        <v>2602</v>
      </c>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row>
  </sheetData>
  <mergeCells count="85">
    <mergeCell ref="C203:D203"/>
    <mergeCell ref="C248:D248"/>
    <mergeCell ref="C206:D206"/>
    <mergeCell ref="C207:D207"/>
    <mergeCell ref="C216:D216"/>
    <mergeCell ref="C307:D307"/>
    <mergeCell ref="C312:D312"/>
    <mergeCell ref="C291:D291"/>
    <mergeCell ref="C264:D264"/>
    <mergeCell ref="C266:D266"/>
    <mergeCell ref="C308:D308"/>
    <mergeCell ref="C116:D116"/>
    <mergeCell ref="C142:D142"/>
    <mergeCell ref="C140:D140"/>
    <mergeCell ref="C179:D179"/>
    <mergeCell ref="C176:D176"/>
    <mergeCell ref="C168:D168"/>
    <mergeCell ref="C195:D195"/>
    <mergeCell ref="C133:D133"/>
    <mergeCell ref="C175:D175"/>
    <mergeCell ref="C187:D187"/>
    <mergeCell ref="A38:B38"/>
    <mergeCell ref="A46:B46"/>
    <mergeCell ref="A51:B51"/>
    <mergeCell ref="A61:B61"/>
    <mergeCell ref="C50:D50"/>
    <mergeCell ref="C48:D48"/>
    <mergeCell ref="C49:D49"/>
    <mergeCell ref="C70:D70"/>
    <mergeCell ref="C68:D68"/>
    <mergeCell ref="C47:D47"/>
    <mergeCell ref="C71:D71"/>
    <mergeCell ref="C73:D73"/>
    <mergeCell ref="C78:D78"/>
    <mergeCell ref="A21:E21"/>
    <mergeCell ref="A22:B22"/>
    <mergeCell ref="A23:E23"/>
    <mergeCell ref="A31:B31"/>
    <mergeCell ref="C18:E18"/>
    <mergeCell ref="C12:E12"/>
    <mergeCell ref="C14:E14"/>
    <mergeCell ref="C13:E13"/>
    <mergeCell ref="C76:D76"/>
    <mergeCell ref="A1:D1"/>
    <mergeCell ref="A2:E2"/>
    <mergeCell ref="A4:B4"/>
    <mergeCell ref="A5:E5"/>
    <mergeCell ref="A20:B20"/>
    <mergeCell ref="C3:E3"/>
    <mergeCell ref="C15:E15"/>
    <mergeCell ref="C16:E16"/>
    <mergeCell ref="C19:E19"/>
    <mergeCell ref="C7:E7"/>
    <mergeCell ref="C9:E9"/>
    <mergeCell ref="C10:E10"/>
    <mergeCell ref="C11:E11"/>
    <mergeCell ref="C8:E8"/>
    <mergeCell ref="A6:E6"/>
    <mergeCell ref="A17:E17"/>
    <mergeCell ref="A253:B253"/>
    <mergeCell ref="A258:B258"/>
    <mergeCell ref="A268:B268"/>
    <mergeCell ref="A300:B300"/>
    <mergeCell ref="C39:D39"/>
    <mergeCell ref="C40:D40"/>
    <mergeCell ref="A217:B217"/>
    <mergeCell ref="A223:B223"/>
    <mergeCell ref="A244:B244"/>
    <mergeCell ref="C45:D45"/>
    <mergeCell ref="C77:D77"/>
    <mergeCell ref="A79:B79"/>
    <mergeCell ref="A97:B97"/>
    <mergeCell ref="A110:B110"/>
    <mergeCell ref="A126:B126"/>
    <mergeCell ref="A155:B155"/>
    <mergeCell ref="A247:B247"/>
    <mergeCell ref="A158:B158"/>
    <mergeCell ref="A178:B178"/>
    <mergeCell ref="A192:B192"/>
    <mergeCell ref="A205:B205"/>
    <mergeCell ref="C95:D95"/>
    <mergeCell ref="C96:D96"/>
    <mergeCell ref="C98:D98"/>
    <mergeCell ref="C115:D115"/>
    <mergeCell ref="C112:D112"/>
  </mergeCells>
  <conditionalFormatting sqref="C205:E205 A205">
    <cfRule type="expression" dxfId="2692" priority="191">
      <formula>$C$25="No"</formula>
    </cfRule>
  </conditionalFormatting>
  <conditionalFormatting sqref="C268:E268 A268">
    <cfRule type="expression" dxfId="2691" priority="190">
      <formula>$C$24="No"</formula>
    </cfRule>
  </conditionalFormatting>
  <conditionalFormatting sqref="C46:E46 A46">
    <cfRule type="expression" dxfId="2690" priority="189">
      <formula>$C$26="No"</formula>
    </cfRule>
  </conditionalFormatting>
  <conditionalFormatting sqref="C178:E178 A178">
    <cfRule type="expression" dxfId="2689" priority="188">
      <formula>$C$28="No"</formula>
    </cfRule>
  </conditionalFormatting>
  <conditionalFormatting sqref="A163:E164">
    <cfRule type="expression" dxfId="2688" priority="142">
      <formula>$C$162="No"</formula>
    </cfRule>
  </conditionalFormatting>
  <conditionalFormatting sqref="A168:E168">
    <cfRule type="expression" dxfId="2687" priority="185">
      <formula>$C$167="No"</formula>
    </cfRule>
  </conditionalFormatting>
  <conditionalFormatting sqref="A164:E164">
    <cfRule type="expression" dxfId="2686" priority="141">
      <formula>$C$163="No"</formula>
    </cfRule>
  </conditionalFormatting>
  <conditionalFormatting sqref="A90:B90 D90:E90">
    <cfRule type="expression" dxfId="2685" priority="150">
      <formula>$C$89="No"</formula>
    </cfRule>
  </conditionalFormatting>
  <conditionalFormatting sqref="A92:B93 D92:E93">
    <cfRule type="expression" dxfId="2684" priority="180">
      <formula>$C$91="No"</formula>
    </cfRule>
  </conditionalFormatting>
  <conditionalFormatting sqref="A260:E260">
    <cfRule type="expression" dxfId="2683" priority="123">
      <formula>$C$259="No"</formula>
    </cfRule>
  </conditionalFormatting>
  <conditionalFormatting sqref="A263:E263">
    <cfRule type="expression" dxfId="2682" priority="124">
      <formula>$C$262="No"</formula>
    </cfRule>
  </conditionalFormatting>
  <conditionalFormatting sqref="A213:E213">
    <cfRule type="expression" dxfId="2681" priority="135">
      <formula>$C$212="No"</formula>
    </cfRule>
  </conditionalFormatting>
  <conditionalFormatting sqref="A216:E216">
    <cfRule type="expression" dxfId="2680" priority="136">
      <formula>$C$215="No"</formula>
    </cfRule>
  </conditionalFormatting>
  <conditionalFormatting sqref="C300:E300 A300">
    <cfRule type="expression" dxfId="2679" priority="175">
      <formula>$C$29="No"</formula>
    </cfRule>
  </conditionalFormatting>
  <conditionalFormatting sqref="A293:E293">
    <cfRule type="expression" dxfId="2678" priority="160">
      <formula>$C$292="No"</formula>
    </cfRule>
  </conditionalFormatting>
  <conditionalFormatting sqref="A241:E241">
    <cfRule type="expression" dxfId="2677" priority="132">
      <formula>$C$240="No"</formula>
    </cfRule>
  </conditionalFormatting>
  <conditionalFormatting sqref="A238">
    <cfRule type="expression" dxfId="2676" priority="131">
      <formula>#REF!="No"</formula>
    </cfRule>
  </conditionalFormatting>
  <conditionalFormatting sqref="D58">
    <cfRule type="expression" dxfId="2675" priority="171">
      <formula>$C$57="No"</formula>
    </cfRule>
  </conditionalFormatting>
  <conditionalFormatting sqref="A60:E60">
    <cfRule type="expression" dxfId="2674" priority="170">
      <formula>$C$59="No"</formula>
    </cfRule>
  </conditionalFormatting>
  <conditionalFormatting sqref="C51:E51 A51">
    <cfRule type="expression" dxfId="2673" priority="169">
      <formula>$C$30="No"</formula>
    </cfRule>
  </conditionalFormatting>
  <conditionalFormatting sqref="A138:E138">
    <cfRule type="expression" dxfId="2672" priority="145">
      <formula>$C$137="No"</formula>
    </cfRule>
  </conditionalFormatting>
  <conditionalFormatting sqref="A112:E112">
    <cfRule type="expression" dxfId="2671" priority="146">
      <formula>$C$111="No"</formula>
    </cfRule>
  </conditionalFormatting>
  <conditionalFormatting sqref="A203:E203">
    <cfRule type="expression" dxfId="2670" priority="137">
      <formula>$C$202="No"</formula>
    </cfRule>
  </conditionalFormatting>
  <conditionalFormatting sqref="A184:E184">
    <cfRule type="expression" dxfId="2669" priority="139">
      <formula>$C$183="No"</formula>
    </cfRule>
  </conditionalFormatting>
  <conditionalFormatting sqref="C97:E97 A97">
    <cfRule type="expression" dxfId="2668" priority="162">
      <formula>$C$27="No"</formula>
    </cfRule>
  </conditionalFormatting>
  <conditionalFormatting sqref="A276:B277 D276:D277">
    <cfRule type="expression" dxfId="2667" priority="121">
      <formula>$C$275="No"</formula>
    </cfRule>
  </conditionalFormatting>
  <conditionalFormatting sqref="A277:B277 D277">
    <cfRule type="expression" dxfId="2666" priority="122">
      <formula>$C$276="No"</formula>
    </cfRule>
  </conditionalFormatting>
  <conditionalFormatting sqref="B52:B57 B59:B60">
    <cfRule type="expression" dxfId="2665" priority="159">
      <formula>$C$30="No"</formula>
    </cfRule>
  </conditionalFormatting>
  <conditionalFormatting sqref="B47:B49">
    <cfRule type="expression" dxfId="2664" priority="158">
      <formula>$C$26="No"</formula>
    </cfRule>
  </conditionalFormatting>
  <conditionalFormatting sqref="B50">
    <cfRule type="expression" dxfId="2663" priority="155">
      <formula>$C$26="No"</formula>
    </cfRule>
  </conditionalFormatting>
  <conditionalFormatting sqref="A61:E61 A79:E79 A97:E97 A110:E110 A126:E126 A158:E158 A178:E178 A192:E192 A205:E205 A223:E223 A244:E244 A247:E247 A253:E253 A268:E268 A300:E300">
    <cfRule type="expression" dxfId="2662" priority="154">
      <formula>$C$30="Yes"</formula>
    </cfRule>
  </conditionalFormatting>
  <conditionalFormatting sqref="A155:E155">
    <cfRule type="expression" dxfId="2661" priority="153">
      <formula>$C$30="Yes"</formula>
    </cfRule>
  </conditionalFormatting>
  <conditionalFormatting sqref="A217:E217">
    <cfRule type="expression" dxfId="2660" priority="152">
      <formula>$C$30="Yes"</formula>
    </cfRule>
  </conditionalFormatting>
  <conditionalFormatting sqref="A258:E258">
    <cfRule type="expression" dxfId="2659" priority="151">
      <formula>$C$30="Yes"</formula>
    </cfRule>
  </conditionalFormatting>
  <conditionalFormatting sqref="B85:B94 B68:B71 B111:B112 B124:B125 B237:B243 B136:B154 B76:B78">
    <cfRule type="expression" dxfId="2658" priority="181">
      <formula>$C$30="Yes"</formula>
    </cfRule>
  </conditionalFormatting>
  <conditionalFormatting sqref="B80">
    <cfRule type="expression" dxfId="2657" priority="183">
      <formula>$C$30="Yes"</formula>
    </cfRule>
  </conditionalFormatting>
  <conditionalFormatting sqref="B84">
    <cfRule type="expression" dxfId="2656" priority="113">
      <formula>$C$30="Yes"</formula>
    </cfRule>
  </conditionalFormatting>
  <conditionalFormatting sqref="B114">
    <cfRule type="expression" dxfId="2655" priority="166">
      <formula>$C$30="Yes"</formula>
    </cfRule>
  </conditionalFormatting>
  <conditionalFormatting sqref="B254:B257">
    <cfRule type="expression" dxfId="2654" priority="126">
      <formula>$C$30="Yes"</formula>
    </cfRule>
  </conditionalFormatting>
  <conditionalFormatting sqref="B156:B157">
    <cfRule type="expression" dxfId="2653" priority="144">
      <formula>$C$30="Yes"</formula>
    </cfRule>
  </conditionalFormatting>
  <conditionalFormatting sqref="B245:B246">
    <cfRule type="expression" dxfId="2652" priority="130">
      <formula>$C$30="Yes"</formula>
    </cfRule>
  </conditionalFormatting>
  <conditionalFormatting sqref="B216">
    <cfRule type="expression" dxfId="2651" priority="177">
      <formula>$C$30="Yes"</formula>
    </cfRule>
  </conditionalFormatting>
  <conditionalFormatting sqref="B248:B252">
    <cfRule type="expression" dxfId="2650" priority="128">
      <formula>$C$30="Yes"</formula>
    </cfRule>
  </conditionalFormatting>
  <conditionalFormatting sqref="B81:B83">
    <cfRule type="expression" dxfId="2649" priority="117">
      <formula>$C$30="Yes"</formula>
    </cfRule>
  </conditionalFormatting>
  <conditionalFormatting sqref="B269:B299">
    <cfRule type="expression" dxfId="2648" priority="25">
      <formula>$C$24="No"</formula>
    </cfRule>
    <cfRule type="expression" dxfId="2647" priority="174">
      <formula>$C$30="Yes"</formula>
    </cfRule>
  </conditionalFormatting>
  <conditionalFormatting sqref="B301:B312">
    <cfRule type="expression" dxfId="2646" priority="24">
      <formula>$C$29="No"</formula>
    </cfRule>
    <cfRule type="expression" dxfId="2645" priority="120">
      <formula>$C$30="Yes"</formula>
    </cfRule>
  </conditionalFormatting>
  <conditionalFormatting sqref="A296:E296 A297:A299">
    <cfRule type="expression" dxfId="2644" priority="118">
      <formula>$C$295="No"</formula>
    </cfRule>
  </conditionalFormatting>
  <conditionalFormatting sqref="B127">
    <cfRule type="expression" dxfId="2643" priority="69">
      <formula>$C$30="Yes"</formula>
    </cfRule>
  </conditionalFormatting>
  <conditionalFormatting sqref="B95:B96">
    <cfRule type="expression" dxfId="2642" priority="112">
      <formula>$C$30="Yes"</formula>
    </cfRule>
  </conditionalFormatting>
  <conditionalFormatting sqref="B113">
    <cfRule type="expression" dxfId="2641" priority="110">
      <formula>$C$30="Yes"</formula>
    </cfRule>
  </conditionalFormatting>
  <conditionalFormatting sqref="B72:B75">
    <cfRule type="expression" dxfId="2640" priority="107">
      <formula>$C$30="Yes"</formula>
    </cfRule>
  </conditionalFormatting>
  <conditionalFormatting sqref="B115:B117">
    <cfRule type="expression" dxfId="2639" priority="105">
      <formula>$C$30="Yes"</formula>
    </cfRule>
  </conditionalFormatting>
  <conditionalFormatting sqref="B118:B123">
    <cfRule type="expression" dxfId="2638" priority="104">
      <formula>$C$30="Yes"</formula>
    </cfRule>
  </conditionalFormatting>
  <conditionalFormatting sqref="B128:B131">
    <cfRule type="expression" dxfId="2637" priority="72">
      <formula>$C$30="Yes"</formula>
    </cfRule>
  </conditionalFormatting>
  <conditionalFormatting sqref="B206:B215">
    <cfRule type="expression" dxfId="2636" priority="46">
      <formula>$C$30="Yes"</formula>
    </cfRule>
  </conditionalFormatting>
  <conditionalFormatting sqref="E90">
    <cfRule type="expression" dxfId="2635" priority="79">
      <formula>$C$89="No"</formula>
    </cfRule>
  </conditionalFormatting>
  <conditionalFormatting sqref="E92:E93">
    <cfRule type="expression" dxfId="2634" priority="80">
      <formula>$C$91="No"</formula>
    </cfRule>
  </conditionalFormatting>
  <conditionalFormatting sqref="B132">
    <cfRule type="expression" dxfId="2633" priority="68">
      <formula>$C$30="Yes"</formula>
    </cfRule>
  </conditionalFormatting>
  <conditionalFormatting sqref="B133">
    <cfRule type="expression" dxfId="2632" priority="67">
      <formula>$C$30="Yes"</formula>
    </cfRule>
  </conditionalFormatting>
  <conditionalFormatting sqref="B135">
    <cfRule type="expression" dxfId="2631" priority="66">
      <formula>$C$30="Yes"</formula>
    </cfRule>
  </conditionalFormatting>
  <conditionalFormatting sqref="B134">
    <cfRule type="expression" dxfId="2630" priority="65">
      <formula>$C$30="Yes"</formula>
    </cfRule>
  </conditionalFormatting>
  <conditionalFormatting sqref="E184">
    <cfRule type="expression" dxfId="2629" priority="56">
      <formula>$C$183="No"</formula>
    </cfRule>
  </conditionalFormatting>
  <conditionalFormatting sqref="E189">
    <cfRule type="expression" dxfId="2628" priority="55">
      <formula>$C$188="No"</formula>
    </cfRule>
  </conditionalFormatting>
  <conditionalFormatting sqref="B193:B204">
    <cfRule type="expression" dxfId="2627" priority="52">
      <formula>$C$30="Yes"</formula>
    </cfRule>
  </conditionalFormatting>
  <conditionalFormatting sqref="B218:B222">
    <cfRule type="expression" dxfId="2626" priority="44">
      <formula>$C$30="Yes"</formula>
    </cfRule>
  </conditionalFormatting>
  <conditionalFormatting sqref="B259:B267">
    <cfRule type="expression" dxfId="2625" priority="36">
      <formula>$C$30="Yes"</formula>
    </cfRule>
  </conditionalFormatting>
  <conditionalFormatting sqref="B224:B234">
    <cfRule type="expression" dxfId="2624" priority="26">
      <formula>$C$30="Yes"</formula>
    </cfRule>
  </conditionalFormatting>
  <conditionalFormatting sqref="B206:B216">
    <cfRule type="expression" dxfId="2623" priority="21">
      <formula>$C$25="No"</formula>
    </cfRule>
  </conditionalFormatting>
  <conditionalFormatting sqref="B62:B67">
    <cfRule type="expression" dxfId="2622" priority="18">
      <formula>$C$30="Yes"</formula>
    </cfRule>
  </conditionalFormatting>
  <conditionalFormatting sqref="B98:B109">
    <cfRule type="expression" dxfId="2621" priority="11">
      <formula>$C$27="No"</formula>
    </cfRule>
    <cfRule type="expression" dxfId="2620" priority="17">
      <formula>$C$30="Yes"</formula>
    </cfRule>
  </conditionalFormatting>
  <conditionalFormatting sqref="B159:B177">
    <cfRule type="expression" dxfId="2619" priority="15">
      <formula>$C$30="Yes"</formula>
    </cfRule>
  </conditionalFormatting>
  <conditionalFormatting sqref="B179:B191">
    <cfRule type="expression" dxfId="2618" priority="9">
      <formula>$C$28="No"</formula>
    </cfRule>
    <cfRule type="expression" dxfId="2617" priority="14">
      <formula>$C$30="Yes"</formula>
    </cfRule>
  </conditionalFormatting>
  <conditionalFormatting sqref="C58">
    <cfRule type="expression" dxfId="2616" priority="13">
      <formula>$C$57="No"</formula>
    </cfRule>
  </conditionalFormatting>
  <conditionalFormatting sqref="B58">
    <cfRule type="expression" dxfId="2615" priority="8">
      <formula>$C$30="No"</formula>
    </cfRule>
  </conditionalFormatting>
  <conditionalFormatting sqref="B235:B236">
    <cfRule type="expression" dxfId="2614" priority="7">
      <formula>$C$48="Yes"</formula>
    </cfRule>
  </conditionalFormatting>
  <conditionalFormatting sqref="E201">
    <cfRule type="expression" dxfId="2613" priority="6">
      <formula>#REF!="Yes"</formula>
    </cfRule>
  </conditionalFormatting>
  <conditionalFormatting sqref="E218">
    <cfRule type="expression" dxfId="2612" priority="5">
      <formula>#REF!="Yes"</formula>
    </cfRule>
  </conditionalFormatting>
  <conditionalFormatting sqref="E224">
    <cfRule type="expression" dxfId="2611" priority="4">
      <formula>#REF!="Yes"</formula>
    </cfRule>
  </conditionalFormatting>
  <conditionalFormatting sqref="E257">
    <cfRule type="expression" dxfId="2610" priority="3">
      <formula>#REF!="Yes"</formula>
    </cfRule>
  </conditionalFormatting>
  <conditionalFormatting sqref="C90">
    <cfRule type="expression" dxfId="2609" priority="2">
      <formula>$C$89="No"</formula>
    </cfRule>
  </conditionalFormatting>
  <conditionalFormatting sqref="C92:C93">
    <cfRule type="expression" dxfId="2608" priority="1">
      <formula>$C$91="No"</formula>
    </cfRule>
  </conditionalFormatting>
  <dataValidations count="2">
    <dataValidation type="list" allowBlank="1" showInputMessage="1" showErrorMessage="1" sqref="C24:C30 C32:C37 C41:C44 C249:C252 C204 C99:C109 C62:C67 C74:C75 C72 C69 C301:C306 C111 C113:C114 C117:C125 C141 C127:C132 C134:C139 C193:C194 C309:C311 C169:C170 C52:C60 C177 C188:C191 C180:C186 C292:C299 C196:C202 C208:C215 C224:C243 C218:C222 C245:C246 C265 C267 C259:C263 C254:C257 C269:C290 C143:C154 C80:C94 C166:C167 C156:C157 C159:C164 C172:C174">
      <formula1>yes</formula1>
    </dataValidation>
    <dataValidation type="list" allowBlank="1" showInputMessage="1" showErrorMessage="1" sqref="C171">
      <formula1>uptime</formula1>
    </dataValidation>
  </dataValidations>
  <pageMargins left="0.75" right="0.75" top="1" bottom="1" header="0.5" footer="0.5"/>
  <pageSetup orientation="landscape" r:id="rId1"/>
  <headerFooter>
    <oddFooter>&amp;L&amp;"Helvetica,Regular"&amp;12&amp;K000000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Values!$A$15:$A$19</xm:f>
          </x14:formula1>
          <xm:sqref>C165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7030A0"/>
  </sheetPr>
  <dimension ref="A1:IY321"/>
  <sheetViews>
    <sheetView showGridLines="0" zoomScaleNormal="100" zoomScalePageLayoutView="80" workbookViewId="0">
      <selection sqref="A1:I1"/>
    </sheetView>
  </sheetViews>
  <sheetFormatPr defaultColWidth="6.59765625" defaultRowHeight="15" customHeight="1" x14ac:dyDescent="0.2"/>
  <cols>
    <col min="1" max="1" width="8.19921875" customWidth="1"/>
    <col min="2" max="2" width="58.5" style="43" customWidth="1"/>
    <col min="3" max="3" width="24.59765625" style="44" customWidth="1"/>
    <col min="4" max="4" width="24.59765625" style="45" customWidth="1"/>
    <col min="5" max="5" width="24.59765625" style="40" customWidth="1"/>
    <col min="6" max="6" width="24.59765625" style="44" customWidth="1"/>
    <col min="7" max="7" width="24.59765625" style="24" customWidth="1"/>
    <col min="8" max="8" width="26.59765625" style="40" customWidth="1"/>
    <col min="9" max="9" width="12" style="3" customWidth="1"/>
    <col min="10" max="259" width="6.59765625" style="3" customWidth="1"/>
  </cols>
  <sheetData>
    <row r="1" spans="1:259" ht="36" customHeight="1" x14ac:dyDescent="0.2">
      <c r="A1" s="313" t="s">
        <v>2985</v>
      </c>
      <c r="B1" s="314"/>
      <c r="C1" s="314"/>
      <c r="D1" s="314"/>
      <c r="E1" s="314"/>
      <c r="F1" s="314"/>
      <c r="G1" s="314"/>
      <c r="H1" s="314"/>
      <c r="I1" s="315"/>
    </row>
    <row r="2" spans="1:259" ht="24" customHeight="1" x14ac:dyDescent="0.2">
      <c r="A2" s="298" t="s">
        <v>96</v>
      </c>
      <c r="B2" s="298"/>
      <c r="C2" s="298"/>
      <c r="D2" s="298"/>
      <c r="E2" s="298"/>
      <c r="F2" s="298"/>
      <c r="G2" s="298"/>
      <c r="H2" s="298"/>
      <c r="I2" s="172"/>
    </row>
    <row r="3" spans="1:259" s="136" customFormat="1" ht="2.1" customHeight="1" x14ac:dyDescent="0.2">
      <c r="A3" s="139"/>
      <c r="B3" s="139"/>
      <c r="C3" s="139"/>
      <c r="D3" s="139"/>
      <c r="E3" s="139"/>
      <c r="F3" s="139"/>
      <c r="G3" s="139"/>
      <c r="H3" s="139"/>
      <c r="I3" s="172"/>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row>
    <row r="4" spans="1:259" s="136" customFormat="1" ht="2.1" customHeight="1" x14ac:dyDescent="0.2">
      <c r="A4" s="139"/>
      <c r="B4" s="139"/>
      <c r="C4" s="139"/>
      <c r="D4" s="139"/>
      <c r="E4" s="139"/>
      <c r="F4" s="139"/>
      <c r="G4" s="139"/>
      <c r="H4" s="139"/>
      <c r="I4" s="172"/>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row>
    <row r="5" spans="1:259" s="136" customFormat="1" ht="2.1" customHeight="1" x14ac:dyDescent="0.2">
      <c r="A5" s="139"/>
      <c r="B5" s="139"/>
      <c r="C5" s="139"/>
      <c r="D5" s="139"/>
      <c r="E5" s="139"/>
      <c r="F5" s="139"/>
      <c r="G5" s="139"/>
      <c r="H5" s="139"/>
      <c r="I5" s="172"/>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row>
    <row r="6" spans="1:259" s="136" customFormat="1" ht="2.1" customHeight="1" x14ac:dyDescent="0.2">
      <c r="A6" s="139"/>
      <c r="B6" s="139"/>
      <c r="C6" s="139"/>
      <c r="D6" s="139"/>
      <c r="E6" s="139"/>
      <c r="F6" s="139"/>
      <c r="G6" s="139"/>
      <c r="H6" s="139"/>
      <c r="I6" s="172"/>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row>
    <row r="7" spans="1:259" s="136" customFormat="1" ht="2.1" customHeight="1" x14ac:dyDescent="0.2">
      <c r="A7" s="139"/>
      <c r="B7" s="139"/>
      <c r="C7" s="139"/>
      <c r="D7" s="139"/>
      <c r="E7" s="139"/>
      <c r="F7" s="139"/>
      <c r="G7" s="139"/>
      <c r="H7" s="139"/>
      <c r="I7" s="172"/>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row>
    <row r="8" spans="1:259" s="136" customFormat="1" ht="2.1" customHeight="1" x14ac:dyDescent="0.2">
      <c r="A8" s="139"/>
      <c r="B8" s="139"/>
      <c r="C8" s="139"/>
      <c r="D8" s="139"/>
      <c r="E8" s="139"/>
      <c r="F8" s="139"/>
      <c r="G8" s="139"/>
      <c r="H8" s="139"/>
      <c r="I8" s="172"/>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row>
    <row r="9" spans="1:259" s="136" customFormat="1" ht="2.1" customHeight="1" x14ac:dyDescent="0.2">
      <c r="A9" s="139"/>
      <c r="B9" s="139"/>
      <c r="C9" s="139"/>
      <c r="D9" s="139"/>
      <c r="E9" s="139"/>
      <c r="F9" s="139"/>
      <c r="G9" s="139"/>
      <c r="H9" s="139"/>
      <c r="I9" s="172"/>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row>
    <row r="10" spans="1:259" s="136" customFormat="1" ht="2.1" customHeight="1" x14ac:dyDescent="0.2">
      <c r="A10" s="139"/>
      <c r="B10" s="139"/>
      <c r="C10" s="139"/>
      <c r="D10" s="139"/>
      <c r="E10" s="139"/>
      <c r="F10" s="139"/>
      <c r="G10" s="139"/>
      <c r="H10" s="139"/>
      <c r="I10" s="172"/>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row>
    <row r="11" spans="1:259" s="136" customFormat="1" ht="2.1" customHeight="1" x14ac:dyDescent="0.2">
      <c r="A11" s="139"/>
      <c r="B11" s="139"/>
      <c r="C11" s="139"/>
      <c r="D11" s="139"/>
      <c r="E11" s="139"/>
      <c r="F11" s="139"/>
      <c r="G11" s="139"/>
      <c r="H11" s="139"/>
      <c r="I11" s="172"/>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row>
    <row r="12" spans="1:259" s="136" customFormat="1" ht="2.1" customHeight="1" x14ac:dyDescent="0.2">
      <c r="A12" s="268"/>
      <c r="B12" s="268"/>
      <c r="C12" s="268"/>
      <c r="D12" s="268"/>
      <c r="E12" s="268"/>
      <c r="F12" s="268"/>
      <c r="G12" s="268"/>
      <c r="H12" s="268"/>
      <c r="I12" s="172"/>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row>
    <row r="13" spans="1:259" s="136" customFormat="1" ht="2.1" customHeight="1" x14ac:dyDescent="0.2">
      <c r="A13" s="268"/>
      <c r="B13" s="268"/>
      <c r="C13" s="268"/>
      <c r="D13" s="268"/>
      <c r="E13" s="268"/>
      <c r="F13" s="268"/>
      <c r="G13" s="268"/>
      <c r="H13" s="268"/>
      <c r="I13" s="172"/>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row>
    <row r="14" spans="1:259" s="136" customFormat="1" ht="2.1" customHeight="1" x14ac:dyDescent="0.2">
      <c r="A14" s="268"/>
      <c r="B14" s="268"/>
      <c r="C14" s="268"/>
      <c r="D14" s="268"/>
      <c r="E14" s="268"/>
      <c r="F14" s="268"/>
      <c r="G14" s="268"/>
      <c r="H14" s="268"/>
      <c r="I14" s="172"/>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row>
    <row r="15" spans="1:259" s="136" customFormat="1" ht="2.1" customHeight="1" x14ac:dyDescent="0.2">
      <c r="A15" s="268"/>
      <c r="B15" s="268"/>
      <c r="C15" s="268"/>
      <c r="D15" s="268"/>
      <c r="E15" s="268"/>
      <c r="F15" s="268"/>
      <c r="G15" s="268"/>
      <c r="H15" s="268"/>
      <c r="I15" s="172"/>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row>
    <row r="16" spans="1:259" s="136" customFormat="1" ht="2.1" customHeight="1" x14ac:dyDescent="0.2">
      <c r="A16" s="268"/>
      <c r="B16" s="268"/>
      <c r="C16" s="268"/>
      <c r="D16" s="268"/>
      <c r="E16" s="268"/>
      <c r="F16" s="268"/>
      <c r="G16" s="268"/>
      <c r="H16" s="268"/>
      <c r="I16" s="172"/>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row>
    <row r="17" spans="1:259" s="136" customFormat="1" ht="2.1" customHeight="1" x14ac:dyDescent="0.2">
      <c r="A17" s="268"/>
      <c r="B17" s="268"/>
      <c r="C17" s="268"/>
      <c r="D17" s="268"/>
      <c r="E17" s="268"/>
      <c r="F17" s="268"/>
      <c r="G17" s="268"/>
      <c r="H17" s="268"/>
      <c r="I17" s="172"/>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row>
    <row r="18" spans="1:259" s="136" customFormat="1" ht="2.1" customHeight="1" x14ac:dyDescent="0.2">
      <c r="A18" s="268"/>
      <c r="B18" s="268"/>
      <c r="C18" s="268"/>
      <c r="D18" s="268"/>
      <c r="E18" s="268"/>
      <c r="F18" s="268"/>
      <c r="G18" s="268"/>
      <c r="H18" s="268"/>
      <c r="I18" s="172"/>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row>
    <row r="19" spans="1:259" s="136" customFormat="1" ht="2.1" customHeight="1" x14ac:dyDescent="0.2">
      <c r="A19" s="268"/>
      <c r="B19" s="268"/>
      <c r="C19" s="268"/>
      <c r="D19" s="268"/>
      <c r="E19" s="268"/>
      <c r="F19" s="268"/>
      <c r="G19" s="268"/>
      <c r="H19" s="268"/>
      <c r="I19" s="172"/>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row>
    <row r="20" spans="1:259" s="136" customFormat="1" ht="2.1" customHeight="1" x14ac:dyDescent="0.2">
      <c r="A20" s="139"/>
      <c r="B20" s="139"/>
      <c r="C20" s="139"/>
      <c r="D20" s="139"/>
      <c r="E20" s="139"/>
      <c r="F20" s="139"/>
      <c r="G20" s="139"/>
      <c r="H20" s="139"/>
      <c r="I20" s="172"/>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row>
    <row r="21" spans="1:259" s="136" customFormat="1" ht="2.1" customHeight="1" x14ac:dyDescent="0.2">
      <c r="A21" s="139"/>
      <c r="B21" s="139"/>
      <c r="C21" s="139"/>
      <c r="D21" s="139"/>
      <c r="E21" s="139"/>
      <c r="F21" s="139"/>
      <c r="G21" s="139"/>
      <c r="H21" s="139"/>
      <c r="I21" s="172"/>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row>
    <row r="22" spans="1:259" s="35" customFormat="1" ht="36" customHeight="1" x14ac:dyDescent="0.2">
      <c r="A22" s="301" t="s">
        <v>12</v>
      </c>
      <c r="B22" s="301"/>
      <c r="C22" s="36" t="s">
        <v>561</v>
      </c>
      <c r="D22" s="36" t="s">
        <v>562</v>
      </c>
      <c r="E22" s="36" t="s">
        <v>888</v>
      </c>
      <c r="F22" s="36" t="s">
        <v>565</v>
      </c>
      <c r="G22" s="25" t="s">
        <v>564</v>
      </c>
      <c r="H22" s="36" t="s">
        <v>563</v>
      </c>
      <c r="I22" s="173" t="s">
        <v>2045</v>
      </c>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row>
    <row r="23" spans="1:259" s="188" customFormat="1" ht="17.100000000000001" customHeight="1" x14ac:dyDescent="0.2">
      <c r="A23" s="183"/>
      <c r="B23" s="183"/>
      <c r="C23" s="184"/>
      <c r="D23" s="184"/>
      <c r="E23" s="184"/>
      <c r="F23" s="184"/>
      <c r="G23" s="185"/>
      <c r="H23" s="184"/>
      <c r="I23" s="186"/>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187"/>
      <c r="BB23" s="187"/>
      <c r="BC23" s="187"/>
      <c r="BD23" s="187"/>
      <c r="BE23" s="187"/>
      <c r="BF23" s="187"/>
      <c r="BG23" s="187"/>
      <c r="BH23" s="187"/>
      <c r="BI23" s="187"/>
      <c r="BJ23" s="187"/>
      <c r="BK23" s="187"/>
      <c r="BL23" s="187"/>
      <c r="BM23" s="187"/>
      <c r="BN23" s="187"/>
      <c r="BO23" s="187"/>
      <c r="BP23" s="187"/>
      <c r="BQ23" s="187"/>
      <c r="BR23" s="187"/>
      <c r="BS23" s="187"/>
      <c r="BT23" s="187"/>
      <c r="BU23" s="187"/>
      <c r="BV23" s="187"/>
      <c r="BW23" s="187"/>
      <c r="BX23" s="187"/>
      <c r="BY23" s="187"/>
      <c r="BZ23" s="187"/>
      <c r="CA23" s="187"/>
      <c r="CB23" s="187"/>
      <c r="CC23" s="187"/>
      <c r="CD23" s="187"/>
      <c r="CE23" s="187"/>
      <c r="CF23" s="187"/>
      <c r="CG23" s="187"/>
      <c r="CH23" s="187"/>
      <c r="CI23" s="187"/>
      <c r="CJ23" s="187"/>
      <c r="CK23" s="187"/>
      <c r="CL23" s="187"/>
      <c r="CM23" s="187"/>
      <c r="CN23" s="187"/>
      <c r="CO23" s="187"/>
      <c r="CP23" s="187"/>
      <c r="CQ23" s="187"/>
      <c r="CR23" s="187"/>
      <c r="CS23" s="187"/>
      <c r="CT23" s="187"/>
      <c r="CU23" s="187"/>
      <c r="CV23" s="187"/>
      <c r="CW23" s="187"/>
      <c r="CX23" s="187"/>
      <c r="CY23" s="187"/>
      <c r="CZ23" s="187"/>
      <c r="DA23" s="187"/>
      <c r="DB23" s="187"/>
      <c r="DC23" s="187"/>
      <c r="DD23" s="187"/>
      <c r="DE23" s="187"/>
      <c r="DF23" s="187"/>
      <c r="DG23" s="187"/>
      <c r="DH23" s="187"/>
      <c r="DI23" s="187"/>
      <c r="DJ23" s="187"/>
      <c r="DK23" s="187"/>
      <c r="DL23" s="187"/>
      <c r="DM23" s="187"/>
      <c r="DN23" s="187"/>
      <c r="DO23" s="187"/>
      <c r="DP23" s="187"/>
      <c r="DQ23" s="187"/>
      <c r="DR23" s="187"/>
      <c r="DS23" s="187"/>
      <c r="DT23" s="187"/>
      <c r="DU23" s="187"/>
      <c r="DV23" s="187"/>
      <c r="DW23" s="187"/>
      <c r="DX23" s="187"/>
      <c r="DY23" s="187"/>
      <c r="DZ23" s="187"/>
      <c r="EA23" s="187"/>
      <c r="EB23" s="187"/>
      <c r="EC23" s="187"/>
      <c r="ED23" s="187"/>
      <c r="EE23" s="187"/>
      <c r="EF23" s="187"/>
      <c r="EG23" s="187"/>
      <c r="EH23" s="187"/>
      <c r="EI23" s="187"/>
      <c r="EJ23" s="187"/>
      <c r="EK23" s="187"/>
      <c r="EL23" s="187"/>
      <c r="EM23" s="187"/>
      <c r="EN23" s="187"/>
      <c r="EO23" s="187"/>
      <c r="EP23" s="187"/>
      <c r="EQ23" s="187"/>
      <c r="ER23" s="187"/>
      <c r="ES23" s="187"/>
      <c r="ET23" s="187"/>
      <c r="EU23" s="187"/>
      <c r="EV23" s="187"/>
      <c r="EW23" s="187"/>
      <c r="EX23" s="187"/>
      <c r="EY23" s="187"/>
      <c r="EZ23" s="187"/>
      <c r="FA23" s="187"/>
      <c r="FB23" s="187"/>
      <c r="FC23" s="187"/>
      <c r="FD23" s="187"/>
      <c r="FE23" s="187"/>
      <c r="FF23" s="187"/>
      <c r="FG23" s="187"/>
      <c r="FH23" s="187"/>
      <c r="FI23" s="187"/>
      <c r="FJ23" s="187"/>
      <c r="FK23" s="187"/>
      <c r="FL23" s="187"/>
      <c r="FM23" s="187"/>
      <c r="FN23" s="187"/>
      <c r="FO23" s="187"/>
      <c r="FP23" s="187"/>
      <c r="FQ23" s="187"/>
      <c r="FR23" s="187"/>
      <c r="FS23" s="187"/>
      <c r="FT23" s="187"/>
      <c r="FU23" s="187"/>
      <c r="FV23" s="187"/>
      <c r="FW23" s="187"/>
      <c r="FX23" s="187"/>
      <c r="FY23" s="187"/>
      <c r="FZ23" s="187"/>
      <c r="GA23" s="187"/>
      <c r="GB23" s="187"/>
      <c r="GC23" s="187"/>
      <c r="GD23" s="187"/>
      <c r="GE23" s="187"/>
      <c r="GF23" s="187"/>
      <c r="GG23" s="187"/>
      <c r="GH23" s="187"/>
      <c r="GI23" s="187"/>
      <c r="GJ23" s="187"/>
      <c r="GK23" s="187"/>
      <c r="GL23" s="187"/>
      <c r="GM23" s="187"/>
      <c r="GN23" s="187"/>
      <c r="GO23" s="187"/>
      <c r="GP23" s="187"/>
      <c r="GQ23" s="187"/>
      <c r="GR23" s="187"/>
      <c r="GS23" s="187"/>
      <c r="GT23" s="187"/>
      <c r="GU23" s="187"/>
      <c r="GV23" s="187"/>
      <c r="GW23" s="187"/>
      <c r="GX23" s="187"/>
      <c r="GY23" s="187"/>
      <c r="GZ23" s="187"/>
      <c r="HA23" s="187"/>
      <c r="HB23" s="187"/>
      <c r="HC23" s="187"/>
      <c r="HD23" s="187"/>
      <c r="HE23" s="187"/>
      <c r="HF23" s="187"/>
      <c r="HG23" s="187"/>
      <c r="HH23" s="187"/>
      <c r="HI23" s="187"/>
      <c r="HJ23" s="187"/>
      <c r="HK23" s="187"/>
      <c r="HL23" s="187"/>
      <c r="HM23" s="187"/>
      <c r="HN23" s="187"/>
      <c r="HO23" s="187"/>
      <c r="HP23" s="187"/>
      <c r="HQ23" s="187"/>
      <c r="HR23" s="187"/>
      <c r="HS23" s="187"/>
      <c r="HT23" s="187"/>
      <c r="HU23" s="187"/>
      <c r="HV23" s="187"/>
      <c r="HW23" s="187"/>
      <c r="HX23" s="187"/>
      <c r="HY23" s="187"/>
      <c r="HZ23" s="187"/>
      <c r="IA23" s="187"/>
      <c r="IB23" s="187"/>
      <c r="IC23" s="187"/>
      <c r="ID23" s="187"/>
      <c r="IE23" s="187"/>
      <c r="IF23" s="187"/>
      <c r="IG23" s="187"/>
      <c r="IH23" s="187"/>
      <c r="II23" s="187"/>
      <c r="IJ23" s="187"/>
      <c r="IK23" s="187"/>
      <c r="IL23" s="187"/>
      <c r="IM23" s="187"/>
      <c r="IN23" s="187"/>
      <c r="IO23" s="187"/>
      <c r="IP23" s="187"/>
      <c r="IQ23" s="187"/>
      <c r="IR23" s="187"/>
      <c r="IS23" s="187"/>
      <c r="IT23" s="187"/>
      <c r="IU23" s="187"/>
      <c r="IV23" s="187"/>
      <c r="IW23" s="187"/>
      <c r="IX23" s="187"/>
      <c r="IY23" s="187"/>
    </row>
    <row r="24" spans="1:259" ht="48" customHeight="1" x14ac:dyDescent="0.2">
      <c r="A24" s="15" t="s">
        <v>164</v>
      </c>
      <c r="B24" s="30" t="str">
        <f>VLOOKUP(A24,'HECVAT - Full'!A$24:B$312,2,FALSE)</f>
        <v>Does your product process protected health information (PHI) or any data covered by the Health Insurance Portability and Accountability Act?</v>
      </c>
      <c r="C24" s="37" t="s">
        <v>568</v>
      </c>
      <c r="D24" s="37" t="s">
        <v>615</v>
      </c>
      <c r="E24" s="37" t="s">
        <v>616</v>
      </c>
      <c r="F24" s="37" t="s">
        <v>697</v>
      </c>
      <c r="G24" s="46" t="s">
        <v>697</v>
      </c>
      <c r="H24" s="37" t="s">
        <v>818</v>
      </c>
      <c r="I24" s="38"/>
    </row>
    <row r="25" spans="1:259" ht="48" customHeight="1" x14ac:dyDescent="0.2">
      <c r="A25" s="15" t="s">
        <v>165</v>
      </c>
      <c r="B25" s="30" t="str">
        <f>VLOOKUP(A25,'HECVAT - Full'!A$24:B$312,2,FALSE)</f>
        <v>Does the vended product host/support a mobile application? (e.g. app)</v>
      </c>
      <c r="C25" s="37" t="s">
        <v>569</v>
      </c>
      <c r="D25" s="38"/>
      <c r="E25" s="38"/>
      <c r="F25" s="38"/>
      <c r="G25" s="47"/>
      <c r="H25" s="37" t="s">
        <v>819</v>
      </c>
      <c r="I25" s="38"/>
    </row>
    <row r="26" spans="1:259" ht="48" customHeight="1" x14ac:dyDescent="0.2">
      <c r="A26" s="15" t="s">
        <v>166</v>
      </c>
      <c r="B26" s="30" t="str">
        <f>VLOOKUP(A26,'HECVAT - Full'!A$24:B$312,2,FALSE)</f>
        <v>Will institution data be shared with or hosted by any third parties? (e.g. any entity not wholly-owned by your company is considered a third-party)</v>
      </c>
      <c r="C26" s="37" t="s">
        <v>568</v>
      </c>
      <c r="D26" s="38"/>
      <c r="E26" s="38"/>
      <c r="F26" s="37" t="s">
        <v>698</v>
      </c>
      <c r="G26" s="46" t="s">
        <v>698</v>
      </c>
      <c r="H26" s="38"/>
      <c r="I26" s="37">
        <v>12.8</v>
      </c>
    </row>
    <row r="27" spans="1:259" ht="48" customHeight="1" x14ac:dyDescent="0.2">
      <c r="A27" s="15" t="s">
        <v>167</v>
      </c>
      <c r="B27" s="30" t="str">
        <f>VLOOKUP(A27,'HECVAT - Full'!A$24:B$312,2,FALSE)</f>
        <v>Do you have a Business Continuity Plan (BCP)?</v>
      </c>
      <c r="C27" s="37" t="s">
        <v>570</v>
      </c>
      <c r="D27" s="38"/>
      <c r="E27" s="37" t="s">
        <v>617</v>
      </c>
      <c r="F27" s="37" t="s">
        <v>699</v>
      </c>
      <c r="G27" s="46" t="s">
        <v>699</v>
      </c>
      <c r="H27" s="37" t="s">
        <v>820</v>
      </c>
      <c r="I27" s="37">
        <v>12.1</v>
      </c>
    </row>
    <row r="28" spans="1:259" ht="48" customHeight="1" x14ac:dyDescent="0.2">
      <c r="A28" s="15" t="s">
        <v>168</v>
      </c>
      <c r="B28" s="30" t="str">
        <f>VLOOKUP(A28,'HECVAT - Full'!A$24:B$312,2,FALSE)</f>
        <v>Do you have a Disaster Recovery Plan (DRP)?</v>
      </c>
      <c r="C28" s="37" t="s">
        <v>570</v>
      </c>
      <c r="D28" s="38"/>
      <c r="E28" s="37" t="s">
        <v>617</v>
      </c>
      <c r="F28" s="37" t="s">
        <v>699</v>
      </c>
      <c r="G28" s="46" t="s">
        <v>699</v>
      </c>
      <c r="H28" s="37" t="s">
        <v>821</v>
      </c>
      <c r="I28" s="37">
        <v>12.1</v>
      </c>
    </row>
    <row r="29" spans="1:259" ht="48" customHeight="1" x14ac:dyDescent="0.2">
      <c r="A29" s="15" t="s">
        <v>169</v>
      </c>
      <c r="B29" s="30" t="str">
        <f>VLOOKUP(A29,'HECVAT - Full'!A$24:B$312,2,FALSE)</f>
        <v>Will data regulated by PCI DSS reside in the vended product?</v>
      </c>
      <c r="C29" s="37" t="s">
        <v>568</v>
      </c>
      <c r="D29" s="38"/>
      <c r="E29" s="37" t="s">
        <v>616</v>
      </c>
      <c r="F29" s="37" t="s">
        <v>697</v>
      </c>
      <c r="G29" s="46" t="s">
        <v>697</v>
      </c>
      <c r="H29" s="37" t="s">
        <v>818</v>
      </c>
      <c r="I29" s="37" t="s">
        <v>2108</v>
      </c>
    </row>
    <row r="30" spans="1:259" ht="48" customHeight="1" x14ac:dyDescent="0.2">
      <c r="A30" s="15" t="s">
        <v>170</v>
      </c>
      <c r="B30" s="30" t="str">
        <f>VLOOKUP(A30,'HECVAT - Full'!A$24:B$312,2,FALSE)</f>
        <v>Is your company a consulting firm providing only consultation to the Institution?</v>
      </c>
      <c r="C30" s="37" t="s">
        <v>571</v>
      </c>
      <c r="D30" s="38"/>
      <c r="E30" s="38"/>
      <c r="F30" s="38"/>
      <c r="G30" s="47"/>
      <c r="H30" s="38"/>
      <c r="I30" s="37" t="s">
        <v>2109</v>
      </c>
    </row>
    <row r="31" spans="1:259" s="35" customFormat="1" ht="36" customHeight="1" x14ac:dyDescent="0.2">
      <c r="A31" s="301" t="s">
        <v>18</v>
      </c>
      <c r="B31" s="301"/>
      <c r="C31" s="36" t="str">
        <f>$C$22</f>
        <v>CIS Critical Security Controls v6.1</v>
      </c>
      <c r="D31" s="36" t="str">
        <f>$D$22</f>
        <v>HIPAA</v>
      </c>
      <c r="E31" s="36" t="str">
        <f>$E$22</f>
        <v>ISO 27002:2013</v>
      </c>
      <c r="F31" s="36" t="str">
        <f>$F$22</f>
        <v>NIST Cybersecurity Framework</v>
      </c>
      <c r="G31" s="25" t="str">
        <f>$G$22</f>
        <v>NIST SP 800-171r1</v>
      </c>
      <c r="H31" s="36" t="str">
        <f>$H$22</f>
        <v>NIST SP 800-53r4</v>
      </c>
      <c r="I31" s="173" t="s">
        <v>2045</v>
      </c>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row>
    <row r="32" spans="1:259" ht="64.349999999999994" customHeight="1" x14ac:dyDescent="0.2">
      <c r="A32" s="15" t="s">
        <v>171</v>
      </c>
      <c r="B32" s="30" t="str">
        <f>VLOOKUP(A32,'HECVAT - Full'!A$24:B$312,2,FALSE)</f>
        <v>Have you undergone a SSAE 18 audit?</v>
      </c>
      <c r="C32" s="38"/>
      <c r="D32" s="38"/>
      <c r="E32" s="37" t="s">
        <v>618</v>
      </c>
      <c r="F32" s="38"/>
      <c r="G32" s="47"/>
      <c r="H32" s="37" t="s">
        <v>822</v>
      </c>
      <c r="I32" s="38"/>
    </row>
    <row r="33" spans="1:259" ht="48" customHeight="1" x14ac:dyDescent="0.2">
      <c r="A33" s="15" t="s">
        <v>172</v>
      </c>
      <c r="B33" s="30" t="str">
        <f>VLOOKUP(A33,'HECVAT - Full'!A$24:B$312,2,FALSE)</f>
        <v>Have you completed the Cloud Security Alliance (CSA) self assessment or CAIQ?</v>
      </c>
      <c r="C33" s="38"/>
      <c r="D33" s="38"/>
      <c r="E33" s="37" t="s">
        <v>618</v>
      </c>
      <c r="F33" s="38"/>
      <c r="G33" s="47"/>
      <c r="H33" s="37" t="s">
        <v>823</v>
      </c>
      <c r="I33" s="38"/>
    </row>
    <row r="34" spans="1:259" ht="48" customHeight="1" x14ac:dyDescent="0.2">
      <c r="A34" s="15" t="s">
        <v>173</v>
      </c>
      <c r="B34" s="30" t="str">
        <f>VLOOKUP(A34,'HECVAT - Full'!A$24:B$312,2,FALSE)</f>
        <v>Have you received the Cloud Security Alliance STAR certification?</v>
      </c>
      <c r="C34" s="38"/>
      <c r="D34" s="38"/>
      <c r="E34" s="37" t="s">
        <v>618</v>
      </c>
      <c r="F34" s="38"/>
      <c r="G34" s="47"/>
      <c r="H34" s="37" t="s">
        <v>823</v>
      </c>
      <c r="I34" s="38"/>
    </row>
    <row r="35" spans="1:259" ht="64.349999999999994" customHeight="1" x14ac:dyDescent="0.2">
      <c r="A35" s="15" t="s">
        <v>174</v>
      </c>
      <c r="B35" s="30" t="str">
        <f>VLOOKUP(A35,'HECVAT - Full'!A$24:B$312,2,FALSE)</f>
        <v>Do you conform with a specific industry standard security framework? (e.g. NIST Cybersecurity Framework, ISO 27001, etc.)</v>
      </c>
      <c r="C35" s="38"/>
      <c r="D35" s="38"/>
      <c r="E35" s="37" t="s">
        <v>616</v>
      </c>
      <c r="F35" s="38"/>
      <c r="G35" s="47"/>
      <c r="H35" s="37" t="s">
        <v>822</v>
      </c>
      <c r="I35" s="37" t="s">
        <v>2110</v>
      </c>
    </row>
    <row r="36" spans="1:259" ht="48" customHeight="1" x14ac:dyDescent="0.2">
      <c r="A36" s="15" t="s">
        <v>175</v>
      </c>
      <c r="B36" s="30" t="str">
        <f>VLOOKUP(A36,'HECVAT - Full'!A$24:B$312,2,FALSE)</f>
        <v>Are you compliant with FISMA standards?</v>
      </c>
      <c r="C36" s="38"/>
      <c r="D36" s="38"/>
      <c r="E36" s="37" t="s">
        <v>616</v>
      </c>
      <c r="F36" s="38"/>
      <c r="G36" s="47"/>
      <c r="H36" s="37" t="s">
        <v>822</v>
      </c>
      <c r="I36" s="38"/>
    </row>
    <row r="37" spans="1:259" ht="48" customHeight="1" x14ac:dyDescent="0.2">
      <c r="A37" s="15" t="s">
        <v>176</v>
      </c>
      <c r="B37" s="30" t="str">
        <f>VLOOKUP(A37,'HECVAT - Full'!A$24:B$312,2,FALSE)</f>
        <v>Does your organization have a data privacy policy?</v>
      </c>
      <c r="C37" s="38"/>
      <c r="D37" s="37" t="s">
        <v>599</v>
      </c>
      <c r="E37" s="37" t="s">
        <v>619</v>
      </c>
      <c r="F37" s="37" t="s">
        <v>697</v>
      </c>
      <c r="G37" s="46" t="s">
        <v>697</v>
      </c>
      <c r="H37" s="37" t="s">
        <v>822</v>
      </c>
      <c r="I37" s="38"/>
    </row>
    <row r="38" spans="1:259" s="35" customFormat="1" ht="36" customHeight="1" x14ac:dyDescent="0.2">
      <c r="A38" s="301" t="s">
        <v>152</v>
      </c>
      <c r="B38" s="301"/>
      <c r="C38" s="36" t="str">
        <f>$C$22</f>
        <v>CIS Critical Security Controls v6.1</v>
      </c>
      <c r="D38" s="36" t="str">
        <f>$D$22</f>
        <v>HIPAA</v>
      </c>
      <c r="E38" s="36" t="str">
        <f>$E$22</f>
        <v>ISO 27002:2013</v>
      </c>
      <c r="F38" s="36" t="str">
        <f>$F$22</f>
        <v>NIST Cybersecurity Framework</v>
      </c>
      <c r="G38" s="25" t="str">
        <f>$G$22</f>
        <v>NIST SP 800-171r1</v>
      </c>
      <c r="H38" s="36" t="str">
        <f>$H$22</f>
        <v>NIST SP 800-53r4</v>
      </c>
      <c r="I38" s="173" t="s">
        <v>2045</v>
      </c>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row>
    <row r="39" spans="1:259" ht="54" customHeight="1" x14ac:dyDescent="0.2">
      <c r="A39" s="15" t="s">
        <v>177</v>
      </c>
      <c r="B39" s="30" t="str">
        <f>VLOOKUP(A39,'HECVAT - Full'!A$24:B$312,2,FALSE)</f>
        <v>Describe your organization’s business background and ownership structure, including all parent and subsidiary relationships.</v>
      </c>
      <c r="C39" s="38"/>
      <c r="D39" s="38"/>
      <c r="E39" s="38"/>
      <c r="F39" s="38"/>
      <c r="G39" s="47"/>
      <c r="H39" s="38"/>
      <c r="I39" s="37">
        <v>12.8</v>
      </c>
    </row>
    <row r="40" spans="1:259" ht="54" customHeight="1" x14ac:dyDescent="0.2">
      <c r="A40" s="15" t="s">
        <v>178</v>
      </c>
      <c r="B40" s="30" t="str">
        <f>VLOOKUP(A40,'HECVAT - Full'!A$24:B$312,2,FALSE)</f>
        <v>Describe how long your organization has conducted business in this product area.</v>
      </c>
      <c r="C40" s="38"/>
      <c r="D40" s="38"/>
      <c r="E40" s="38"/>
      <c r="F40" s="38"/>
      <c r="G40" s="47"/>
      <c r="H40" s="38"/>
      <c r="I40" s="37">
        <v>12.8</v>
      </c>
    </row>
    <row r="41" spans="1:259" ht="54" customHeight="1" x14ac:dyDescent="0.2">
      <c r="A41" s="15" t="s">
        <v>179</v>
      </c>
      <c r="B41" s="30" t="str">
        <f>VLOOKUP(A41,'HECVAT - Full'!A$24:B$312,2,FALSE)</f>
        <v>Do you have existing higher education customers?</v>
      </c>
      <c r="C41" s="38"/>
      <c r="D41" s="38"/>
      <c r="E41" s="37" t="s">
        <v>618</v>
      </c>
      <c r="F41" s="38"/>
      <c r="G41" s="47"/>
      <c r="H41" s="38"/>
      <c r="I41" s="37">
        <v>12.8</v>
      </c>
    </row>
    <row r="42" spans="1:259" ht="64.349999999999994" customHeight="1" x14ac:dyDescent="0.2">
      <c r="A42" s="15" t="s">
        <v>180</v>
      </c>
      <c r="B42" s="30" t="str">
        <f>VLOOKUP(A42,'HECVAT - Full'!A$24:B$312,2,FALSE)</f>
        <v>Have you had a significant breach in the last 5 years?</v>
      </c>
      <c r="C42" s="38"/>
      <c r="D42" s="38"/>
      <c r="E42" s="38"/>
      <c r="F42" s="38"/>
      <c r="G42" s="38"/>
      <c r="H42" s="38"/>
      <c r="I42" s="38"/>
    </row>
    <row r="43" spans="1:259" ht="54" customHeight="1" x14ac:dyDescent="0.2">
      <c r="A43" s="15" t="s">
        <v>181</v>
      </c>
      <c r="B43" s="30" t="str">
        <f>VLOOKUP(A43,'HECVAT - Full'!A$24:B$312,2,FALSE)</f>
        <v>Do you have a dedicated Information Security staff or office?</v>
      </c>
      <c r="C43" s="38"/>
      <c r="D43" s="38"/>
      <c r="E43" s="37" t="s">
        <v>618</v>
      </c>
      <c r="F43" s="38"/>
      <c r="G43" s="47"/>
      <c r="H43" s="38"/>
      <c r="I43" s="37" t="s">
        <v>2111</v>
      </c>
    </row>
    <row r="44" spans="1:259" ht="64.349999999999994" customHeight="1" x14ac:dyDescent="0.2">
      <c r="A44" s="15" t="s">
        <v>182</v>
      </c>
      <c r="B44" s="30" t="str">
        <f>VLOOKUP(A44,'HECVAT - Full'!A$24:B$312,2,FALSE)</f>
        <v>Do you have a dedicated Software and System Development team(s)? (e.g. Customer Support, Implementation, Product Management, etc.)</v>
      </c>
      <c r="C44" s="38"/>
      <c r="D44" s="38"/>
      <c r="E44" s="37" t="s">
        <v>621</v>
      </c>
      <c r="F44" s="38"/>
      <c r="G44" s="47"/>
      <c r="H44" s="37" t="s">
        <v>824</v>
      </c>
      <c r="I44" s="37">
        <v>12.8</v>
      </c>
    </row>
    <row r="45" spans="1:259" ht="83.1" customHeight="1" x14ac:dyDescent="0.2">
      <c r="A45" s="15" t="s">
        <v>430</v>
      </c>
      <c r="B45" s="30" t="str">
        <f>VLOOKUP(A45,'HECVAT - Full'!A$24:B$312,2,FALSE)</f>
        <v>Use this area to share information about your environment that will assist those who are assessing your company data security program.</v>
      </c>
      <c r="C45" s="38"/>
      <c r="D45" s="38"/>
      <c r="E45" s="37" t="s">
        <v>618</v>
      </c>
      <c r="F45" s="38"/>
      <c r="G45" s="47"/>
      <c r="H45" s="38"/>
      <c r="I45" s="37">
        <v>12.8</v>
      </c>
    </row>
    <row r="46" spans="1:259" ht="36" customHeight="1" x14ac:dyDescent="0.2">
      <c r="A46" s="301" t="str">
        <f>IF($C$26="No","Third Parties - Optional based on QUALIFIER response.","Third Parties")</f>
        <v>Third Parties</v>
      </c>
      <c r="B46" s="301"/>
      <c r="C46" s="36" t="str">
        <f>$C$22</f>
        <v>CIS Critical Security Controls v6.1</v>
      </c>
      <c r="D46" s="36" t="str">
        <f>$D$22</f>
        <v>HIPAA</v>
      </c>
      <c r="E46" s="36" t="str">
        <f>$E$22</f>
        <v>ISO 27002:2013</v>
      </c>
      <c r="F46" s="36" t="str">
        <f>$F$22</f>
        <v>NIST Cybersecurity Framework</v>
      </c>
      <c r="G46" s="25" t="str">
        <f>$G$22</f>
        <v>NIST SP 800-171r1</v>
      </c>
      <c r="H46" s="36" t="str">
        <f>$H$22</f>
        <v>NIST SP 800-53r4</v>
      </c>
      <c r="I46" s="173" t="s">
        <v>2045</v>
      </c>
    </row>
    <row r="47" spans="1:259" ht="96" customHeight="1" x14ac:dyDescent="0.2">
      <c r="A47" s="15" t="s">
        <v>183</v>
      </c>
      <c r="B47" s="30" t="s">
        <v>130</v>
      </c>
      <c r="C47" s="37" t="s">
        <v>568</v>
      </c>
      <c r="D47" s="38"/>
      <c r="E47" s="37" t="s">
        <v>622</v>
      </c>
      <c r="F47" s="37" t="s">
        <v>768</v>
      </c>
      <c r="G47" s="46" t="s">
        <v>700</v>
      </c>
      <c r="H47" s="37" t="s">
        <v>825</v>
      </c>
      <c r="I47" s="37">
        <v>12.8</v>
      </c>
    </row>
    <row r="48" spans="1:259" ht="80.099999999999994" customHeight="1" x14ac:dyDescent="0.2">
      <c r="A48" s="15" t="s">
        <v>184</v>
      </c>
      <c r="B48" s="30" t="s">
        <v>516</v>
      </c>
      <c r="C48" s="37" t="s">
        <v>568</v>
      </c>
      <c r="D48" s="38"/>
      <c r="E48" s="37" t="s">
        <v>622</v>
      </c>
      <c r="F48" s="37" t="s">
        <v>768</v>
      </c>
      <c r="G48" s="46" t="s">
        <v>700</v>
      </c>
      <c r="H48" s="38"/>
      <c r="I48" s="37">
        <v>12.8</v>
      </c>
    </row>
    <row r="49" spans="1:259" ht="80.099999999999994" customHeight="1" x14ac:dyDescent="0.2">
      <c r="A49" s="15" t="s">
        <v>185</v>
      </c>
      <c r="B49" s="30" t="s">
        <v>21</v>
      </c>
      <c r="C49" s="37" t="s">
        <v>568</v>
      </c>
      <c r="D49" s="38"/>
      <c r="E49" s="37" t="s">
        <v>622</v>
      </c>
      <c r="F49" s="37" t="s">
        <v>697</v>
      </c>
      <c r="G49" s="47"/>
      <c r="H49" s="37" t="s">
        <v>826</v>
      </c>
      <c r="I49" s="37">
        <v>12.8</v>
      </c>
    </row>
    <row r="50" spans="1:259" ht="80.099999999999994" customHeight="1" x14ac:dyDescent="0.2">
      <c r="A50" s="15" t="s">
        <v>429</v>
      </c>
      <c r="B50" s="30" t="s">
        <v>441</v>
      </c>
      <c r="C50" s="38"/>
      <c r="D50" s="38"/>
      <c r="E50" s="37" t="s">
        <v>622</v>
      </c>
      <c r="F50" s="37" t="s">
        <v>698</v>
      </c>
      <c r="G50" s="47"/>
      <c r="H50" s="37" t="s">
        <v>827</v>
      </c>
      <c r="I50" s="37">
        <v>12.8</v>
      </c>
    </row>
    <row r="51" spans="1:259" ht="36" customHeight="1" x14ac:dyDescent="0.2">
      <c r="A51" s="301" t="str">
        <f>IF($C$30="","Consulting",IF($C$30="Yes","Consulting - All questions after this section are OPTIONAL.","Consulting - Optional based on QUALIFIER response."))</f>
        <v>Consulting - Optional based on QUALIFIER response.</v>
      </c>
      <c r="B51" s="301"/>
      <c r="C51" s="36" t="str">
        <f>$C$22</f>
        <v>CIS Critical Security Controls v6.1</v>
      </c>
      <c r="D51" s="36" t="str">
        <f>$D$22</f>
        <v>HIPAA</v>
      </c>
      <c r="E51" s="36" t="str">
        <f>$E$22</f>
        <v>ISO 27002:2013</v>
      </c>
      <c r="F51" s="36" t="str">
        <f>$F$22</f>
        <v>NIST Cybersecurity Framework</v>
      </c>
      <c r="G51" s="25" t="str">
        <f>$G$22</f>
        <v>NIST SP 800-171r1</v>
      </c>
      <c r="H51" s="36" t="str">
        <f>$H$22</f>
        <v>NIST SP 800-53r4</v>
      </c>
      <c r="I51" s="173" t="s">
        <v>2045</v>
      </c>
    </row>
    <row r="52" spans="1:259" ht="36" customHeight="1" x14ac:dyDescent="0.2">
      <c r="A52" s="15" t="s">
        <v>186</v>
      </c>
      <c r="B52" s="30" t="str">
        <f>VLOOKUP(A52,'HECVAT - Full'!A$24:B$312,2,FALSE)</f>
        <v>Will the consulting take place on-premises?</v>
      </c>
      <c r="C52" s="38"/>
      <c r="D52" s="38"/>
      <c r="E52" s="37" t="s">
        <v>618</v>
      </c>
      <c r="F52" s="37" t="s">
        <v>698</v>
      </c>
      <c r="G52" s="47"/>
      <c r="H52" s="38"/>
      <c r="I52" s="38"/>
    </row>
    <row r="53" spans="1:259" ht="63" customHeight="1" x14ac:dyDescent="0.2">
      <c r="A53" s="15" t="s">
        <v>187</v>
      </c>
      <c r="B53" s="30" t="str">
        <f>VLOOKUP(A53,'HECVAT - Full'!A$24:B$312,2,FALSE)</f>
        <v>Will the consultant require access to Institution's network resources?</v>
      </c>
      <c r="C53" s="37" t="s">
        <v>571</v>
      </c>
      <c r="D53" s="38"/>
      <c r="E53" s="37" t="s">
        <v>623</v>
      </c>
      <c r="F53" s="37" t="s">
        <v>698</v>
      </c>
      <c r="G53" s="46" t="s">
        <v>701</v>
      </c>
      <c r="H53" s="37" t="s">
        <v>828</v>
      </c>
      <c r="I53" s="38"/>
    </row>
    <row r="54" spans="1:259" ht="63" customHeight="1" x14ac:dyDescent="0.2">
      <c r="A54" s="15" t="s">
        <v>188</v>
      </c>
      <c r="B54" s="30" t="str">
        <f>VLOOKUP(A54,'HECVAT - Full'!A$24:B$312,2,FALSE)</f>
        <v>Will the consultant require access to hardware in the Institution's data centers?</v>
      </c>
      <c r="C54" s="37" t="s">
        <v>571</v>
      </c>
      <c r="D54" s="38"/>
      <c r="E54" s="37" t="s">
        <v>624</v>
      </c>
      <c r="F54" s="37" t="s">
        <v>698</v>
      </c>
      <c r="G54" s="46" t="s">
        <v>702</v>
      </c>
      <c r="H54" s="38"/>
      <c r="I54" s="38"/>
    </row>
    <row r="55" spans="1:259" ht="48" customHeight="1" x14ac:dyDescent="0.2">
      <c r="A55" s="15" t="s">
        <v>189</v>
      </c>
      <c r="B55" s="30" t="str">
        <f>VLOOKUP(A55,'HECVAT - Full'!A$24:B$312,2,FALSE)</f>
        <v>Will the consultant require an account within the Institution's domain (@*.edu)?</v>
      </c>
      <c r="C55" s="37" t="s">
        <v>571</v>
      </c>
      <c r="D55" s="38"/>
      <c r="E55" s="38"/>
      <c r="F55" s="37" t="s">
        <v>698</v>
      </c>
      <c r="G55" s="47"/>
      <c r="H55" s="38"/>
      <c r="I55" s="38"/>
    </row>
    <row r="56" spans="1:259" ht="48" customHeight="1" x14ac:dyDescent="0.2">
      <c r="A56" s="15" t="s">
        <v>190</v>
      </c>
      <c r="B56" s="30" t="str">
        <f>VLOOKUP(A56,'HECVAT - Full'!A$24:B$312,2,FALSE)</f>
        <v>Has the consultant received training on [sensitive, HIPAA, PCI, etc.] data handling?</v>
      </c>
      <c r="C56" s="37" t="s">
        <v>568</v>
      </c>
      <c r="D56" s="38"/>
      <c r="E56" s="37" t="s">
        <v>616</v>
      </c>
      <c r="F56" s="37" t="s">
        <v>698</v>
      </c>
      <c r="G56" s="47"/>
      <c r="H56" s="38"/>
      <c r="I56" s="38"/>
    </row>
    <row r="57" spans="1:259" ht="48" customHeight="1" x14ac:dyDescent="0.2">
      <c r="A57" s="15" t="s">
        <v>191</v>
      </c>
      <c r="B57" s="30" t="str">
        <f>VLOOKUP(A57,'HECVAT - Full'!A$24:B$312,2,FALSE)</f>
        <v>Will any data be transferred to the consultant's possession?</v>
      </c>
      <c r="C57" s="37" t="s">
        <v>568</v>
      </c>
      <c r="D57" s="38"/>
      <c r="E57" s="37" t="s">
        <v>637</v>
      </c>
      <c r="F57" s="37" t="s">
        <v>698</v>
      </c>
      <c r="G57" s="46" t="s">
        <v>700</v>
      </c>
      <c r="H57" s="37" t="s">
        <v>829</v>
      </c>
      <c r="I57" s="38"/>
    </row>
    <row r="58" spans="1:259" s="1" customFormat="1" ht="48" customHeight="1" x14ac:dyDescent="0.2">
      <c r="A58" s="15" t="s">
        <v>192</v>
      </c>
      <c r="B58" s="30" t="str">
        <f>VLOOKUP(A58,'HECVAT - Full'!A$24:B$312,2,FALSE)</f>
        <v>Is it encrypted (at rest) while in the consultant's possession?</v>
      </c>
      <c r="C58" s="37" t="s">
        <v>568</v>
      </c>
      <c r="D58" s="38"/>
      <c r="E58" s="37" t="s">
        <v>638</v>
      </c>
      <c r="F58" s="37" t="s">
        <v>698</v>
      </c>
      <c r="G58" s="46" t="s">
        <v>703</v>
      </c>
      <c r="H58" s="37" t="s">
        <v>829</v>
      </c>
      <c r="I58" s="38"/>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row>
    <row r="59" spans="1:259" ht="36" customHeight="1" x14ac:dyDescent="0.2">
      <c r="A59" s="15" t="s">
        <v>193</v>
      </c>
      <c r="B59" s="30" t="str">
        <f>VLOOKUP(A59,'HECVAT - Full'!A$24:B$312,2,FALSE)</f>
        <v>Will the consultant need remote access to the Institution's network or systems?</v>
      </c>
      <c r="C59" s="37" t="s">
        <v>571</v>
      </c>
      <c r="D59" s="38"/>
      <c r="E59" s="37" t="s">
        <v>637</v>
      </c>
      <c r="F59" s="37" t="s">
        <v>698</v>
      </c>
      <c r="G59" s="47"/>
      <c r="H59" s="38"/>
      <c r="I59" s="38"/>
    </row>
    <row r="60" spans="1:259" s="1" customFormat="1" ht="36" customHeight="1" x14ac:dyDescent="0.2">
      <c r="A60" s="15" t="s">
        <v>194</v>
      </c>
      <c r="B60" s="30" t="str">
        <f>VLOOKUP(A60,'HECVAT - Full'!A$24:B$312,2,FALSE)</f>
        <v>Can we restrict that access based on source IP address?</v>
      </c>
      <c r="C60" s="38"/>
      <c r="D60" s="38"/>
      <c r="E60" s="37" t="s">
        <v>637</v>
      </c>
      <c r="F60" s="37" t="s">
        <v>698</v>
      </c>
      <c r="G60" s="47"/>
      <c r="H60" s="38"/>
      <c r="I60" s="38"/>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row>
    <row r="61" spans="1:259" ht="36" customHeight="1" x14ac:dyDescent="0.2">
      <c r="A61" s="301" t="str">
        <f>IF($C$30="","Application/Service Security",IF($C$30="Yes","App/Service Security - Optional based on QUALIFIER response.","Application/Service Security"))</f>
        <v>Application/Service Security</v>
      </c>
      <c r="B61" s="301"/>
      <c r="C61" s="36" t="str">
        <f>$C$22</f>
        <v>CIS Critical Security Controls v6.1</v>
      </c>
      <c r="D61" s="36" t="str">
        <f>$D$22</f>
        <v>HIPAA</v>
      </c>
      <c r="E61" s="36" t="str">
        <f>$E$22</f>
        <v>ISO 27002:2013</v>
      </c>
      <c r="F61" s="36" t="str">
        <f>$F$22</f>
        <v>NIST Cybersecurity Framework</v>
      </c>
      <c r="G61" s="25" t="str">
        <f>$G$22</f>
        <v>NIST SP 800-171r1</v>
      </c>
      <c r="H61" s="36" t="str">
        <f>$H$22</f>
        <v>NIST SP 800-53r4</v>
      </c>
      <c r="I61" s="173" t="s">
        <v>2045</v>
      </c>
    </row>
    <row r="62" spans="1:259" ht="49.35" customHeight="1" x14ac:dyDescent="0.2">
      <c r="A62" s="15" t="s">
        <v>195</v>
      </c>
      <c r="B62" s="30" t="str">
        <f>VLOOKUP(A62,'HECVAT - Full'!A$24:B$312,2,FALSE)</f>
        <v>Do you support role-based access control (RBAC) for end-users?</v>
      </c>
      <c r="C62" s="37" t="s">
        <v>569</v>
      </c>
      <c r="D62" s="38"/>
      <c r="E62" s="38"/>
      <c r="F62" s="37" t="s">
        <v>769</v>
      </c>
      <c r="G62" s="47"/>
      <c r="H62" s="38"/>
      <c r="I62" s="38"/>
    </row>
    <row r="63" spans="1:259" ht="48" customHeight="1" x14ac:dyDescent="0.2">
      <c r="A63" s="15" t="s">
        <v>196</v>
      </c>
      <c r="B63" s="30" t="str">
        <f>VLOOKUP(A63,'HECVAT - Full'!A$24:B$312,2,FALSE)</f>
        <v>Do you support role-based access control (RBAC) for system administrators?</v>
      </c>
      <c r="C63" s="37" t="s">
        <v>578</v>
      </c>
      <c r="D63" s="38"/>
      <c r="E63" s="37" t="s">
        <v>625</v>
      </c>
      <c r="F63" s="37" t="s">
        <v>769</v>
      </c>
      <c r="G63" s="47"/>
      <c r="H63" s="38"/>
      <c r="I63" s="38"/>
    </row>
    <row r="64" spans="1:259" ht="48" customHeight="1" x14ac:dyDescent="0.2">
      <c r="A64" s="15" t="s">
        <v>539</v>
      </c>
      <c r="B64" s="30" t="str">
        <f>VLOOKUP(A64,'HECVAT - Full'!A$24:B$312,2,FALSE)</f>
        <v>Can employees access customer data remotely?</v>
      </c>
      <c r="C64" s="174" t="s">
        <v>571</v>
      </c>
      <c r="D64" s="175"/>
      <c r="E64" s="174">
        <v>6.2</v>
      </c>
      <c r="F64" s="174" t="s">
        <v>772</v>
      </c>
      <c r="G64" s="174" t="s">
        <v>702</v>
      </c>
      <c r="H64" s="174" t="s">
        <v>832</v>
      </c>
      <c r="I64" s="174" t="s">
        <v>2112</v>
      </c>
    </row>
    <row r="65" spans="1:259" ht="64.349999999999994" customHeight="1" x14ac:dyDescent="0.2">
      <c r="A65" s="15" t="s">
        <v>197</v>
      </c>
      <c r="B65" s="30" t="str">
        <f>VLOOKUP(A65,'HECVAT - Full'!A$24:B$312,2,FALSE)</f>
        <v>Can you provide overall system and/or application architecture diagrams including a full description of the data communications architecture for all components of the system?</v>
      </c>
      <c r="C65" s="37" t="s">
        <v>572</v>
      </c>
      <c r="D65" s="38"/>
      <c r="E65" s="37" t="s">
        <v>627</v>
      </c>
      <c r="F65" s="37" t="s">
        <v>771</v>
      </c>
      <c r="G65" s="46" t="s">
        <v>705</v>
      </c>
      <c r="H65" s="37" t="s">
        <v>831</v>
      </c>
      <c r="I65" s="174" t="s">
        <v>2112</v>
      </c>
    </row>
    <row r="66" spans="1:259" ht="63" customHeight="1" x14ac:dyDescent="0.2">
      <c r="A66" s="196" t="s">
        <v>198</v>
      </c>
      <c r="B66" s="30" t="str">
        <f>VLOOKUP(A66,'HECVAT - Full'!A$24:B$312,2,FALSE)</f>
        <v xml:space="preserve">Does the system provide data input validation and error messages? </v>
      </c>
      <c r="C66" s="37" t="s">
        <v>569</v>
      </c>
      <c r="D66" s="38"/>
      <c r="E66" s="38"/>
      <c r="F66" s="37" t="s">
        <v>769</v>
      </c>
      <c r="G66" s="38"/>
      <c r="H66" s="38"/>
      <c r="I66" s="38"/>
    </row>
    <row r="67" spans="1:259" ht="53.1" customHeight="1" x14ac:dyDescent="0.2">
      <c r="A67" s="15" t="s">
        <v>199</v>
      </c>
      <c r="B67" s="30" t="str">
        <f>VLOOKUP(A67,'HECVAT - Full'!A$24:B$312,2,FALSE)</f>
        <v xml:space="preserve">Do you employ a single-tenant environment? </v>
      </c>
      <c r="C67" s="174" t="s">
        <v>573</v>
      </c>
      <c r="D67" s="175"/>
      <c r="E67" s="174">
        <v>6.2</v>
      </c>
      <c r="F67" s="174" t="s">
        <v>773</v>
      </c>
      <c r="G67" s="174" t="s">
        <v>706</v>
      </c>
      <c r="H67" s="174" t="s">
        <v>833</v>
      </c>
      <c r="I67" s="175"/>
    </row>
    <row r="68" spans="1:259" ht="80.099999999999994" customHeight="1" x14ac:dyDescent="0.2">
      <c r="A68" s="15" t="s">
        <v>200</v>
      </c>
      <c r="B68" s="30" t="str">
        <f>VLOOKUP(A68,'HECVAT - Full'!A$24:B$312,2,FALSE)</f>
        <v>What operating system(s) is/are leveraged by the system(s)/application(s) that will have access to institution's data?</v>
      </c>
      <c r="C68" s="174" t="s">
        <v>574</v>
      </c>
      <c r="D68" s="175"/>
      <c r="E68" s="174" t="s">
        <v>628</v>
      </c>
      <c r="F68" s="174" t="s">
        <v>773</v>
      </c>
      <c r="G68" s="175"/>
      <c r="H68" s="174" t="s">
        <v>832</v>
      </c>
      <c r="I68" s="175"/>
    </row>
    <row r="69" spans="1:259" s="1" customFormat="1" ht="80.099999999999994" customHeight="1" x14ac:dyDescent="0.2">
      <c r="A69" s="15" t="s">
        <v>201</v>
      </c>
      <c r="B69" s="30" t="str">
        <f>VLOOKUP(A69,'HECVAT - Full'!A$24:B$312,2,FALSE)</f>
        <v>Have you or any third party you contract with that may have access or allow access to the institution's data experienced a breach?</v>
      </c>
      <c r="C69" s="175"/>
      <c r="D69" s="175"/>
      <c r="E69" s="174">
        <v>16</v>
      </c>
      <c r="F69" s="175"/>
      <c r="G69" s="175"/>
      <c r="H69" s="175"/>
      <c r="I69" s="174" t="s">
        <v>2113</v>
      </c>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row>
    <row r="70" spans="1:259" ht="72" customHeight="1" x14ac:dyDescent="0.2">
      <c r="A70" s="15" t="s">
        <v>202</v>
      </c>
      <c r="B70" s="30" t="str">
        <f>VLOOKUP(A70,'HECVAT - Full'!A$24:B$312,2,FALSE)</f>
        <v xml:space="preserve">Describe or provide a reference to additional software/products necessary to implement a functional system on either the backend or user-interface side of the system. </v>
      </c>
      <c r="C70" s="174" t="s">
        <v>574</v>
      </c>
      <c r="D70" s="175"/>
      <c r="E70" s="174" t="s">
        <v>628</v>
      </c>
      <c r="F70" s="174" t="s">
        <v>774</v>
      </c>
      <c r="G70" s="175"/>
      <c r="H70" s="175"/>
      <c r="I70" s="175"/>
    </row>
    <row r="71" spans="1:259" ht="64.349999999999994" customHeight="1" x14ac:dyDescent="0.2">
      <c r="A71" s="15" t="s">
        <v>203</v>
      </c>
      <c r="B71" s="30" t="str">
        <f>VLOOKUP(A71,'HECVAT - Full'!A$24:B$312,2,FALSE)</f>
        <v xml:space="preserve">Describe or provide a reference to the overall system and/or application architecture(s), including appropriate diagrams. Include a full description of the data communications architecture for all components of the system. </v>
      </c>
      <c r="C71" s="174" t="s">
        <v>574</v>
      </c>
      <c r="D71" s="175"/>
      <c r="E71" s="174" t="s">
        <v>629</v>
      </c>
      <c r="F71" s="174" t="s">
        <v>775</v>
      </c>
      <c r="G71" s="175"/>
      <c r="H71" s="174" t="s">
        <v>834</v>
      </c>
      <c r="I71" s="174">
        <v>2.4</v>
      </c>
    </row>
    <row r="72" spans="1:259" ht="64.349999999999994" customHeight="1" x14ac:dyDescent="0.2">
      <c r="A72" s="15" t="s">
        <v>204</v>
      </c>
      <c r="B72" s="30" t="str">
        <f>VLOOKUP(A72,'HECVAT - Full'!A$24:B$312,2,FALSE)</f>
        <v>Are databases used in the system segregated from front-end systems? (e.g. web and application servers)</v>
      </c>
      <c r="C72" s="174" t="s">
        <v>568</v>
      </c>
      <c r="D72" s="175"/>
      <c r="E72" s="174" t="s">
        <v>630</v>
      </c>
      <c r="F72" s="175"/>
      <c r="G72" s="175"/>
      <c r="H72" s="175"/>
      <c r="I72" s="175"/>
    </row>
    <row r="73" spans="1:259" ht="48" customHeight="1" x14ac:dyDescent="0.2">
      <c r="A73" s="15" t="s">
        <v>205</v>
      </c>
      <c r="B73" s="30" t="str">
        <f>VLOOKUP(A73,'HECVAT - Full'!A$24:B$312,2,FALSE)</f>
        <v xml:space="preserve">Describe or provide a reference to all web-enabled features and functionality of the system (i.e. accessed via a web-based interface). </v>
      </c>
      <c r="C73" s="174" t="s">
        <v>575</v>
      </c>
      <c r="D73" s="175"/>
      <c r="E73" s="174" t="s">
        <v>629</v>
      </c>
      <c r="F73" s="175"/>
      <c r="G73" s="175"/>
      <c r="H73" s="175"/>
      <c r="I73" s="175"/>
    </row>
    <row r="74" spans="1:259" ht="65.099999999999994" customHeight="1" x14ac:dyDescent="0.2">
      <c r="A74" s="15" t="s">
        <v>206</v>
      </c>
      <c r="B74" s="30" t="str">
        <f>VLOOKUP(A74,'HECVAT - Full'!A$24:B$312,2,FALSE)</f>
        <v>Are there any OS and/or web-browser combinations that are not currently supported?</v>
      </c>
      <c r="C74" s="174" t="s">
        <v>575</v>
      </c>
      <c r="D74" s="175"/>
      <c r="E74" s="174" t="s">
        <v>628</v>
      </c>
      <c r="F74" s="175"/>
      <c r="G74" s="175"/>
      <c r="H74" s="175"/>
      <c r="I74" s="175"/>
    </row>
    <row r="75" spans="1:259" ht="65.099999999999994" customHeight="1" x14ac:dyDescent="0.2">
      <c r="A75" s="15" t="s">
        <v>207</v>
      </c>
      <c r="B75" s="30" t="str">
        <f>VLOOKUP(A75,'HECVAT - Full'!A$24:B$312,2,FALSE)</f>
        <v xml:space="preserve">Can your system take advantage of mobile and/or GPS enabled mobile devices?  </v>
      </c>
      <c r="C75" s="174" t="s">
        <v>574</v>
      </c>
      <c r="D75" s="175"/>
      <c r="E75" s="175"/>
      <c r="F75" s="175"/>
      <c r="G75" s="175"/>
      <c r="H75" s="175"/>
      <c r="I75" s="175"/>
    </row>
    <row r="76" spans="1:259" ht="63" customHeight="1" x14ac:dyDescent="0.2">
      <c r="A76" s="15" t="s">
        <v>540</v>
      </c>
      <c r="B76" s="30" t="str">
        <f>VLOOKUP(A76,'HECVAT - Full'!A$24:B$312,2,FALSE)</f>
        <v>Describe or provide a reference to the facilities available in the system to provide separation of duties between security administration and system administration functions.</v>
      </c>
      <c r="C76" s="174" t="s">
        <v>571</v>
      </c>
      <c r="D76" s="175"/>
      <c r="E76" s="174" t="s">
        <v>632</v>
      </c>
      <c r="F76" s="174" t="s">
        <v>771</v>
      </c>
      <c r="G76" s="174" t="s">
        <v>707</v>
      </c>
      <c r="H76" s="174" t="s">
        <v>835</v>
      </c>
      <c r="I76" s="174" t="s">
        <v>2114</v>
      </c>
    </row>
    <row r="77" spans="1:259" ht="65.099999999999994" customHeight="1" x14ac:dyDescent="0.2">
      <c r="A77" s="15" t="s">
        <v>208</v>
      </c>
      <c r="B77" s="30" t="str">
        <f>VLOOKUP(A77,'HECVAT - Full'!A$24:B$312,2,FALSE)</f>
        <v>Describe or provide a reference that details how administrator access is handled (e.g. provisioning, principle of least privilege, deprovisioning, etc.)</v>
      </c>
      <c r="C77" s="174" t="s">
        <v>576</v>
      </c>
      <c r="D77" s="175"/>
      <c r="E77" s="174">
        <v>9.1999999999999993</v>
      </c>
      <c r="F77" s="174" t="s">
        <v>771</v>
      </c>
      <c r="G77" s="174" t="s">
        <v>708</v>
      </c>
      <c r="H77" s="174" t="s">
        <v>836</v>
      </c>
      <c r="I77" s="174" t="s">
        <v>2115</v>
      </c>
    </row>
    <row r="78" spans="1:259" ht="65.099999999999994" customHeight="1" x14ac:dyDescent="0.2">
      <c r="A78" s="15" t="s">
        <v>209</v>
      </c>
      <c r="B78" s="30" t="str">
        <f>VLOOKUP(A78,'HECVAT - Full'!A$24:B$312,2,FALSE)</f>
        <v>Describe or provide references explaining how tertiary services are redundant (i.e. DNS, ISP, etc.).</v>
      </c>
      <c r="C78" s="174" t="s">
        <v>571</v>
      </c>
      <c r="D78" s="175"/>
      <c r="E78" s="174" t="s">
        <v>627</v>
      </c>
      <c r="F78" s="174" t="s">
        <v>770</v>
      </c>
      <c r="G78" s="174" t="s">
        <v>702</v>
      </c>
      <c r="H78" s="175"/>
      <c r="I78" s="175"/>
    </row>
    <row r="79" spans="1:259" ht="36" customHeight="1" x14ac:dyDescent="0.2">
      <c r="A79" s="301" t="str">
        <f>IF($C$30="","Authentication, Authorization, and Accounting",IF($C$30="Yes","AAA - Optional based on QUALIFIER response.","Authentication, Authorization, and Accounting"))</f>
        <v>Authentication, Authorization, and Accounting</v>
      </c>
      <c r="B79" s="301"/>
      <c r="C79" s="36" t="str">
        <f>$C$22</f>
        <v>CIS Critical Security Controls v6.1</v>
      </c>
      <c r="D79" s="36" t="str">
        <f>$D$22</f>
        <v>HIPAA</v>
      </c>
      <c r="E79" s="36" t="str">
        <f>$E$22</f>
        <v>ISO 27002:2013</v>
      </c>
      <c r="F79" s="36" t="str">
        <f>$F$22</f>
        <v>NIST Cybersecurity Framework</v>
      </c>
      <c r="G79" s="25" t="str">
        <f>$G$22</f>
        <v>NIST SP 800-171r1</v>
      </c>
      <c r="H79" s="36" t="str">
        <f>$H$22</f>
        <v>NIST SP 800-53r4</v>
      </c>
      <c r="I79" s="173" t="s">
        <v>2045</v>
      </c>
    </row>
    <row r="80" spans="1:259" ht="36" customHeight="1" x14ac:dyDescent="0.2">
      <c r="A80" s="15" t="s">
        <v>211</v>
      </c>
      <c r="B80" s="30" t="str">
        <f>VLOOKUP(A80,'HECVAT - Full'!A$24:B$312,2,FALSE)</f>
        <v>Can you enforce password/passphrase aging requirements?</v>
      </c>
      <c r="C80" s="37" t="s">
        <v>577</v>
      </c>
      <c r="D80" s="41"/>
      <c r="E80" s="37" t="s">
        <v>635</v>
      </c>
      <c r="F80" s="37" t="s">
        <v>777</v>
      </c>
      <c r="G80" s="46" t="s">
        <v>709</v>
      </c>
      <c r="H80" s="37" t="s">
        <v>837</v>
      </c>
      <c r="I80" s="37" t="s">
        <v>2117</v>
      </c>
    </row>
    <row r="81" spans="1:9" ht="48" customHeight="1" x14ac:dyDescent="0.2">
      <c r="A81" s="15" t="s">
        <v>212</v>
      </c>
      <c r="B81" s="30" t="str">
        <f>VLOOKUP(A81,'HECVAT - Full'!A$24:B$312,2,FALSE)</f>
        <v>Can you enforce password/passphrase complexity requirements [provided by the institution]?</v>
      </c>
      <c r="C81" s="37" t="s">
        <v>577</v>
      </c>
      <c r="D81" s="41"/>
      <c r="E81" s="37" t="s">
        <v>635</v>
      </c>
      <c r="F81" s="37" t="s">
        <v>777</v>
      </c>
      <c r="G81" s="46" t="s">
        <v>710</v>
      </c>
      <c r="H81" s="37" t="s">
        <v>838</v>
      </c>
      <c r="I81" s="37" t="s">
        <v>2117</v>
      </c>
    </row>
    <row r="82" spans="1:9" ht="48" customHeight="1" x14ac:dyDescent="0.2">
      <c r="A82" s="15" t="s">
        <v>213</v>
      </c>
      <c r="B82" s="30" t="str">
        <f>VLOOKUP(A82,'HECVAT - Full'!A$24:B$312,2,FALSE)</f>
        <v>Does the system have password complexity or length limitations and/or restrictions?</v>
      </c>
      <c r="C82" s="37" t="s">
        <v>577</v>
      </c>
      <c r="D82" s="41"/>
      <c r="E82" s="37" t="s">
        <v>635</v>
      </c>
      <c r="F82" s="37" t="s">
        <v>777</v>
      </c>
      <c r="G82" s="47"/>
      <c r="H82" s="38"/>
      <c r="I82" s="37" t="s">
        <v>2117</v>
      </c>
    </row>
    <row r="83" spans="1:9" ht="65.099999999999994" customHeight="1" x14ac:dyDescent="0.2">
      <c r="A83" s="15" t="s">
        <v>214</v>
      </c>
      <c r="B83" s="30" t="str">
        <f>VLOOKUP(A83,'HECVAT - Full'!A$24:B$312,2,FALSE)</f>
        <v>Do you have documented password/passphrase reset procedures that are currently implemented in the system and/or customer support?</v>
      </c>
      <c r="C83" s="37" t="s">
        <v>577</v>
      </c>
      <c r="D83" s="41"/>
      <c r="E83" s="37" t="s">
        <v>635</v>
      </c>
      <c r="F83" s="37" t="s">
        <v>777</v>
      </c>
      <c r="G83" s="46" t="s">
        <v>711</v>
      </c>
      <c r="H83" s="37" t="s">
        <v>837</v>
      </c>
      <c r="I83" s="37" t="s">
        <v>2118</v>
      </c>
    </row>
    <row r="84" spans="1:9" ht="65.099999999999994" customHeight="1" x14ac:dyDescent="0.2">
      <c r="A84" s="15" t="s">
        <v>215</v>
      </c>
      <c r="B84" s="30" t="str">
        <f>VLOOKUP(A84,'HECVAT - Full'!A$24:B$312,2,FALSE)</f>
        <v>Does your web-based interface support authentication, including standards-based single-sign-on? (e.g. InCommon)</v>
      </c>
      <c r="C84" s="37" t="s">
        <v>577</v>
      </c>
      <c r="D84" s="41"/>
      <c r="E84" s="37" t="s">
        <v>636</v>
      </c>
      <c r="F84" s="37" t="s">
        <v>777</v>
      </c>
      <c r="G84" s="46" t="s">
        <v>712</v>
      </c>
      <c r="H84" s="37" t="s">
        <v>839</v>
      </c>
      <c r="I84" s="37" t="s">
        <v>2117</v>
      </c>
    </row>
    <row r="85" spans="1:9" ht="48" customHeight="1" x14ac:dyDescent="0.2">
      <c r="A85" s="15" t="s">
        <v>216</v>
      </c>
      <c r="B85" s="30" t="str">
        <f>VLOOKUP(A85,'HECVAT - Full'!A$24:B$312,2,FALSE)</f>
        <v>Are there any passwords/passphrases hard coded into your systems or products?</v>
      </c>
      <c r="C85" s="37" t="s">
        <v>577</v>
      </c>
      <c r="D85" s="41"/>
      <c r="E85" s="37" t="s">
        <v>637</v>
      </c>
      <c r="F85" s="38"/>
      <c r="G85" s="47"/>
      <c r="H85" s="38"/>
      <c r="I85" s="37" t="s">
        <v>2118</v>
      </c>
    </row>
    <row r="86" spans="1:9" ht="36" customHeight="1" x14ac:dyDescent="0.2">
      <c r="A86" s="15" t="s">
        <v>217</v>
      </c>
      <c r="B86" s="30" t="str">
        <f>VLOOKUP(A86,'HECVAT - Full'!A$24:B$312,2,FALSE)</f>
        <v>Are user account passwords/passphrases visible in administration modules?</v>
      </c>
      <c r="C86" s="37" t="s">
        <v>577</v>
      </c>
      <c r="D86" s="41"/>
      <c r="E86" s="37" t="s">
        <v>637</v>
      </c>
      <c r="F86" s="37" t="s">
        <v>777</v>
      </c>
      <c r="G86" s="47"/>
      <c r="H86" s="38"/>
      <c r="I86" s="37" t="s">
        <v>2117</v>
      </c>
    </row>
    <row r="87" spans="1:9" ht="36" customHeight="1" x14ac:dyDescent="0.2">
      <c r="A87" s="15" t="s">
        <v>218</v>
      </c>
      <c r="B87" s="30" t="str">
        <f>VLOOKUP(A87,'HECVAT - Full'!A$24:B$312,2,FALSE)</f>
        <v>Are user account passwords/passphrases stored encrypted?</v>
      </c>
      <c r="C87" s="37" t="s">
        <v>577</v>
      </c>
      <c r="D87" s="41"/>
      <c r="E87" s="37" t="s">
        <v>637</v>
      </c>
      <c r="F87" s="37" t="s">
        <v>777</v>
      </c>
      <c r="G87" s="46" t="s">
        <v>713</v>
      </c>
      <c r="H87" s="37" t="s">
        <v>838</v>
      </c>
      <c r="I87" s="37" t="s">
        <v>2117</v>
      </c>
    </row>
    <row r="88" spans="1:9" ht="47.1" customHeight="1" x14ac:dyDescent="0.2">
      <c r="A88" s="15" t="s">
        <v>219</v>
      </c>
      <c r="B88" s="30" t="str">
        <f>VLOOKUP(A88,'HECVAT - Full'!A$24:B$312,2,FALSE)</f>
        <v>Does your application and/or user-frontend/portal support multi-factor authentication? (e.g. Duo, Google Authenticator, OTP, etc.)</v>
      </c>
      <c r="C88" s="37" t="s">
        <v>577</v>
      </c>
      <c r="D88" s="41"/>
      <c r="E88" s="37" t="s">
        <v>637</v>
      </c>
      <c r="F88" s="37" t="s">
        <v>770</v>
      </c>
      <c r="G88" s="46" t="s">
        <v>714</v>
      </c>
      <c r="H88" s="37" t="s">
        <v>840</v>
      </c>
      <c r="I88" s="37" t="s">
        <v>2117</v>
      </c>
    </row>
    <row r="89" spans="1:9" ht="53.1" customHeight="1" x14ac:dyDescent="0.2">
      <c r="A89" s="15" t="s">
        <v>220</v>
      </c>
      <c r="B89" s="30" t="str">
        <f>VLOOKUP(A89,'HECVAT - Full'!A$24:B$312,2,FALSE)</f>
        <v>Does your application support integration with other authentication and authorization systems?  List which ones (such as Active Directory, Kerberos and what version) in Additional Info?</v>
      </c>
      <c r="C89" s="37" t="s">
        <v>577</v>
      </c>
      <c r="D89" s="41"/>
      <c r="E89" s="37" t="s">
        <v>633</v>
      </c>
      <c r="F89" s="37" t="s">
        <v>778</v>
      </c>
      <c r="G89" s="47"/>
      <c r="H89" s="38"/>
      <c r="I89" s="38"/>
    </row>
    <row r="90" spans="1:9" ht="47.1" customHeight="1" x14ac:dyDescent="0.2">
      <c r="A90" s="15" t="s">
        <v>221</v>
      </c>
      <c r="B90" s="30" t="str">
        <f>VLOOKUP(A90,'HECVAT - Full'!A$24:B$312,2,FALSE)</f>
        <v>Will any external authentication or authorization system be utilized by an application with access to the institution's data?</v>
      </c>
      <c r="C90" s="37" t="s">
        <v>577</v>
      </c>
      <c r="D90" s="41"/>
      <c r="E90" s="37" t="s">
        <v>637</v>
      </c>
      <c r="F90" s="37" t="s">
        <v>778</v>
      </c>
      <c r="G90" s="47"/>
      <c r="H90" s="38"/>
      <c r="I90" s="37" t="s">
        <v>2117</v>
      </c>
    </row>
    <row r="91" spans="1:9" ht="54" customHeight="1" x14ac:dyDescent="0.2">
      <c r="A91" s="15" t="s">
        <v>222</v>
      </c>
      <c r="B91" s="30" t="str">
        <f>VLOOKUP(A91,'HECVAT - Full'!A$24:B$312,2,FALSE)</f>
        <v>Does the system (servers/infrastructure) support external authentication services (e.g. Active Directory, LDAP) in place of local authentication?</v>
      </c>
      <c r="C91" s="37" t="s">
        <v>577</v>
      </c>
      <c r="D91" s="41"/>
      <c r="E91" s="37" t="s">
        <v>633</v>
      </c>
      <c r="F91" s="37" t="s">
        <v>778</v>
      </c>
      <c r="G91" s="47"/>
      <c r="H91" s="38"/>
      <c r="I91" s="38"/>
    </row>
    <row r="92" spans="1:9" ht="54" customHeight="1" x14ac:dyDescent="0.2">
      <c r="A92" s="15" t="s">
        <v>223</v>
      </c>
      <c r="B92" s="30" t="str">
        <f>VLOOKUP(A92,'HECVAT - Full'!A$24:B$312,2,FALSE)</f>
        <v>Does the system operate in a mixed authentication mode (i.e. external and local authentication)?</v>
      </c>
      <c r="C92" s="37" t="s">
        <v>577</v>
      </c>
      <c r="D92" s="41"/>
      <c r="E92" s="38"/>
      <c r="F92" s="37" t="s">
        <v>778</v>
      </c>
      <c r="G92" s="47"/>
      <c r="H92" s="38"/>
      <c r="I92" s="38"/>
    </row>
    <row r="93" spans="1:9" ht="47.1" customHeight="1" x14ac:dyDescent="0.2">
      <c r="A93" s="15" t="s">
        <v>224</v>
      </c>
      <c r="B93" s="30" t="str">
        <f>VLOOKUP(A93,'HECVAT - Full'!A$24:B$312,2,FALSE)</f>
        <v>Will any external authentication or authorization system be utilized by a system with access to institution data?</v>
      </c>
      <c r="C93" s="37" t="s">
        <v>577</v>
      </c>
      <c r="D93" s="41"/>
      <c r="E93" s="38"/>
      <c r="F93" s="37" t="s">
        <v>778</v>
      </c>
      <c r="G93" s="46" t="s">
        <v>715</v>
      </c>
      <c r="H93" s="38"/>
      <c r="I93" s="37" t="s">
        <v>2117</v>
      </c>
    </row>
    <row r="94" spans="1:9" ht="48" customHeight="1" x14ac:dyDescent="0.2">
      <c r="A94" s="15" t="s">
        <v>225</v>
      </c>
      <c r="B94" s="30" t="str">
        <f>VLOOKUP(A94,'HECVAT - Full'!A$24:B$312,2,FALSE)</f>
        <v>Are audit logs available that include AT LEAST all of the following; login, logout, actions performed, and source IP address?</v>
      </c>
      <c r="C94" s="37" t="s">
        <v>579</v>
      </c>
      <c r="D94" s="41"/>
      <c r="E94" s="37" t="s">
        <v>634</v>
      </c>
      <c r="F94" s="37" t="s">
        <v>779</v>
      </c>
      <c r="G94" s="46" t="s">
        <v>716</v>
      </c>
      <c r="H94" s="37" t="s">
        <v>841</v>
      </c>
      <c r="I94" s="37" t="s">
        <v>2119</v>
      </c>
    </row>
    <row r="95" spans="1:9" ht="84" customHeight="1" x14ac:dyDescent="0.2">
      <c r="A95" s="15" t="s">
        <v>226</v>
      </c>
      <c r="B95" s="30" t="str">
        <f>VLOOKUP(A95,'HECVAT - Full'!A$24:B$312,2,FALSE)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95" s="37" t="s">
        <v>579</v>
      </c>
      <c r="D95" s="41"/>
      <c r="E95" s="37" t="s">
        <v>634</v>
      </c>
      <c r="F95" s="37" t="s">
        <v>779</v>
      </c>
      <c r="G95" s="46" t="s">
        <v>717</v>
      </c>
      <c r="H95" s="37" t="s">
        <v>842</v>
      </c>
      <c r="I95" s="37" t="s">
        <v>2120</v>
      </c>
    </row>
    <row r="96" spans="1:9" ht="64.349999999999994" customHeight="1" x14ac:dyDescent="0.2">
      <c r="A96" s="15" t="s">
        <v>227</v>
      </c>
      <c r="B96" s="30" t="str">
        <f>VLOOKUP(A96,'HECVAT - Full'!A$24:B$312,2,FALSE)</f>
        <v>Describe or provide a reference to the retention period for those logs, how logs are protected, and whether they are accessible to the customer (and if so, how).</v>
      </c>
      <c r="C96" s="37" t="s">
        <v>579</v>
      </c>
      <c r="D96" s="41"/>
      <c r="E96" s="37" t="s">
        <v>634</v>
      </c>
      <c r="F96" s="37" t="s">
        <v>779</v>
      </c>
      <c r="G96" s="46" t="s">
        <v>718</v>
      </c>
      <c r="H96" s="37" t="s">
        <v>843</v>
      </c>
      <c r="I96" s="37">
        <v>10.7</v>
      </c>
    </row>
    <row r="97" spans="1:259" s="35" customFormat="1" ht="36" customHeight="1" x14ac:dyDescent="0.2">
      <c r="A97" s="301" t="str">
        <f>IF(OR($C$27="No",$C$30="Yes"),"BCP - Optional based on QUALIFIER response.","Business Continuity Plan")</f>
        <v>Business Continuity Plan</v>
      </c>
      <c r="B97" s="301"/>
      <c r="C97" s="36" t="str">
        <f>$C$22</f>
        <v>CIS Critical Security Controls v6.1</v>
      </c>
      <c r="D97" s="36" t="str">
        <f>$D$22</f>
        <v>HIPAA</v>
      </c>
      <c r="E97" s="36" t="str">
        <f>$E$22</f>
        <v>ISO 27002:2013</v>
      </c>
      <c r="F97" s="36" t="str">
        <f>$F$22</f>
        <v>NIST Cybersecurity Framework</v>
      </c>
      <c r="G97" s="25" t="str">
        <f>$G$22</f>
        <v>NIST SP 800-171r1</v>
      </c>
      <c r="H97" s="36" t="str">
        <f>$H$22</f>
        <v>NIST SP 800-53r4</v>
      </c>
      <c r="I97" s="173" t="s">
        <v>2045</v>
      </c>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row>
    <row r="98" spans="1:259" ht="48" customHeight="1" x14ac:dyDescent="0.2">
      <c r="A98" s="15" t="s">
        <v>210</v>
      </c>
      <c r="B98" s="30" t="str">
        <f>VLOOKUP(A98,'HECVAT - Full'!A$24:B$312,2,FALSE)</f>
        <v>Describe or provide a reference to your Business Continuity Plan (BCP).</v>
      </c>
      <c r="C98" s="37" t="s">
        <v>570</v>
      </c>
      <c r="D98" s="41"/>
      <c r="E98" s="37" t="s">
        <v>640</v>
      </c>
      <c r="F98" s="37" t="s">
        <v>699</v>
      </c>
      <c r="G98" s="46" t="s">
        <v>719</v>
      </c>
      <c r="H98" s="37" t="s">
        <v>844</v>
      </c>
      <c r="I98" s="47"/>
    </row>
    <row r="99" spans="1:259" ht="47.1" customHeight="1" x14ac:dyDescent="0.2">
      <c r="A99" s="15" t="s">
        <v>228</v>
      </c>
      <c r="B99" s="30" t="str">
        <f>VLOOKUP(A99,'HECVAT - Full'!A$24:B$312,2,FALSE)</f>
        <v>May the Institution review your BCP and supporting documentation?</v>
      </c>
      <c r="C99" s="37" t="s">
        <v>570</v>
      </c>
      <c r="D99" s="41"/>
      <c r="E99" s="38"/>
      <c r="F99" s="37" t="s">
        <v>699</v>
      </c>
      <c r="G99" s="46" t="s">
        <v>719</v>
      </c>
      <c r="H99" s="37" t="s">
        <v>845</v>
      </c>
      <c r="I99" s="47"/>
    </row>
    <row r="100" spans="1:259" ht="47.1" customHeight="1" x14ac:dyDescent="0.2">
      <c r="A100" s="15" t="s">
        <v>229</v>
      </c>
      <c r="B100" s="30" t="str">
        <f>VLOOKUP(A100,'HECVAT - Full'!A$24:B$312,2,FALSE)</f>
        <v>Is an owner assigned who is responsible for the maintenance and review of the Business Continuity Plan?</v>
      </c>
      <c r="C100" s="37" t="s">
        <v>570</v>
      </c>
      <c r="D100" s="41"/>
      <c r="E100" s="37" t="s">
        <v>640</v>
      </c>
      <c r="F100" s="37" t="s">
        <v>699</v>
      </c>
      <c r="G100" s="46" t="s">
        <v>719</v>
      </c>
      <c r="H100" s="37" t="s">
        <v>844</v>
      </c>
      <c r="I100" s="47"/>
    </row>
    <row r="101" spans="1:259" ht="47.1" customHeight="1" x14ac:dyDescent="0.2">
      <c r="A101" s="15" t="s">
        <v>230</v>
      </c>
      <c r="B101" s="30" t="str">
        <f>VLOOKUP(A101,'HECVAT - Full'!A$24:B$312,2,FALSE)</f>
        <v>Is there a defined problem/issue escalation plan in your BCP for impacted clients?</v>
      </c>
      <c r="C101" s="37" t="s">
        <v>570</v>
      </c>
      <c r="D101" s="41"/>
      <c r="E101" s="37" t="s">
        <v>643</v>
      </c>
      <c r="F101" s="37" t="s">
        <v>699</v>
      </c>
      <c r="G101" s="46" t="s">
        <v>719</v>
      </c>
      <c r="H101" s="37" t="s">
        <v>844</v>
      </c>
      <c r="I101" s="47"/>
    </row>
    <row r="102" spans="1:259" ht="47.1" customHeight="1" x14ac:dyDescent="0.2">
      <c r="A102" s="15" t="s">
        <v>231</v>
      </c>
      <c r="B102" s="30" t="str">
        <f>VLOOKUP(A102,'HECVAT - Full'!A$24:B$312,2,FALSE)</f>
        <v>Is there a documented communication plan in your BCP for impacted clients?</v>
      </c>
      <c r="C102" s="37" t="s">
        <v>570</v>
      </c>
      <c r="D102" s="41"/>
      <c r="E102" s="37" t="s">
        <v>617</v>
      </c>
      <c r="F102" s="37" t="s">
        <v>699</v>
      </c>
      <c r="G102" s="46" t="s">
        <v>719</v>
      </c>
      <c r="H102" s="37" t="s">
        <v>844</v>
      </c>
      <c r="I102" s="47"/>
    </row>
    <row r="103" spans="1:259" ht="48" customHeight="1" x14ac:dyDescent="0.2">
      <c r="A103" s="15" t="s">
        <v>232</v>
      </c>
      <c r="B103" s="30" t="str">
        <f>VLOOKUP(A103,'HECVAT - Full'!A$24:B$312,2,FALSE)</f>
        <v xml:space="preserve">Are all components of the BCP reviewed at least annually and updated as needed to reflect change? </v>
      </c>
      <c r="C103" s="37" t="s">
        <v>570</v>
      </c>
      <c r="D103" s="41"/>
      <c r="E103" s="37" t="s">
        <v>617</v>
      </c>
      <c r="F103" s="37" t="s">
        <v>699</v>
      </c>
      <c r="G103" s="46" t="s">
        <v>719</v>
      </c>
      <c r="H103" s="106" t="s">
        <v>844</v>
      </c>
      <c r="I103" s="47"/>
    </row>
    <row r="104" spans="1:259" ht="48" customHeight="1" x14ac:dyDescent="0.2">
      <c r="A104" s="15" t="s">
        <v>233</v>
      </c>
      <c r="B104" s="30" t="str">
        <f>VLOOKUP(A104,'HECVAT - Full'!A$24:B$312,2,FALSE)</f>
        <v xml:space="preserve">Has your BCP been tested in the last year? </v>
      </c>
      <c r="C104" s="37" t="s">
        <v>570</v>
      </c>
      <c r="D104" s="41"/>
      <c r="E104" s="37" t="s">
        <v>641</v>
      </c>
      <c r="F104" s="37" t="s">
        <v>699</v>
      </c>
      <c r="G104" s="46" t="s">
        <v>719</v>
      </c>
      <c r="H104" s="37" t="s">
        <v>844</v>
      </c>
      <c r="I104" s="47"/>
    </row>
    <row r="105" spans="1:259" ht="47.1" customHeight="1" x14ac:dyDescent="0.2">
      <c r="A105" s="15" t="s">
        <v>234</v>
      </c>
      <c r="B105" s="30" t="str">
        <f>VLOOKUP(A105,'HECVAT - Full'!A$24:B$312,2,FALSE)</f>
        <v>Does your organization conduct training and awareness activities to validate its employees understanding of their roles and responsibilities during a crisis?</v>
      </c>
      <c r="C105" s="37" t="s">
        <v>570</v>
      </c>
      <c r="D105" s="41"/>
      <c r="E105" s="37" t="s">
        <v>645</v>
      </c>
      <c r="F105" s="37" t="s">
        <v>699</v>
      </c>
      <c r="G105" s="46" t="s">
        <v>720</v>
      </c>
      <c r="H105" s="37" t="s">
        <v>846</v>
      </c>
      <c r="I105" s="37" t="s">
        <v>2114</v>
      </c>
    </row>
    <row r="106" spans="1:259" ht="47.1" customHeight="1" x14ac:dyDescent="0.2">
      <c r="A106" s="15" t="s">
        <v>235</v>
      </c>
      <c r="B106" s="30" t="str">
        <f>VLOOKUP(A106,'HECVAT - Full'!A$24:B$312,2,FALSE)</f>
        <v>Are specific crisis management roles and responsibilities defined and documented?</v>
      </c>
      <c r="C106" s="37" t="s">
        <v>570</v>
      </c>
      <c r="D106" s="41"/>
      <c r="E106" s="37" t="s">
        <v>644</v>
      </c>
      <c r="F106" s="37" t="s">
        <v>699</v>
      </c>
      <c r="G106" s="47"/>
      <c r="H106" s="37" t="s">
        <v>845</v>
      </c>
      <c r="I106" s="37" t="s">
        <v>2114</v>
      </c>
    </row>
    <row r="107" spans="1:259" ht="47.1" customHeight="1" x14ac:dyDescent="0.2">
      <c r="A107" s="15" t="s">
        <v>236</v>
      </c>
      <c r="B107" s="30" t="str">
        <f>VLOOKUP(A107,'HECVAT - Full'!A$24:B$312,2,FALSE)</f>
        <v>Does your organization have an alternative business site or a contracted Business Recovery provider?</v>
      </c>
      <c r="C107" s="37" t="s">
        <v>570</v>
      </c>
      <c r="D107" s="41"/>
      <c r="E107" s="37" t="s">
        <v>642</v>
      </c>
      <c r="F107" s="37" t="s">
        <v>699</v>
      </c>
      <c r="G107" s="47"/>
      <c r="H107" s="37" t="s">
        <v>845</v>
      </c>
      <c r="I107" s="37">
        <v>12.1</v>
      </c>
    </row>
    <row r="108" spans="1:259" ht="47.1" customHeight="1" x14ac:dyDescent="0.2">
      <c r="A108" s="15" t="s">
        <v>237</v>
      </c>
      <c r="B108" s="30" t="str">
        <f>VLOOKUP(A108,'HECVAT - Full'!A$24:B$312,2,FALSE)</f>
        <v>Does your organization conduct an annual test of relocating to an alternate site for business recovery purposes?</v>
      </c>
      <c r="C108" s="37" t="s">
        <v>570</v>
      </c>
      <c r="D108" s="41"/>
      <c r="E108" s="37" t="s">
        <v>641</v>
      </c>
      <c r="F108" s="37" t="s">
        <v>699</v>
      </c>
      <c r="G108" s="47"/>
      <c r="H108" s="37" t="s">
        <v>845</v>
      </c>
      <c r="I108" s="37">
        <v>12.1</v>
      </c>
    </row>
    <row r="109" spans="1:259" ht="64.349999999999994" customHeight="1" x14ac:dyDescent="0.2">
      <c r="A109" s="15" t="s">
        <v>238</v>
      </c>
      <c r="B109" s="30" t="str">
        <f>VLOOKUP(A109,'HECVAT - Full'!A$24:B$312,2,FALSE)</f>
        <v>Is this product a core service of your organization, and as such, the top priority during business continuity planning?</v>
      </c>
      <c r="C109" s="37" t="s">
        <v>570</v>
      </c>
      <c r="D109" s="41"/>
      <c r="E109" s="38"/>
      <c r="F109" s="37" t="s">
        <v>699</v>
      </c>
      <c r="G109" s="47"/>
      <c r="H109" s="37" t="s">
        <v>845</v>
      </c>
      <c r="I109" s="37">
        <v>12.1</v>
      </c>
    </row>
    <row r="110" spans="1:259" ht="36" customHeight="1" x14ac:dyDescent="0.2">
      <c r="A110" s="301" t="str">
        <f>IF($C$30="","Change Management",IF($C$30="Yes","Change Management - Optional based on QUALIFIER response.","Change Management"))</f>
        <v>Change Management</v>
      </c>
      <c r="B110" s="301"/>
      <c r="C110" s="36" t="str">
        <f>$C$22</f>
        <v>CIS Critical Security Controls v6.1</v>
      </c>
      <c r="D110" s="36" t="str">
        <f>$D$22</f>
        <v>HIPAA</v>
      </c>
      <c r="E110" s="36" t="str">
        <f>$E$22</f>
        <v>ISO 27002:2013</v>
      </c>
      <c r="F110" s="36" t="str">
        <f>$F$22</f>
        <v>NIST Cybersecurity Framework</v>
      </c>
      <c r="G110" s="25" t="str">
        <f>$G$22</f>
        <v>NIST SP 800-171r1</v>
      </c>
      <c r="H110" s="36" t="str">
        <f>$H$22</f>
        <v>NIST SP 800-53r4</v>
      </c>
      <c r="I110" s="173" t="s">
        <v>2045</v>
      </c>
    </row>
    <row r="111" spans="1:259" ht="48" customHeight="1" x14ac:dyDescent="0.2">
      <c r="A111" s="15" t="s">
        <v>239</v>
      </c>
      <c r="B111" s="30" t="str">
        <f>VLOOKUP(A111,'HECVAT - Full'!A$24:B$312,2,FALSE)</f>
        <v xml:space="preserve">Do you have a documented and currently followed change management process (CMP)? </v>
      </c>
      <c r="C111" s="37" t="s">
        <v>570</v>
      </c>
      <c r="D111" s="41"/>
      <c r="E111" s="37" t="s">
        <v>646</v>
      </c>
      <c r="F111" s="37" t="s">
        <v>780</v>
      </c>
      <c r="G111" s="46" t="s">
        <v>721</v>
      </c>
      <c r="H111" s="37" t="s">
        <v>847</v>
      </c>
      <c r="I111" s="37" t="s">
        <v>2122</v>
      </c>
    </row>
    <row r="112" spans="1:259" ht="80.099999999999994" customHeight="1" x14ac:dyDescent="0.2">
      <c r="A112" s="15" t="s">
        <v>240</v>
      </c>
      <c r="B112" s="30" t="str">
        <f>VLOOKUP(A112,'HECVAT - Full'!A$24:B$312,2,FALSE)</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C112" s="37" t="s">
        <v>570</v>
      </c>
      <c r="D112" s="41"/>
      <c r="E112" s="37" t="s">
        <v>646</v>
      </c>
      <c r="F112" s="37" t="s">
        <v>781</v>
      </c>
      <c r="G112" s="46" t="s">
        <v>722</v>
      </c>
      <c r="H112" s="37" t="s">
        <v>847</v>
      </c>
      <c r="I112" s="37" t="s">
        <v>2122</v>
      </c>
    </row>
    <row r="113" spans="1:259" ht="64.349999999999994" customHeight="1" x14ac:dyDescent="0.2">
      <c r="A113" s="15" t="s">
        <v>241</v>
      </c>
      <c r="B113" s="30" t="str">
        <f>VLOOKUP(A113,'HECVAT - Full'!A$24:B$312,2,FALSE)</f>
        <v>Will the Institution be notified of major changes to your environment that could impact the Institution's security posture?</v>
      </c>
      <c r="C113" s="37" t="s">
        <v>570</v>
      </c>
      <c r="D113" s="41"/>
      <c r="E113" s="37" t="s">
        <v>646</v>
      </c>
      <c r="F113" s="38"/>
      <c r="G113" s="47"/>
      <c r="H113" s="37" t="s">
        <v>847</v>
      </c>
      <c r="I113" s="37" t="s">
        <v>2123</v>
      </c>
    </row>
    <row r="114" spans="1:259" ht="64.349999999999994" customHeight="1" x14ac:dyDescent="0.2">
      <c r="A114" s="15" t="s">
        <v>242</v>
      </c>
      <c r="B114" s="30" t="str">
        <f>VLOOKUP(A114,'HECVAT - Full'!A$24:B$312,2,FALSE)</f>
        <v>Do clients have the option to not participate in or postpone an upgrade to a new release?</v>
      </c>
      <c r="C114" s="37" t="s">
        <v>570</v>
      </c>
      <c r="D114" s="42"/>
      <c r="E114" s="38"/>
      <c r="F114" s="38"/>
      <c r="G114" s="47"/>
      <c r="H114" s="37" t="s">
        <v>847</v>
      </c>
      <c r="I114" s="37">
        <v>12.1</v>
      </c>
    </row>
    <row r="115" spans="1:259" ht="64.349999999999994" customHeight="1" x14ac:dyDescent="0.2">
      <c r="A115" s="15" t="s">
        <v>243</v>
      </c>
      <c r="B115" s="30" t="str">
        <f>VLOOKUP(A115,'HECVAT - Full'!A$24:B$312,2,FALSE)</f>
        <v>Describe or provide a reference to your solution support strategy in relation to maintaining software currency. (i.e. how many concurrent versions are you willing to run and support?)</v>
      </c>
      <c r="C115" s="37" t="s">
        <v>574</v>
      </c>
      <c r="D115" s="41"/>
      <c r="E115" s="38"/>
      <c r="F115" s="38"/>
      <c r="G115" s="47"/>
      <c r="H115" s="37" t="s">
        <v>847</v>
      </c>
      <c r="I115" s="37" t="s">
        <v>2124</v>
      </c>
    </row>
    <row r="116" spans="1:259" ht="64.349999999999994" customHeight="1" x14ac:dyDescent="0.2">
      <c r="A116" s="15" t="s">
        <v>244</v>
      </c>
      <c r="B116" s="30" t="str">
        <f>VLOOKUP(A116,'HECVAT - Full'!A$24:B$312,2,FALSE)</f>
        <v>Identify the most current version of the software. Detail the percentage of live customers that are utilizing the proposed version of the software as well as each version of the software currently in use.</v>
      </c>
      <c r="C116" s="37" t="s">
        <v>574</v>
      </c>
      <c r="D116" s="41"/>
      <c r="E116" s="38"/>
      <c r="F116" s="38"/>
      <c r="G116" s="47"/>
      <c r="H116" s="37" t="s">
        <v>847</v>
      </c>
      <c r="I116" s="47"/>
    </row>
    <row r="117" spans="1:259" ht="64.349999999999994" customHeight="1" x14ac:dyDescent="0.2">
      <c r="A117" s="15" t="s">
        <v>245</v>
      </c>
      <c r="B117" s="30" t="str">
        <f>VLOOKUP(A117,'HECVAT - Full'!A$24:B$312,2,FALSE)</f>
        <v>Does the system support client customizations from one release to another?</v>
      </c>
      <c r="C117" s="37" t="s">
        <v>570</v>
      </c>
      <c r="D117" s="41"/>
      <c r="E117" s="38"/>
      <c r="F117" s="38"/>
      <c r="G117" s="47"/>
      <c r="H117" s="37" t="s">
        <v>847</v>
      </c>
      <c r="I117" s="47"/>
    </row>
    <row r="118" spans="1:259" ht="64.349999999999994" customHeight="1" x14ac:dyDescent="0.2">
      <c r="A118" s="15" t="s">
        <v>246</v>
      </c>
      <c r="B118" s="30" t="str">
        <f>VLOOKUP(A118,'HECVAT - Full'!A$24:B$312,2,FALSE)</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C118" s="37" t="s">
        <v>574</v>
      </c>
      <c r="D118" s="41"/>
      <c r="E118" s="37" t="s">
        <v>629</v>
      </c>
      <c r="F118" s="37" t="s">
        <v>776</v>
      </c>
      <c r="G118" s="46" t="s">
        <v>723</v>
      </c>
      <c r="H118" s="37" t="s">
        <v>847</v>
      </c>
      <c r="I118" s="37">
        <v>12.1</v>
      </c>
    </row>
    <row r="119" spans="1:259" ht="64.349999999999994" customHeight="1" x14ac:dyDescent="0.2">
      <c r="A119" s="15" t="s">
        <v>247</v>
      </c>
      <c r="B119" s="30" t="str">
        <f>VLOOKUP(A119,'HECVAT - Full'!A$24:B$312,2,FALSE)</f>
        <v>Do you have a release schedule for product updates?</v>
      </c>
      <c r="C119" s="37" t="s">
        <v>570</v>
      </c>
      <c r="D119" s="41"/>
      <c r="E119" s="38"/>
      <c r="F119" s="38"/>
      <c r="G119" s="46" t="s">
        <v>724</v>
      </c>
      <c r="H119" s="37" t="s">
        <v>847</v>
      </c>
      <c r="I119" s="47"/>
    </row>
    <row r="120" spans="1:259" ht="64.349999999999994" customHeight="1" x14ac:dyDescent="0.2">
      <c r="A120" s="15" t="s">
        <v>248</v>
      </c>
      <c r="B120" s="30" t="str">
        <f>VLOOKUP(A120,'HECVAT - Full'!A$24:B$312,2,FALSE)</f>
        <v>Do you have a technology roadmap, for the next 2 years, for enhancements and bug fixes for the product/service being assessed?</v>
      </c>
      <c r="C120" s="37" t="s">
        <v>574</v>
      </c>
      <c r="D120" s="41"/>
      <c r="E120" s="38"/>
      <c r="F120" s="38"/>
      <c r="G120" s="47"/>
      <c r="H120" s="37" t="s">
        <v>847</v>
      </c>
      <c r="I120" s="47"/>
    </row>
    <row r="121" spans="1:259" ht="64.349999999999994" customHeight="1" x14ac:dyDescent="0.2">
      <c r="A121" s="15" t="s">
        <v>249</v>
      </c>
      <c r="B121" s="30" t="str">
        <f>VLOOKUP(A121,'HECVAT - Full'!A$24:B$312,2,FALSE)</f>
        <v>Is Institution involvement (i.e. technically or organizationally) required during product updates?</v>
      </c>
      <c r="C121" s="38"/>
      <c r="D121" s="41"/>
      <c r="E121" s="38"/>
      <c r="F121" s="38"/>
      <c r="G121" s="47"/>
      <c r="H121" s="37" t="s">
        <v>847</v>
      </c>
      <c r="I121" s="47"/>
    </row>
    <row r="122" spans="1:259" ht="64.349999999999994" customHeight="1" x14ac:dyDescent="0.2">
      <c r="A122" s="15" t="s">
        <v>250</v>
      </c>
      <c r="B122" s="30" t="str">
        <f>VLOOKUP(A122,'HECVAT - Full'!A$24:B$312,2,FALSE)</f>
        <v>Do you have policy and procedure, currently implemented, managing how critical patches are applied to all systems and applications?</v>
      </c>
      <c r="C122" s="37" t="s">
        <v>574</v>
      </c>
      <c r="D122" s="41"/>
      <c r="E122" s="37" t="s">
        <v>647</v>
      </c>
      <c r="F122" s="38"/>
      <c r="G122" s="47"/>
      <c r="H122" s="37" t="s">
        <v>847</v>
      </c>
      <c r="I122" s="37" t="s">
        <v>2125</v>
      </c>
    </row>
    <row r="123" spans="1:259" ht="64.349999999999994" customHeight="1" x14ac:dyDescent="0.2">
      <c r="A123" s="15" t="s">
        <v>251</v>
      </c>
      <c r="B123" s="30" t="str">
        <f>VLOOKUP(A123,'HECVAT - Full'!A$24:B$312,2,FALSE)</f>
        <v>Do you have policy and procedure, currently implemented, guiding how security risks are mitigated until patches can be applied?</v>
      </c>
      <c r="C123" s="37" t="s">
        <v>568</v>
      </c>
      <c r="D123" s="37" t="s">
        <v>600</v>
      </c>
      <c r="E123" s="37" t="s">
        <v>647</v>
      </c>
      <c r="F123" s="38"/>
      <c r="G123" s="47"/>
      <c r="H123" s="37" t="s">
        <v>847</v>
      </c>
      <c r="I123" s="37" t="s">
        <v>2126</v>
      </c>
    </row>
    <row r="124" spans="1:259" ht="48" customHeight="1" x14ac:dyDescent="0.2">
      <c r="A124" s="15" t="s">
        <v>252</v>
      </c>
      <c r="B124" s="30" t="str">
        <f>VLOOKUP(A124,'HECVAT - Full'!A$24:B$312,2,FALSE)</f>
        <v>Are upgrades or system changes installed during off-peak hours or in a manner that does not impact the customer?</v>
      </c>
      <c r="C124" s="37" t="s">
        <v>570</v>
      </c>
      <c r="D124" s="42"/>
      <c r="E124" s="38"/>
      <c r="F124" s="38"/>
      <c r="G124" s="47"/>
      <c r="H124" s="37" t="s">
        <v>847</v>
      </c>
      <c r="I124" s="37" t="s">
        <v>2127</v>
      </c>
    </row>
    <row r="125" spans="1:259" ht="48" customHeight="1" x14ac:dyDescent="0.2">
      <c r="A125" s="15" t="s">
        <v>253</v>
      </c>
      <c r="B125" s="30" t="str">
        <f>VLOOKUP(A125,'HECVAT - Full'!A$24:B$312,2,FALSE)</f>
        <v>Do procedures exist to provide that emergency changes are documented and authorized (including after the fact approval)?</v>
      </c>
      <c r="C125" s="37" t="s">
        <v>570</v>
      </c>
      <c r="D125" s="42"/>
      <c r="E125" s="37" t="s">
        <v>646</v>
      </c>
      <c r="F125" s="37" t="s">
        <v>780</v>
      </c>
      <c r="G125" s="47"/>
      <c r="H125" s="37" t="s">
        <v>847</v>
      </c>
      <c r="I125" s="37" t="s">
        <v>2128</v>
      </c>
    </row>
    <row r="126" spans="1:259" ht="36" customHeight="1" x14ac:dyDescent="0.2">
      <c r="A126" s="301" t="str">
        <f>IF($C$30="","Data",IF($C$30="Yes","Data - Optional based on QUALIFIER response.","Data"))</f>
        <v>Data</v>
      </c>
      <c r="B126" s="301"/>
      <c r="C126" s="36" t="str">
        <f>$C$22</f>
        <v>CIS Critical Security Controls v6.1</v>
      </c>
      <c r="D126" s="36" t="str">
        <f>$D$22</f>
        <v>HIPAA</v>
      </c>
      <c r="E126" s="36" t="str">
        <f>$E$22</f>
        <v>ISO 27002:2013</v>
      </c>
      <c r="F126" s="36" t="str">
        <f>$F$22</f>
        <v>NIST Cybersecurity Framework</v>
      </c>
      <c r="G126" s="25" t="str">
        <f>$G$22</f>
        <v>NIST SP 800-171r1</v>
      </c>
      <c r="H126" s="36" t="str">
        <f>$H$22</f>
        <v>NIST SP 800-53r4</v>
      </c>
      <c r="I126" s="173" t="s">
        <v>2045</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row>
    <row r="127" spans="1:259" ht="48" customHeight="1" x14ac:dyDescent="0.2">
      <c r="A127" s="15" t="s">
        <v>254</v>
      </c>
      <c r="B127" s="30" t="str">
        <f>VLOOKUP(A127,'HECVAT - Full'!A$24:B$312,2,FALSE)</f>
        <v>Do you physically and logically separate Institution's data from that of other customers?</v>
      </c>
      <c r="C127" s="37" t="s">
        <v>573</v>
      </c>
      <c r="D127" s="38"/>
      <c r="E127" s="38"/>
      <c r="F127" s="37" t="s">
        <v>783</v>
      </c>
      <c r="G127" s="46" t="s">
        <v>725</v>
      </c>
      <c r="H127" s="37" t="s">
        <v>848</v>
      </c>
      <c r="I127" s="37">
        <v>12.8</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row>
    <row r="128" spans="1:259" ht="48" customHeight="1" x14ac:dyDescent="0.2">
      <c r="A128" s="15" t="s">
        <v>255</v>
      </c>
      <c r="B128" s="30" t="str">
        <f>VLOOKUP(A128,'HECVAT - Full'!A$24:B$312,2,FALSE)</f>
        <v>Will Institution's data be stored on any devices (database servers, file servers, SAN, NAS, …) configured with non-RFC 1918/4193 (i.e. publicly routable) IP addresses?</v>
      </c>
      <c r="C128" s="37" t="s">
        <v>573</v>
      </c>
      <c r="D128" s="38"/>
      <c r="E128" s="38"/>
      <c r="F128" s="37" t="s">
        <v>783</v>
      </c>
      <c r="G128" s="46" t="s">
        <v>726</v>
      </c>
      <c r="H128" s="37" t="s">
        <v>849</v>
      </c>
      <c r="I128" s="37" t="s">
        <v>2129</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row>
    <row r="129" spans="1:259" ht="48" customHeight="1" x14ac:dyDescent="0.2">
      <c r="A129" s="15" t="s">
        <v>256</v>
      </c>
      <c r="B129" s="30" t="str">
        <f>VLOOKUP(A129,'HECVAT - Full'!A$24:B$312,2,FALSE)</f>
        <v>Is sensitive data encrypted in transport? (e.g. system-to-client)</v>
      </c>
      <c r="C129" s="37" t="s">
        <v>568</v>
      </c>
      <c r="D129" s="38"/>
      <c r="E129" s="37" t="s">
        <v>649</v>
      </c>
      <c r="F129" s="37" t="s">
        <v>784</v>
      </c>
      <c r="G129" s="47"/>
      <c r="H129" s="38"/>
      <c r="I129" s="37" t="s">
        <v>2130</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row>
    <row r="130" spans="1:259" ht="48" customHeight="1" x14ac:dyDescent="0.2">
      <c r="A130" s="15" t="s">
        <v>257</v>
      </c>
      <c r="B130" s="30" t="str">
        <f>VLOOKUP(A130,'HECVAT - Full'!A$24:B$312,2,FALSE)</f>
        <v>Is sensitive data encrypted in storage (e.g. disk encryption, at-rest)?</v>
      </c>
      <c r="C130" s="37" t="s">
        <v>568</v>
      </c>
      <c r="D130" s="38"/>
      <c r="E130" s="37" t="s">
        <v>650</v>
      </c>
      <c r="F130" s="37" t="s">
        <v>785</v>
      </c>
      <c r="G130" s="46" t="s">
        <v>727</v>
      </c>
      <c r="H130" s="37" t="s">
        <v>850</v>
      </c>
      <c r="I130" s="37">
        <v>12.8</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row>
    <row r="131" spans="1:259" ht="48" customHeight="1" x14ac:dyDescent="0.2">
      <c r="A131" s="15" t="s">
        <v>258</v>
      </c>
      <c r="B131" s="30" t="str">
        <f>VLOOKUP(A131,'HECVAT - Full'!A$24:B$312,2,FALSE)</f>
        <v>Do you employ or allow any cryptographic modules that do not conform to the Federal Information Processing Standards (FIPS PUB 140-2)?</v>
      </c>
      <c r="C131" s="37" t="s">
        <v>568</v>
      </c>
      <c r="D131" s="38"/>
      <c r="E131" s="37" t="s">
        <v>650</v>
      </c>
      <c r="F131" s="38"/>
      <c r="G131" s="46" t="s">
        <v>736</v>
      </c>
      <c r="H131" s="38"/>
      <c r="I131" s="37">
        <v>12.1</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row>
    <row r="132" spans="1:259" ht="65.099999999999994" customHeight="1" x14ac:dyDescent="0.2">
      <c r="A132" s="15" t="s">
        <v>259</v>
      </c>
      <c r="B132" s="30" t="str">
        <f>VLOOKUP(A132,'HECVAT - Full'!A$24:B$312,2,FALSE)</f>
        <v>Does your system employ encryption technologies when transmitting sensitive information over TCP/IP networks (e.g., SSH, SSL/TLS, VPN)? (e.g. system-to-system and system-to-client)</v>
      </c>
      <c r="C132" s="37" t="s">
        <v>568</v>
      </c>
      <c r="D132" s="38"/>
      <c r="E132" s="37" t="s">
        <v>656</v>
      </c>
      <c r="F132" s="37" t="s">
        <v>784</v>
      </c>
      <c r="G132" s="47"/>
      <c r="H132" s="37" t="s">
        <v>851</v>
      </c>
      <c r="I132" s="37" t="s">
        <v>2130</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row>
    <row r="133" spans="1:259" ht="60" customHeight="1" x14ac:dyDescent="0.2">
      <c r="A133" s="15" t="s">
        <v>260</v>
      </c>
      <c r="B133" s="30" t="str">
        <f>VLOOKUP(A133,'HECVAT - Full'!A$24:B$312,2,FALSE)</f>
        <v>List all locations (i.e. city + datacenter name) where the institution's data will be stored?</v>
      </c>
      <c r="C133" s="37" t="s">
        <v>580</v>
      </c>
      <c r="D133" s="38"/>
      <c r="E133" s="38"/>
      <c r="F133" s="38"/>
      <c r="G133" s="46" t="s">
        <v>728</v>
      </c>
      <c r="H133" s="37" t="s">
        <v>829</v>
      </c>
      <c r="I133" s="37" t="s">
        <v>2129</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row>
    <row r="134" spans="1:259" ht="36" customHeight="1" x14ac:dyDescent="0.2">
      <c r="A134" s="15" t="s">
        <v>261</v>
      </c>
      <c r="B134" s="30" t="str">
        <f>VLOOKUP(A134,'HECVAT - Full'!A$24:B$312,2,FALSE)</f>
        <v>At the completion of this contract, will data be returned to the institution?</v>
      </c>
      <c r="C134" s="37" t="s">
        <v>568</v>
      </c>
      <c r="D134" s="38"/>
      <c r="E134" s="37" t="s">
        <v>651</v>
      </c>
      <c r="F134" s="38"/>
      <c r="G134" s="46" t="s">
        <v>728</v>
      </c>
      <c r="H134" s="37" t="s">
        <v>829</v>
      </c>
      <c r="I134" s="37">
        <v>12.8</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row>
    <row r="135" spans="1:259" ht="48" customHeight="1" x14ac:dyDescent="0.2">
      <c r="A135" s="15" t="s">
        <v>262</v>
      </c>
      <c r="B135" s="30" t="str">
        <f>VLOOKUP(A135,'HECVAT - Full'!A$24:B$312,2,FALSE)</f>
        <v>Will the institution's data be available within the system for a period of time at the completion of this contract?</v>
      </c>
      <c r="C135" s="37" t="s">
        <v>568</v>
      </c>
      <c r="D135" s="38"/>
      <c r="E135" s="37" t="s">
        <v>651</v>
      </c>
      <c r="F135" s="38"/>
      <c r="G135" s="47"/>
      <c r="H135" s="38"/>
      <c r="I135" s="37">
        <v>12.8</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row>
    <row r="136" spans="1:259" ht="36" customHeight="1" x14ac:dyDescent="0.2">
      <c r="A136" s="15" t="s">
        <v>263</v>
      </c>
      <c r="B136" s="30" t="str">
        <f>VLOOKUP(A136,'HECVAT - Full'!A$24:B$312,2,FALSE)</f>
        <v>Can the institution extract a full backup of data?</v>
      </c>
      <c r="C136" s="38"/>
      <c r="D136" s="38"/>
      <c r="E136" s="37" t="s">
        <v>652</v>
      </c>
      <c r="F136" s="38"/>
      <c r="G136" s="47"/>
      <c r="H136" s="38"/>
      <c r="I136" s="37">
        <v>12.8</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5" t="s">
        <v>264</v>
      </c>
      <c r="B137" s="30" t="str">
        <f>VLOOKUP(A137,'HECVAT - Full'!A$24:B$312,2,FALSE)</f>
        <v>Are ownership rights to all data, inputs, outputs, and metadata retained by the institution?</v>
      </c>
      <c r="C137" s="37" t="s">
        <v>568</v>
      </c>
      <c r="D137" s="38"/>
      <c r="E137" s="37" t="s">
        <v>653</v>
      </c>
      <c r="F137" s="38"/>
      <c r="G137" s="46" t="s">
        <v>728</v>
      </c>
      <c r="H137" s="38"/>
      <c r="I137" s="37">
        <v>12.8</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36" customHeight="1" x14ac:dyDescent="0.2">
      <c r="A138" s="15" t="s">
        <v>265</v>
      </c>
      <c r="B138" s="30" t="str">
        <f>VLOOKUP(A138,'HECVAT - Full'!A$24:B$312,2,FALSE)</f>
        <v>Are these rights retained even through a provider acquisition or bankruptcy event?</v>
      </c>
      <c r="C138" s="37" t="s">
        <v>568</v>
      </c>
      <c r="D138" s="38"/>
      <c r="E138" s="37" t="s">
        <v>653</v>
      </c>
      <c r="F138" s="38"/>
      <c r="G138" s="46" t="s">
        <v>700</v>
      </c>
      <c r="H138" s="38"/>
      <c r="I138" s="37">
        <v>12.8</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54" customHeight="1" x14ac:dyDescent="0.2">
      <c r="A139" s="15" t="s">
        <v>266</v>
      </c>
      <c r="B139" s="30" t="str">
        <f>VLOOKUP(A139,'HECVAT - Full'!A$24:B$312,2,FALSE)</f>
        <v>In the event of imminent bankruptcy, closing of business, or retirement of service, will you provide 90 days for customers to get their data out of the system and migrate applications?</v>
      </c>
      <c r="C139" s="37" t="s">
        <v>581</v>
      </c>
      <c r="D139" s="38"/>
      <c r="E139" s="37" t="s">
        <v>653</v>
      </c>
      <c r="F139" s="38"/>
      <c r="G139" s="46" t="s">
        <v>728</v>
      </c>
      <c r="H139" s="38"/>
      <c r="I139" s="37">
        <v>12.8</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5" t="s">
        <v>267</v>
      </c>
      <c r="B140" s="30" t="str">
        <f>VLOOKUP(A140,'HECVAT - Full'!A$24:B$312,2,FALSE)</f>
        <v xml:space="preserve">Describe or provide a reference to the backup processes for the servers on which the service and/or data resides. </v>
      </c>
      <c r="C140" s="37" t="s">
        <v>570</v>
      </c>
      <c r="D140" s="38"/>
      <c r="E140" s="37" t="s">
        <v>652</v>
      </c>
      <c r="F140" s="37" t="s">
        <v>786</v>
      </c>
      <c r="G140" s="46" t="s">
        <v>729</v>
      </c>
      <c r="H140" s="37" t="s">
        <v>852</v>
      </c>
      <c r="I140" s="37" t="s">
        <v>2131</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5" t="s">
        <v>268</v>
      </c>
      <c r="B141" s="30" t="str">
        <f>VLOOKUP(A141,'HECVAT - Full'!A$24:B$312,2,FALSE)</f>
        <v>Are backup copies made according to pre-defined schedules and securely stored and protected?</v>
      </c>
      <c r="C141" s="37" t="s">
        <v>570</v>
      </c>
      <c r="D141" s="38"/>
      <c r="E141" s="37" t="s">
        <v>652</v>
      </c>
      <c r="F141" s="37" t="s">
        <v>786</v>
      </c>
      <c r="G141" s="46" t="s">
        <v>729</v>
      </c>
      <c r="H141" s="37" t="s">
        <v>852</v>
      </c>
      <c r="I141" s="37">
        <v>12.8</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36" customHeight="1" x14ac:dyDescent="0.2">
      <c r="A142" s="15" t="s">
        <v>269</v>
      </c>
      <c r="B142" s="30" t="str">
        <f>VLOOKUP(A142,'HECVAT - Full'!A$24:B$312,2,FALSE)</f>
        <v>How long are data backups stored?</v>
      </c>
      <c r="C142" s="37" t="s">
        <v>570</v>
      </c>
      <c r="D142" s="38"/>
      <c r="E142" s="37" t="s">
        <v>652</v>
      </c>
      <c r="F142" s="37" t="s">
        <v>786</v>
      </c>
      <c r="G142" s="46" t="s">
        <v>729</v>
      </c>
      <c r="H142" s="37" t="s">
        <v>852</v>
      </c>
      <c r="I142" s="38"/>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36" customHeight="1" x14ac:dyDescent="0.2">
      <c r="A143" s="15" t="s">
        <v>270</v>
      </c>
      <c r="B143" s="30" t="str">
        <f>VLOOKUP(A143,'HECVAT - Full'!A$24:B$312,2,FALSE)</f>
        <v>Are data backups encrypted?</v>
      </c>
      <c r="C143" s="37" t="s">
        <v>570</v>
      </c>
      <c r="D143" s="38"/>
      <c r="E143" s="37" t="s">
        <v>652</v>
      </c>
      <c r="F143" s="37" t="s">
        <v>787</v>
      </c>
      <c r="G143" s="46" t="s">
        <v>729</v>
      </c>
      <c r="H143" s="37" t="s">
        <v>852</v>
      </c>
      <c r="I143" s="38"/>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72" customHeight="1" x14ac:dyDescent="0.2">
      <c r="A144" s="15" t="s">
        <v>271</v>
      </c>
      <c r="B144" s="30" t="str">
        <f>VLOOKUP(A144,'HECVAT - Full'!A$24:B$312,2,FALSE)</f>
        <v>Do you have a cryptographic key management process (generation, exchange, storage, safeguards, use, vetting, and replacement), that is documented and currently implemented, for all system components? (e.g. database, system, web, etc.)</v>
      </c>
      <c r="C144" s="37" t="s">
        <v>570</v>
      </c>
      <c r="D144" s="38"/>
      <c r="E144" s="37" t="s">
        <v>654</v>
      </c>
      <c r="F144" s="38"/>
      <c r="G144" s="46" t="s">
        <v>730</v>
      </c>
      <c r="H144" s="37" t="s">
        <v>857</v>
      </c>
      <c r="I144" s="38"/>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5" t="s">
        <v>272</v>
      </c>
      <c r="B145" s="30" t="str">
        <f>VLOOKUP(A145,'HECVAT - Full'!A$24:B$312,2,FALSE)</f>
        <v>Do current backups include all operating system software, utilities, security software, application software, and data files necessary for recovery?</v>
      </c>
      <c r="C145" s="37" t="s">
        <v>570</v>
      </c>
      <c r="D145" s="38"/>
      <c r="E145" s="37" t="s">
        <v>652</v>
      </c>
      <c r="F145" s="37" t="s">
        <v>788</v>
      </c>
      <c r="G145" s="46" t="s">
        <v>729</v>
      </c>
      <c r="H145" s="37" t="s">
        <v>852</v>
      </c>
      <c r="I145" s="3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5" t="s">
        <v>273</v>
      </c>
      <c r="B146" s="30" t="str">
        <f>VLOOKUP(A146,'HECVAT - Full'!A$24:B$312,2,FALSE)</f>
        <v>Are you performing off site backups? (i.e. digitally moved off site)</v>
      </c>
      <c r="C146" s="37" t="s">
        <v>570</v>
      </c>
      <c r="D146" s="38"/>
      <c r="E146" s="37" t="s">
        <v>652</v>
      </c>
      <c r="F146" s="37" t="s">
        <v>786</v>
      </c>
      <c r="G146" s="46" t="s">
        <v>731</v>
      </c>
      <c r="H146" s="37" t="s">
        <v>852</v>
      </c>
      <c r="I146" s="37" t="s">
        <v>2131</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5" t="s">
        <v>274</v>
      </c>
      <c r="B147" s="30" t="str">
        <f>VLOOKUP(A147,'HECVAT - Full'!A$24:B$312,2,FALSE)</f>
        <v>Are physical backups taken off site? (i.e. physically moved off site)</v>
      </c>
      <c r="C147" s="37" t="s">
        <v>570</v>
      </c>
      <c r="D147" s="38"/>
      <c r="E147" s="37" t="s">
        <v>652</v>
      </c>
      <c r="F147" s="37" t="s">
        <v>786</v>
      </c>
      <c r="G147" s="46" t="s">
        <v>732</v>
      </c>
      <c r="H147" s="37" t="s">
        <v>858</v>
      </c>
      <c r="I147" s="37" t="s">
        <v>2131</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5" t="s">
        <v>275</v>
      </c>
      <c r="B148" s="30" t="str">
        <f>VLOOKUP(A148,'HECVAT - Full'!A$24:B$312,2,FALSE)</f>
        <v>Do backups containing the institution's data ever leave the Institution's Data Zone either physically or via network routing?</v>
      </c>
      <c r="C148" s="37" t="s">
        <v>568</v>
      </c>
      <c r="D148" s="38"/>
      <c r="E148" s="37" t="s">
        <v>652</v>
      </c>
      <c r="F148" s="38"/>
      <c r="G148" s="46" t="s">
        <v>729</v>
      </c>
      <c r="H148" s="37" t="s">
        <v>858</v>
      </c>
      <c r="I148" s="37">
        <v>12.8</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73.349999999999994" customHeight="1" x14ac:dyDescent="0.2">
      <c r="A149" s="15" t="s">
        <v>276</v>
      </c>
      <c r="B149" s="30" t="str">
        <f>VLOOKUP(A149,'HECVAT - Full'!A$24:B$312,2,FALSE)</f>
        <v>Do you have a media handling process, that is documented and currently implemented, including end-of-life, repurposing, and data sanitization procedures?</v>
      </c>
      <c r="C149" s="37" t="s">
        <v>568</v>
      </c>
      <c r="D149" s="38"/>
      <c r="E149" s="37" t="s">
        <v>655</v>
      </c>
      <c r="F149" s="37" t="s">
        <v>789</v>
      </c>
      <c r="G149" s="46" t="s">
        <v>733</v>
      </c>
      <c r="H149" s="37" t="s">
        <v>853</v>
      </c>
      <c r="I149" s="37" t="s">
        <v>2131</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36" customHeight="1" x14ac:dyDescent="0.2">
      <c r="A150" s="15" t="s">
        <v>277</v>
      </c>
      <c r="B150" s="30" t="str">
        <f>VLOOKUP(A150,'HECVAT - Full'!A$24:B$312,2,FALSE)</f>
        <v>Does the process described in DATA-23 adhere to DoD 5220.22-M and/or NIST SP 800-88 standards?</v>
      </c>
      <c r="C150" s="37" t="s">
        <v>568</v>
      </c>
      <c r="D150" s="38"/>
      <c r="E150" s="37" t="s">
        <v>657</v>
      </c>
      <c r="F150" s="37" t="s">
        <v>789</v>
      </c>
      <c r="G150" s="46" t="s">
        <v>734</v>
      </c>
      <c r="H150" s="37" t="s">
        <v>854</v>
      </c>
      <c r="I150" s="38"/>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5" t="s">
        <v>278</v>
      </c>
      <c r="B151" s="30" t="str">
        <f>VLOOKUP(A151,'HECVAT - Full'!A$24:B$312,2,FALSE)</f>
        <v>Do procedures exist to ensure that retention and destruction of data meets established business and regulatory requirements?</v>
      </c>
      <c r="C151" s="37" t="s">
        <v>568</v>
      </c>
      <c r="D151" s="38"/>
      <c r="E151" s="37" t="s">
        <v>657</v>
      </c>
      <c r="F151" s="37" t="s">
        <v>790</v>
      </c>
      <c r="G151" s="46" t="s">
        <v>734</v>
      </c>
      <c r="H151" s="37" t="s">
        <v>855</v>
      </c>
      <c r="I151" s="38"/>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5" t="s">
        <v>279</v>
      </c>
      <c r="B152" s="30" t="str">
        <f>VLOOKUP(A152,'HECVAT - Full'!A$24:B$312,2,FALSE)</f>
        <v>Is media used for long-term retention of business data and archival purposes stored in a secure, environmentally protected area?</v>
      </c>
      <c r="C152" s="37" t="s">
        <v>568</v>
      </c>
      <c r="D152" s="38"/>
      <c r="E152" s="37" t="s">
        <v>657</v>
      </c>
      <c r="F152" s="37" t="s">
        <v>789</v>
      </c>
      <c r="G152" s="46" t="s">
        <v>735</v>
      </c>
      <c r="H152" s="37" t="s">
        <v>856</v>
      </c>
      <c r="I152" s="37" t="s">
        <v>2129</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5" t="s">
        <v>280</v>
      </c>
      <c r="B153" s="30" t="str">
        <f>VLOOKUP(A153,'HECVAT - Full'!A$24:B$312,2,FALSE)</f>
        <v>Will you handle data in a FERPA compliant manner?</v>
      </c>
      <c r="C153" s="37" t="s">
        <v>568</v>
      </c>
      <c r="D153" s="38"/>
      <c r="E153" s="37" t="s">
        <v>616</v>
      </c>
      <c r="F153" s="37" t="s">
        <v>697</v>
      </c>
      <c r="G153" s="47"/>
      <c r="H153" s="38"/>
      <c r="I153" s="38"/>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5" t="s">
        <v>281</v>
      </c>
      <c r="B154" s="30" t="str">
        <f>VLOOKUP(A154,'HECVAT - Full'!A$24:B$312,2,FALSE)</f>
        <v>Is any institution data visible in system administration modules/tools?</v>
      </c>
      <c r="C154" s="37" t="s">
        <v>582</v>
      </c>
      <c r="D154" s="38"/>
      <c r="E154" s="37" t="s">
        <v>631</v>
      </c>
      <c r="F154" s="37" t="s">
        <v>770</v>
      </c>
      <c r="G154" s="47"/>
      <c r="H154" s="38"/>
      <c r="I154" s="38"/>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36" customHeight="1" x14ac:dyDescent="0.2">
      <c r="A155" s="301" t="str">
        <f>IF($C$30="","Database",IF($C$30="Yes","Database - Optional based on QUALIFIER response.","Database"))</f>
        <v>Database</v>
      </c>
      <c r="B155" s="301"/>
      <c r="C155" s="36" t="str">
        <f>$C$22</f>
        <v>CIS Critical Security Controls v6.1</v>
      </c>
      <c r="D155" s="36" t="str">
        <f>$D$22</f>
        <v>HIPAA</v>
      </c>
      <c r="E155" s="36" t="str">
        <f>$E$22</f>
        <v>ISO 27002:2013</v>
      </c>
      <c r="F155" s="36" t="str">
        <f>$F$22</f>
        <v>NIST Cybersecurity Framework</v>
      </c>
      <c r="G155" s="25" t="str">
        <f>$G$22</f>
        <v>NIST SP 800-171r1</v>
      </c>
      <c r="H155" s="36" t="str">
        <f>$H$22</f>
        <v>NIST SP 800-53r4</v>
      </c>
      <c r="I155" s="173" t="s">
        <v>2045</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5" t="s">
        <v>282</v>
      </c>
      <c r="B156" s="30" t="str">
        <f>VLOOKUP(A156,'HECVAT - Full'!A$24:B$312,2,FALSE)</f>
        <v>Does the database support encryption of specified data elements in storage?</v>
      </c>
      <c r="C156" s="37" t="s">
        <v>568</v>
      </c>
      <c r="D156" s="41"/>
      <c r="E156" s="37" t="s">
        <v>649</v>
      </c>
      <c r="F156" s="37" t="s">
        <v>785</v>
      </c>
      <c r="G156" s="47"/>
      <c r="H156" s="41"/>
      <c r="I156" s="41"/>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7.35" customHeight="1" x14ac:dyDescent="0.2">
      <c r="A157" s="15" t="s">
        <v>283</v>
      </c>
      <c r="B157" s="30" t="str">
        <f>VLOOKUP(A157,'HECVAT - Full'!A$24:B$312,2,FALSE)</f>
        <v>Do you currently use encryption in your database(s)?</v>
      </c>
      <c r="C157" s="37" t="s">
        <v>568</v>
      </c>
      <c r="D157" s="41"/>
      <c r="E157" s="37" t="s">
        <v>649</v>
      </c>
      <c r="F157" s="37" t="s">
        <v>791</v>
      </c>
      <c r="G157" s="47"/>
      <c r="H157" s="41"/>
      <c r="I157" s="41"/>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36" customHeight="1" x14ac:dyDescent="0.2">
      <c r="A158" s="301" t="str">
        <f>IF($C$30="","Datacenter",IF($C$30="Yes","Datacenter - Optional based on QUALIFIER response.","Datacenter"))</f>
        <v>Datacenter</v>
      </c>
      <c r="B158" s="301"/>
      <c r="C158" s="36" t="str">
        <f>$C$22</f>
        <v>CIS Critical Security Controls v6.1</v>
      </c>
      <c r="D158" s="36" t="str">
        <f>$D$22</f>
        <v>HIPAA</v>
      </c>
      <c r="E158" s="36" t="str">
        <f>$E$22</f>
        <v>ISO 27002:2013</v>
      </c>
      <c r="F158" s="36" t="str">
        <f>$F$22</f>
        <v>NIST Cybersecurity Framework</v>
      </c>
      <c r="G158" s="25" t="str">
        <f>$G$22</f>
        <v>NIST SP 800-171r1</v>
      </c>
      <c r="H158" s="36" t="str">
        <f>$H$22</f>
        <v>NIST SP 800-53r4</v>
      </c>
      <c r="I158" s="173" t="s">
        <v>2045</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9.35" customHeight="1" x14ac:dyDescent="0.2">
      <c r="A159" s="15" t="s">
        <v>284</v>
      </c>
      <c r="B159" s="30" t="str">
        <f>VLOOKUP(A159,'HECVAT - Full'!A$24:B$312,2,FALSE)</f>
        <v>Does your company own the physical data center where the Institution's data will reside?</v>
      </c>
      <c r="C159" s="37" t="s">
        <v>571</v>
      </c>
      <c r="D159" s="41"/>
      <c r="E159" s="37" t="s">
        <v>658</v>
      </c>
      <c r="F159" s="37" t="s">
        <v>783</v>
      </c>
      <c r="G159" s="47"/>
      <c r="H159" s="41"/>
      <c r="I159" s="37" t="s">
        <v>2129</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48" customHeight="1" x14ac:dyDescent="0.2">
      <c r="A160" s="15" t="s">
        <v>285</v>
      </c>
      <c r="B160" s="30" t="str">
        <f>VLOOKUP(A160,'HECVAT - Full'!A$24:B$312,2,FALSE)</f>
        <v>Does the hosting provider have a SOC 2 Type 2 report available?</v>
      </c>
      <c r="C160" s="37" t="s">
        <v>568</v>
      </c>
      <c r="D160" s="41"/>
      <c r="E160" s="37" t="s">
        <v>658</v>
      </c>
      <c r="F160" s="38"/>
      <c r="G160" s="47"/>
      <c r="H160" s="41"/>
      <c r="I160" s="41"/>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5" t="s">
        <v>286</v>
      </c>
      <c r="B161" s="30" t="str">
        <f>VLOOKUP(A161,'HECVAT - Full'!A$24:B$312,2,FALSE)</f>
        <v>Are the data centers staffed 24 hours a day, seven days a week (i.e., 24x7x365)?</v>
      </c>
      <c r="C161" s="37" t="s">
        <v>583</v>
      </c>
      <c r="D161" s="41"/>
      <c r="E161" s="37" t="s">
        <v>642</v>
      </c>
      <c r="F161" s="38"/>
      <c r="G161" s="47"/>
      <c r="H161" s="41"/>
      <c r="I161" s="4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7.1" customHeight="1" x14ac:dyDescent="0.2">
      <c r="A162" s="15" t="s">
        <v>287</v>
      </c>
      <c r="B162" s="30" t="str">
        <f>VLOOKUP(A162,'HECVAT - Full'!A$24:B$312,2,FALSE)</f>
        <v>Do any of your servers reside in a co-located data center?</v>
      </c>
      <c r="C162" s="37" t="s">
        <v>585</v>
      </c>
      <c r="D162" s="41"/>
      <c r="E162" s="38"/>
      <c r="F162" s="38"/>
      <c r="G162" s="47"/>
      <c r="H162" s="37" t="s">
        <v>828</v>
      </c>
      <c r="I162" s="37">
        <v>12.8</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7.1" customHeight="1" x14ac:dyDescent="0.2">
      <c r="A163" s="15" t="s">
        <v>288</v>
      </c>
      <c r="B163" s="30" t="str">
        <f>VLOOKUP(A163,'HECVAT - Full'!A$24:B$312,2,FALSE)</f>
        <v>Are your servers separated from other companies via a physical barrier, such as a cage or hardened walls?</v>
      </c>
      <c r="C163" s="37" t="s">
        <v>585</v>
      </c>
      <c r="D163" s="41"/>
      <c r="E163" s="37" t="s">
        <v>659</v>
      </c>
      <c r="F163" s="37" t="s">
        <v>792</v>
      </c>
      <c r="G163" s="47"/>
      <c r="H163" s="41"/>
      <c r="I163" s="37" t="s">
        <v>2131</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5" t="s">
        <v>289</v>
      </c>
      <c r="B164" s="30" t="str">
        <f>VLOOKUP(A164,'HECVAT - Full'!A$24:B$312,2,FALSE)</f>
        <v>Does a physical barrier fully enclose the physical space preventing unauthorized physical contact with any of your devices?</v>
      </c>
      <c r="C164" s="37" t="s">
        <v>571</v>
      </c>
      <c r="D164" s="41"/>
      <c r="E164" s="37" t="s">
        <v>662</v>
      </c>
      <c r="F164" s="37" t="s">
        <v>792</v>
      </c>
      <c r="G164" s="46" t="s">
        <v>735</v>
      </c>
      <c r="H164" s="41"/>
      <c r="I164" s="37" t="s">
        <v>2131</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1" customHeight="1" x14ac:dyDescent="0.2">
      <c r="A165" s="15" t="s">
        <v>290</v>
      </c>
      <c r="B165" s="30" t="str">
        <f>VLOOKUP(A165,'HECVAT - Full'!A$24:B$312,2,FALSE)</f>
        <v>Select the option that best describes the network segment that servers are connected to.</v>
      </c>
      <c r="C165" s="37" t="s">
        <v>584</v>
      </c>
      <c r="D165" s="41"/>
      <c r="E165" s="38"/>
      <c r="F165" s="37" t="s">
        <v>793</v>
      </c>
      <c r="G165" s="46" t="s">
        <v>737</v>
      </c>
      <c r="H165" s="41"/>
      <c r="I165" s="41"/>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36" customHeight="1" x14ac:dyDescent="0.2">
      <c r="A166" s="15" t="s">
        <v>291</v>
      </c>
      <c r="B166" s="30" t="str">
        <f>VLOOKUP(A166,'HECVAT - Full'!A$24:B$312,2,FALSE)</f>
        <v>Does this data center operate outside of the Institution's Data Zone?</v>
      </c>
      <c r="C166" s="37" t="s">
        <v>573</v>
      </c>
      <c r="D166" s="41"/>
      <c r="E166" s="37" t="s">
        <v>616</v>
      </c>
      <c r="F166" s="38"/>
      <c r="G166" s="47"/>
      <c r="H166" s="41"/>
      <c r="I166" s="37">
        <v>12.8</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36" customHeight="1" x14ac:dyDescent="0.2">
      <c r="A167" s="15" t="s">
        <v>292</v>
      </c>
      <c r="B167" s="30" t="str">
        <f>VLOOKUP(A167,'HECVAT - Full'!A$24:B$312,2,FALSE)</f>
        <v>Will any institution data leave the Institution's Data Zone?</v>
      </c>
      <c r="C167" s="37" t="s">
        <v>573</v>
      </c>
      <c r="D167" s="41"/>
      <c r="E167" s="37" t="s">
        <v>616</v>
      </c>
      <c r="F167" s="38"/>
      <c r="G167" s="47"/>
      <c r="H167" s="41"/>
      <c r="I167" s="37">
        <v>12.9</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64.349999999999994" customHeight="1" x14ac:dyDescent="0.2">
      <c r="A168" s="15" t="s">
        <v>293</v>
      </c>
      <c r="B168" s="30" t="str">
        <f>VLOOKUP(A168,'HECVAT - Full'!A$24:B$312,2,FALSE)</f>
        <v xml:space="preserve">List all datacenters and the cities, states (provinces), and countries where the Institution's data will be stored (including within the Institution's Data Zone).   </v>
      </c>
      <c r="C168" s="37" t="s">
        <v>573</v>
      </c>
      <c r="D168" s="41"/>
      <c r="E168" s="37" t="s">
        <v>660</v>
      </c>
      <c r="F168" s="38"/>
      <c r="G168" s="48"/>
      <c r="H168" s="41"/>
      <c r="I168" s="37">
        <v>12.8</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53.1" customHeight="1" x14ac:dyDescent="0.2">
      <c r="A169" s="15" t="s">
        <v>294</v>
      </c>
      <c r="B169" s="30" t="str">
        <f>VLOOKUP(A169,'HECVAT - Full'!A$24:B$312,2,FALSE)</f>
        <v>Are your primary and secondary data centers geographically diverse?</v>
      </c>
      <c r="C169" s="37" t="s">
        <v>570</v>
      </c>
      <c r="D169" s="41"/>
      <c r="E169" s="37" t="s">
        <v>661</v>
      </c>
      <c r="F169" s="38"/>
      <c r="G169" s="47"/>
      <c r="H169" s="41"/>
      <c r="I169" s="37">
        <v>12.8</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5" t="s">
        <v>295</v>
      </c>
      <c r="B170" s="30" t="str">
        <f>VLOOKUP(A170,'HECVAT - Full'!A$24:B$312,2,FALSE)</f>
        <v>If outsourced or co-located, is there a contract in place to prevent data from leaving the Institution's Data Zone?</v>
      </c>
      <c r="C170" s="37" t="s">
        <v>573</v>
      </c>
      <c r="D170" s="41"/>
      <c r="E170" s="37" t="s">
        <v>616</v>
      </c>
      <c r="F170" s="38"/>
      <c r="G170" s="47"/>
      <c r="H170" s="41"/>
      <c r="I170" s="37">
        <v>12.8</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5" t="s">
        <v>296</v>
      </c>
      <c r="B171" s="30" t="str">
        <f>VLOOKUP(A171,'HECVAT - Full'!A$24:B$312,2,FALSE)</f>
        <v>What Tier Level is your data center (per levels defined by the Uptime Institute)?</v>
      </c>
      <c r="C171" s="38"/>
      <c r="D171" s="41"/>
      <c r="E171" s="37" t="s">
        <v>640</v>
      </c>
      <c r="F171" s="38"/>
      <c r="G171" s="47"/>
      <c r="H171" s="41"/>
      <c r="I171" s="4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s="1" customFormat="1" ht="48" customHeight="1" x14ac:dyDescent="0.2">
      <c r="A172" s="15" t="s">
        <v>297</v>
      </c>
      <c r="B172" s="30" t="str">
        <f>VLOOKUP(A172,'HECVAT - Full'!A$24:B$312,2,FALSE)</f>
        <v>Is the service hosted in a high availability environment?</v>
      </c>
      <c r="C172" s="37" t="s">
        <v>570</v>
      </c>
      <c r="D172" s="41"/>
      <c r="E172" s="37" t="s">
        <v>640</v>
      </c>
      <c r="F172" s="37" t="s">
        <v>794</v>
      </c>
      <c r="G172" s="47"/>
      <c r="H172" s="41"/>
      <c r="I172" s="41"/>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row>
    <row r="173" spans="1:259" ht="64.349999999999994" customHeight="1" x14ac:dyDescent="0.2">
      <c r="A173" s="15" t="s">
        <v>298</v>
      </c>
      <c r="B173" s="30" t="str">
        <f>VLOOKUP(A173,'HECVAT - Full'!A$24:B$312,2,FALSE)</f>
        <v xml:space="preserve">Is redundant power available for all datacenters where institution data will reside? </v>
      </c>
      <c r="C173" s="38"/>
      <c r="D173" s="41"/>
      <c r="E173" s="37" t="s">
        <v>642</v>
      </c>
      <c r="F173" s="37" t="s">
        <v>794</v>
      </c>
      <c r="G173" s="47"/>
      <c r="H173" s="41"/>
      <c r="I173" s="41"/>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5" t="s">
        <v>299</v>
      </c>
      <c r="B174" s="30" t="str">
        <f>VLOOKUP(A174,'HECVAT - Full'!A$24:B$312,2,FALSE)</f>
        <v>Are redundant power strategies tested?</v>
      </c>
      <c r="C174" s="38"/>
      <c r="D174" s="41"/>
      <c r="E174" s="37" t="s">
        <v>641</v>
      </c>
      <c r="F174" s="37" t="s">
        <v>794</v>
      </c>
      <c r="G174" s="48"/>
      <c r="H174" s="41"/>
      <c r="I174" s="41"/>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48" customHeight="1" x14ac:dyDescent="0.2">
      <c r="A175" s="15" t="s">
        <v>300</v>
      </c>
      <c r="B175" s="30" t="str">
        <f>VLOOKUP(A175,'HECVAT - Full'!A$24:B$312,2,FALSE)</f>
        <v>Describe or provide a reference to the availability of cooling and fire suppression systems in all datacenters where institution data will reside.</v>
      </c>
      <c r="C175" s="38"/>
      <c r="D175" s="41"/>
      <c r="E175" s="37" t="s">
        <v>642</v>
      </c>
      <c r="F175" s="38"/>
      <c r="G175" s="48"/>
      <c r="H175" s="37" t="s">
        <v>859</v>
      </c>
      <c r="I175" s="41"/>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ht="48" customHeight="1" x14ac:dyDescent="0.2">
      <c r="A176" s="15" t="s">
        <v>301</v>
      </c>
      <c r="B176" s="30" t="str">
        <f>VLOOKUP(A176,'HECVAT - Full'!A$24:B$312,2,FALSE)</f>
        <v xml:space="preserve">State how many Internet Service Providers (ISPs) provide connectivity to each datacenter where the institution's data will reside. </v>
      </c>
      <c r="C176" s="37" t="s">
        <v>570</v>
      </c>
      <c r="D176" s="41"/>
      <c r="E176" s="37" t="s">
        <v>642</v>
      </c>
      <c r="F176" s="37" t="s">
        <v>794</v>
      </c>
      <c r="G176" s="48"/>
      <c r="H176" s="37" t="s">
        <v>859</v>
      </c>
      <c r="I176" s="37">
        <v>12.8</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48" customHeight="1" x14ac:dyDescent="0.2">
      <c r="A177" s="15" t="s">
        <v>302</v>
      </c>
      <c r="B177" s="30" t="str">
        <f>VLOOKUP(A177,'HECVAT - Full'!A$24:B$312,2,FALSE)</f>
        <v>Does every datacenter where the Institution's data will reside have multiple telephone company or network provider entrances to the facility?</v>
      </c>
      <c r="C177" s="37" t="s">
        <v>568</v>
      </c>
      <c r="D177" s="41"/>
      <c r="E177" s="37" t="s">
        <v>642</v>
      </c>
      <c r="F177" s="37" t="s">
        <v>794</v>
      </c>
      <c r="G177" s="47"/>
      <c r="H177" s="37" t="s">
        <v>859</v>
      </c>
      <c r="I177" s="37">
        <v>12.8</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301" t="str">
        <f>IF(OR($C$28="No",$C$30="Yes"),"DRP - Optional based on QUALIFIER response.","Disaster Recovery Plan")</f>
        <v>Disaster Recovery Plan</v>
      </c>
      <c r="B178" s="301"/>
      <c r="C178" s="36" t="str">
        <f>$C$22</f>
        <v>CIS Critical Security Controls v6.1</v>
      </c>
      <c r="D178" s="36" t="str">
        <f>$D$22</f>
        <v>HIPAA</v>
      </c>
      <c r="E178" s="36" t="str">
        <f>$E$22</f>
        <v>ISO 27002:2013</v>
      </c>
      <c r="F178" s="36" t="str">
        <f>$F$22</f>
        <v>NIST Cybersecurity Framework</v>
      </c>
      <c r="G178" s="25" t="str">
        <f>$G$22</f>
        <v>NIST SP 800-171r1</v>
      </c>
      <c r="H178" s="36" t="str">
        <f>$H$22</f>
        <v>NIST SP 800-53r4</v>
      </c>
      <c r="I178" s="173" t="s">
        <v>2045</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5" t="s">
        <v>303</v>
      </c>
      <c r="B179" s="30" t="str">
        <f>VLOOKUP(A179,'HECVAT - Full'!A$24:B$312,2,FALSE)</f>
        <v>Describe or provide a reference to your Disaster Recovery Plan (DRP).</v>
      </c>
      <c r="C179" s="37" t="s">
        <v>570</v>
      </c>
      <c r="D179" s="41"/>
      <c r="E179" s="37" t="s">
        <v>640</v>
      </c>
      <c r="F179" s="37" t="s">
        <v>699</v>
      </c>
      <c r="G179" s="46" t="s">
        <v>719</v>
      </c>
      <c r="H179" s="39" t="s">
        <v>845</v>
      </c>
      <c r="I179" s="39">
        <v>12.8</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7.1" customHeight="1" x14ac:dyDescent="0.2">
      <c r="A180" s="15" t="s">
        <v>304</v>
      </c>
      <c r="B180" s="30" t="str">
        <f>VLOOKUP(A180,'HECVAT - Full'!A$24:B$312,2,FALSE)</f>
        <v>Is an owner assigned who is responsible for the maintenance and review of the DRP?</v>
      </c>
      <c r="C180" s="37" t="s">
        <v>570</v>
      </c>
      <c r="D180" s="41"/>
      <c r="E180" s="37" t="s">
        <v>664</v>
      </c>
      <c r="F180" s="37" t="s">
        <v>699</v>
      </c>
      <c r="G180" s="46" t="s">
        <v>719</v>
      </c>
      <c r="H180" s="39" t="s">
        <v>845</v>
      </c>
      <c r="I180" s="39">
        <v>12.8</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1" customHeight="1" x14ac:dyDescent="0.2">
      <c r="A181" s="15" t="s">
        <v>305</v>
      </c>
      <c r="B181" s="30" t="str">
        <f>VLOOKUP(A181,'HECVAT - Full'!A$24:B$312,2,FALSE)</f>
        <v>Can the Institution review your DRP and supporting documentation?</v>
      </c>
      <c r="C181" s="37" t="s">
        <v>570</v>
      </c>
      <c r="D181" s="41"/>
      <c r="E181" s="38"/>
      <c r="F181" s="37" t="s">
        <v>699</v>
      </c>
      <c r="G181" s="46" t="s">
        <v>719</v>
      </c>
      <c r="H181" s="39" t="s">
        <v>845</v>
      </c>
      <c r="I181" s="39">
        <v>12.8</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1" customHeight="1" x14ac:dyDescent="0.2">
      <c r="A182" s="15" t="s">
        <v>306</v>
      </c>
      <c r="B182" s="30" t="str">
        <f>VLOOKUP(A182,'HECVAT - Full'!A$24:B$312,2,FALSE)</f>
        <v>Are any disaster recovery locations outside the Institution's Data Zone?</v>
      </c>
      <c r="C182" s="37" t="s">
        <v>586</v>
      </c>
      <c r="D182" s="41"/>
      <c r="E182" s="37" t="s">
        <v>640</v>
      </c>
      <c r="F182" s="37" t="s">
        <v>699</v>
      </c>
      <c r="G182" s="47"/>
      <c r="H182" s="39" t="s">
        <v>845</v>
      </c>
      <c r="I182" s="39">
        <v>12.8</v>
      </c>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1" customHeight="1" x14ac:dyDescent="0.2">
      <c r="A183" s="15" t="s">
        <v>307</v>
      </c>
      <c r="B183" s="30" t="str">
        <f>VLOOKUP(A183,'HECVAT - Full'!A$24:B$312,2,FALSE)</f>
        <v>Does your organization have a disaster recovery site or a contracted Disaster Recovery provider?</v>
      </c>
      <c r="C183" s="37" t="s">
        <v>570</v>
      </c>
      <c r="D183" s="41"/>
      <c r="E183" s="37" t="s">
        <v>642</v>
      </c>
      <c r="F183" s="37" t="s">
        <v>699</v>
      </c>
      <c r="G183" s="47"/>
      <c r="H183" s="39" t="s">
        <v>845</v>
      </c>
      <c r="I183" s="47"/>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1" customHeight="1" x14ac:dyDescent="0.2">
      <c r="A184" s="15" t="s">
        <v>308</v>
      </c>
      <c r="B184" s="30" t="str">
        <f>VLOOKUP(A184,'HECVAT - Full'!A$24:B$312,2,FALSE)</f>
        <v>Does your organization conduct an annual test of relocating to this site for disaster recovery purposes?</v>
      </c>
      <c r="C184" s="37" t="s">
        <v>570</v>
      </c>
      <c r="D184" s="41"/>
      <c r="E184" s="37" t="s">
        <v>641</v>
      </c>
      <c r="F184" s="37" t="s">
        <v>699</v>
      </c>
      <c r="G184" s="47"/>
      <c r="H184" s="39" t="s">
        <v>845</v>
      </c>
      <c r="I184" s="47"/>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1" customHeight="1" x14ac:dyDescent="0.2">
      <c r="A185" s="15" t="s">
        <v>309</v>
      </c>
      <c r="B185" s="30" t="str">
        <f>VLOOKUP(A185,'HECVAT - Full'!A$24:B$312,2,FALSE)</f>
        <v>Is there a defined problem/issue escalation plan in your DRP for impacted clients?</v>
      </c>
      <c r="C185" s="37" t="s">
        <v>570</v>
      </c>
      <c r="D185" s="41"/>
      <c r="E185" s="38"/>
      <c r="F185" s="37" t="s">
        <v>699</v>
      </c>
      <c r="G185" s="46" t="s">
        <v>719</v>
      </c>
      <c r="H185" s="39" t="s">
        <v>845</v>
      </c>
      <c r="I185" s="39">
        <v>12.8</v>
      </c>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1" customHeight="1" x14ac:dyDescent="0.2">
      <c r="A186" s="15" t="s">
        <v>310</v>
      </c>
      <c r="B186" s="30" t="str">
        <f>VLOOKUP(A186,'HECVAT - Full'!A$24:B$312,2,FALSE)</f>
        <v>Is there a documented communication plan in your DRP for impacted clients?</v>
      </c>
      <c r="C186" s="37" t="s">
        <v>570</v>
      </c>
      <c r="D186" s="41"/>
      <c r="E186" s="37" t="s">
        <v>617</v>
      </c>
      <c r="F186" s="37" t="s">
        <v>699</v>
      </c>
      <c r="G186" s="46" t="s">
        <v>719</v>
      </c>
      <c r="H186" s="39" t="s">
        <v>845</v>
      </c>
      <c r="I186" s="39">
        <v>12.8</v>
      </c>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64.349999999999994" customHeight="1" x14ac:dyDescent="0.2">
      <c r="A187" s="15" t="s">
        <v>311</v>
      </c>
      <c r="B187" s="30" t="str">
        <f>VLOOKUP(A187,'HECVAT - Full'!A$24:B$312,2,FALSE)</f>
        <v>Describe or provide a reference to how your disaster recovery plan is tested? (i.e. scope of DR tests, end-to-end testing, etc.)</v>
      </c>
      <c r="C187" s="37" t="s">
        <v>570</v>
      </c>
      <c r="D187" s="41"/>
      <c r="E187" s="37" t="s">
        <v>641</v>
      </c>
      <c r="F187" s="37" t="s">
        <v>699</v>
      </c>
      <c r="G187" s="46" t="s">
        <v>719</v>
      </c>
      <c r="H187" s="39" t="s">
        <v>845</v>
      </c>
      <c r="I187" s="4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349999999999994" customHeight="1" x14ac:dyDescent="0.2">
      <c r="A188" s="15" t="s">
        <v>312</v>
      </c>
      <c r="B188" s="30" t="str">
        <f>VLOOKUP(A188,'HECVAT - Full'!A$24:B$312,2,FALSE)</f>
        <v>Has the Disaster Recovery Plan been tested in the last year?  Please provide a summary of the results in Additional Information (including actual recovery time).</v>
      </c>
      <c r="C188" s="37" t="s">
        <v>570</v>
      </c>
      <c r="D188" s="41"/>
      <c r="E188" s="37" t="s">
        <v>641</v>
      </c>
      <c r="F188" s="37" t="s">
        <v>699</v>
      </c>
      <c r="G188" s="46" t="s">
        <v>719</v>
      </c>
      <c r="H188" s="39" t="s">
        <v>845</v>
      </c>
      <c r="I188" s="47"/>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48" customHeight="1" x14ac:dyDescent="0.2">
      <c r="A189" s="15" t="s">
        <v>313</v>
      </c>
      <c r="B189" s="30" t="str">
        <f>VLOOKUP(A189,'HECVAT - Full'!A$24:B$312,2,FALSE)</f>
        <v>Do the documented test results identify your organizations actual recovery time capabilities for technology and facilities?</v>
      </c>
      <c r="C189" s="37" t="s">
        <v>570</v>
      </c>
      <c r="D189" s="41"/>
      <c r="E189" s="37" t="s">
        <v>663</v>
      </c>
      <c r="F189" s="37" t="s">
        <v>699</v>
      </c>
      <c r="G189" s="47"/>
      <c r="H189" s="39" t="s">
        <v>845</v>
      </c>
      <c r="I189" s="39">
        <v>12.8</v>
      </c>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5" t="s">
        <v>314</v>
      </c>
      <c r="B190" s="30" t="str">
        <f>VLOOKUP(A190,'HECVAT - Full'!A$24:B$312,2,FALSE)</f>
        <v xml:space="preserve">Are all components of the DRP reviewed at least annually and updated as needed to reflect change? </v>
      </c>
      <c r="C190" s="37" t="s">
        <v>570</v>
      </c>
      <c r="D190" s="41"/>
      <c r="E190" s="37" t="s">
        <v>640</v>
      </c>
      <c r="F190" s="37" t="s">
        <v>699</v>
      </c>
      <c r="G190" s="46" t="s">
        <v>719</v>
      </c>
      <c r="H190" s="39" t="s">
        <v>845</v>
      </c>
      <c r="I190" s="47"/>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5" t="s">
        <v>315</v>
      </c>
      <c r="B191" s="30" t="str">
        <f>VLOOKUP(A191,'HECVAT - Full'!A$24:B$312,2,FALSE)</f>
        <v>Do you carry cyber-risk insurance to protect against unforeseen service outages, data that is lost or stolen, and security incidents?</v>
      </c>
      <c r="C191" s="38"/>
      <c r="D191" s="41"/>
      <c r="E191" s="38"/>
      <c r="F191" s="38"/>
      <c r="G191" s="46" t="s">
        <v>738</v>
      </c>
      <c r="H191" s="39" t="s">
        <v>845</v>
      </c>
      <c r="I191" s="39">
        <v>12.8</v>
      </c>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01" t="str">
        <f>IF($C$30="","Firewalls, IDS, IPS, and Networking",IF($C$30="Yes","FW/IDPS/Networks - Optional based on QUALIFIER response.","Firewalls, IDS, IPS, and Networking"))</f>
        <v>Firewalls, IDS, IPS, and Networking</v>
      </c>
      <c r="B192" s="301"/>
      <c r="C192" s="36" t="str">
        <f>$C$22</f>
        <v>CIS Critical Security Controls v6.1</v>
      </c>
      <c r="D192" s="36" t="str">
        <f>$D$22</f>
        <v>HIPAA</v>
      </c>
      <c r="E192" s="36" t="str">
        <f>$E$22</f>
        <v>ISO 27002:2013</v>
      </c>
      <c r="F192" s="36" t="str">
        <f>$F$22</f>
        <v>NIST Cybersecurity Framework</v>
      </c>
      <c r="G192" s="25" t="str">
        <f>$G$22</f>
        <v>NIST SP 800-171r1</v>
      </c>
      <c r="H192" s="36" t="str">
        <f>$H$22</f>
        <v>NIST SP 800-53r4</v>
      </c>
      <c r="I192" s="173" t="s">
        <v>2045</v>
      </c>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5" t="s">
        <v>316</v>
      </c>
      <c r="B193" s="30" t="str">
        <f>VLOOKUP(A193,'HECVAT - Full'!A$24:B$312,2,FALSE)</f>
        <v>Are you utilizing a web application firewall (WAF)?</v>
      </c>
      <c r="C193" s="37" t="s">
        <v>584</v>
      </c>
      <c r="D193" s="41"/>
      <c r="E193" s="37" t="s">
        <v>665</v>
      </c>
      <c r="F193" s="37" t="s">
        <v>795</v>
      </c>
      <c r="G193" s="47"/>
      <c r="H193" s="38"/>
      <c r="I193" s="174">
        <v>1.1000000000000001</v>
      </c>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5" t="s">
        <v>317</v>
      </c>
      <c r="B194" s="30" t="str">
        <f>VLOOKUP(A194,'HECVAT - Full'!A$24:B$312,2,FALSE)</f>
        <v>Are you utilizing a stateful packet inspection (SPI) firewall?</v>
      </c>
      <c r="C194" s="37" t="s">
        <v>584</v>
      </c>
      <c r="D194" s="41"/>
      <c r="E194" s="37" t="s">
        <v>665</v>
      </c>
      <c r="F194" s="37" t="s">
        <v>795</v>
      </c>
      <c r="G194" s="47"/>
      <c r="H194" s="38"/>
      <c r="I194" s="174">
        <v>1.1000000000000001</v>
      </c>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5" t="s">
        <v>318</v>
      </c>
      <c r="B195" s="30" t="str">
        <f>VLOOKUP(A195,'HECVAT - Full'!A$24:B$312,2,FALSE)</f>
        <v>State and describe who has the authority to change firewall rules?</v>
      </c>
      <c r="C195" s="37" t="s">
        <v>584</v>
      </c>
      <c r="D195" s="41"/>
      <c r="E195" s="37" t="s">
        <v>639</v>
      </c>
      <c r="F195" s="37" t="s">
        <v>793</v>
      </c>
      <c r="G195" s="47"/>
      <c r="H195" s="38"/>
      <c r="I195" s="174">
        <v>1.1000000000000001</v>
      </c>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5" t="s">
        <v>319</v>
      </c>
      <c r="B196" s="30" t="str">
        <f>VLOOKUP(A196,'HECVAT - Full'!A$24:B$312,2,FALSE)</f>
        <v>Do you have a documented policy for firewall change requests?</v>
      </c>
      <c r="C196" s="37" t="s">
        <v>584</v>
      </c>
      <c r="D196" s="41"/>
      <c r="E196" s="37" t="s">
        <v>646</v>
      </c>
      <c r="F196" s="37" t="s">
        <v>793</v>
      </c>
      <c r="G196" s="47"/>
      <c r="H196" s="38"/>
      <c r="I196" s="174">
        <v>1.1000000000000001</v>
      </c>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5" t="s">
        <v>320</v>
      </c>
      <c r="B197" s="30" t="str">
        <f>VLOOKUP(A197,'HECVAT - Full'!A$24:B$312,2,FALSE)</f>
        <v>Have you implemented an Intrusion Detection System (network-based)?</v>
      </c>
      <c r="C197" s="37" t="s">
        <v>587</v>
      </c>
      <c r="D197" s="41"/>
      <c r="E197" s="37" t="s">
        <v>659</v>
      </c>
      <c r="F197" s="37" t="s">
        <v>796</v>
      </c>
      <c r="G197" s="46" t="s">
        <v>739</v>
      </c>
      <c r="H197" s="37" t="s">
        <v>860</v>
      </c>
      <c r="I197" s="174">
        <v>11.4</v>
      </c>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5" t="s">
        <v>321</v>
      </c>
      <c r="B198" s="30" t="str">
        <f>VLOOKUP(A198,'HECVAT - Full'!A$24:B$312,2,FALSE)</f>
        <v>Have you implemented an Intrusion Prevention System (network-based)?</v>
      </c>
      <c r="C198" s="37" t="s">
        <v>587</v>
      </c>
      <c r="D198" s="41"/>
      <c r="E198" s="37" t="s">
        <v>659</v>
      </c>
      <c r="F198" s="37" t="s">
        <v>796</v>
      </c>
      <c r="G198" s="46" t="s">
        <v>739</v>
      </c>
      <c r="H198" s="37" t="s">
        <v>860</v>
      </c>
      <c r="I198" s="174">
        <v>11.4</v>
      </c>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5" t="s">
        <v>322</v>
      </c>
      <c r="B199" s="30" t="str">
        <f>VLOOKUP(A199,'HECVAT - Full'!A$24:B$312,2,FALSE)</f>
        <v>Do you employ host-based intrusion detection?</v>
      </c>
      <c r="C199" s="37" t="s">
        <v>587</v>
      </c>
      <c r="D199" s="41"/>
      <c r="E199" s="37" t="s">
        <v>659</v>
      </c>
      <c r="F199" s="37" t="s">
        <v>796</v>
      </c>
      <c r="G199" s="46" t="s">
        <v>739</v>
      </c>
      <c r="H199" s="37" t="s">
        <v>860</v>
      </c>
      <c r="I199" s="174">
        <v>11.4</v>
      </c>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5" t="s">
        <v>323</v>
      </c>
      <c r="B200" s="30" t="str">
        <f>VLOOKUP(A200,'HECVAT - Full'!A$24:B$312,2,FALSE)</f>
        <v>Do you employ host-based intrusion prevention?</v>
      </c>
      <c r="C200" s="37" t="s">
        <v>587</v>
      </c>
      <c r="D200" s="41"/>
      <c r="E200" s="37" t="s">
        <v>659</v>
      </c>
      <c r="F200" s="37" t="s">
        <v>796</v>
      </c>
      <c r="G200" s="46" t="s">
        <v>739</v>
      </c>
      <c r="H200" s="37" t="s">
        <v>860</v>
      </c>
      <c r="I200" s="174">
        <v>11.4</v>
      </c>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5" t="s">
        <v>324</v>
      </c>
      <c r="B201" s="30" t="str">
        <f>VLOOKUP(A201,'HECVAT - Full'!A$24:B$312,2,FALSE)</f>
        <v>Are you employing any next-generation persistent threat (NGPT) monitoring?</v>
      </c>
      <c r="C201" s="37" t="s">
        <v>587</v>
      </c>
      <c r="D201" s="41"/>
      <c r="E201" s="37" t="s">
        <v>666</v>
      </c>
      <c r="F201" s="38"/>
      <c r="G201" s="46" t="s">
        <v>739</v>
      </c>
      <c r="H201" s="37" t="s">
        <v>860</v>
      </c>
      <c r="I201" s="174">
        <v>11.5</v>
      </c>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5" t="s">
        <v>325</v>
      </c>
      <c r="B202" s="30" t="str">
        <f>VLOOKUP(A202,'HECVAT - Full'!A$24:B$312,2,FALSE)</f>
        <v>Do you monitor for intrusions on a 24x7x365 basis?</v>
      </c>
      <c r="C202" s="37" t="s">
        <v>587</v>
      </c>
      <c r="D202" s="41"/>
      <c r="E202" s="37" t="s">
        <v>666</v>
      </c>
      <c r="F202" s="37" t="s">
        <v>797</v>
      </c>
      <c r="G202" s="46" t="s">
        <v>739</v>
      </c>
      <c r="H202" s="37" t="s">
        <v>860</v>
      </c>
      <c r="I202" s="174">
        <v>11.4</v>
      </c>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5" t="s">
        <v>326</v>
      </c>
      <c r="B203" s="30" t="str">
        <f>VLOOKUP(A203,'HECVAT - Full'!A$24:B$312,2,FALSE)</f>
        <v>Is intrusion monitoring performed internally or by a third-party service?</v>
      </c>
      <c r="C203" s="37" t="s">
        <v>588</v>
      </c>
      <c r="D203" s="41"/>
      <c r="E203" s="37" t="s">
        <v>666</v>
      </c>
      <c r="F203" s="37" t="s">
        <v>797</v>
      </c>
      <c r="G203" s="46" t="s">
        <v>739</v>
      </c>
      <c r="H203" s="37" t="s">
        <v>860</v>
      </c>
      <c r="I203" s="174" t="s">
        <v>2132</v>
      </c>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15" t="s">
        <v>327</v>
      </c>
      <c r="B204" s="30" t="str">
        <f>VLOOKUP(A204,'HECVAT - Full'!A$24:B$312,2,FALSE)</f>
        <v>Are audit logs available for all changes to the network, firewall, IDS, and IPS systems?</v>
      </c>
      <c r="C204" s="37" t="s">
        <v>579</v>
      </c>
      <c r="D204" s="41"/>
      <c r="E204" s="37" t="s">
        <v>666</v>
      </c>
      <c r="F204" s="37" t="s">
        <v>798</v>
      </c>
      <c r="G204" s="46" t="s">
        <v>740</v>
      </c>
      <c r="H204" s="37" t="s">
        <v>863</v>
      </c>
      <c r="I204" s="174" t="s">
        <v>2133</v>
      </c>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301" t="str">
        <f>IF(OR($C$25="No",$C$30="Yes"),"Mobile Applications - Optional based on QUALIFIER response.","Mobile Applications")</f>
        <v>Mobile Applications</v>
      </c>
      <c r="B205" s="301"/>
      <c r="C205" s="36" t="str">
        <f>$C$22</f>
        <v>CIS Critical Security Controls v6.1</v>
      </c>
      <c r="D205" s="36" t="str">
        <f>$D$22</f>
        <v>HIPAA</v>
      </c>
      <c r="E205" s="36" t="str">
        <f>$E$22</f>
        <v>ISO 27002:2013</v>
      </c>
      <c r="F205" s="36" t="str">
        <f>$F$22</f>
        <v>NIST Cybersecurity Framework</v>
      </c>
      <c r="G205" s="25" t="str">
        <f>$G$22</f>
        <v>NIST SP 800-171r1</v>
      </c>
      <c r="H205" s="36" t="str">
        <f>$H$22</f>
        <v>NIST SP 800-53r4</v>
      </c>
      <c r="I205" s="173" t="s">
        <v>2045</v>
      </c>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48" customHeight="1" x14ac:dyDescent="0.2">
      <c r="A206" s="15" t="s">
        <v>328</v>
      </c>
      <c r="B206" s="30" t="str">
        <f>VLOOKUP(A206,'HECVAT - Full'!A$24:B$312,2,FALSE)</f>
        <v>On which mobile operating systems is your software or service supported?</v>
      </c>
      <c r="C206" s="37" t="s">
        <v>569</v>
      </c>
      <c r="D206" s="41"/>
      <c r="E206" s="38"/>
      <c r="F206" s="38"/>
      <c r="G206" s="48"/>
      <c r="H206" s="38"/>
      <c r="I206" s="38"/>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7.1" customHeight="1" x14ac:dyDescent="0.2">
      <c r="A207" s="15" t="s">
        <v>329</v>
      </c>
      <c r="B207" s="30" t="str">
        <f>VLOOKUP(A207,'HECVAT - Full'!A$24:B$312,2,FALSE)</f>
        <v>Describe or provide a reference to the application's architecture and functionality.</v>
      </c>
      <c r="C207" s="37" t="s">
        <v>583</v>
      </c>
      <c r="D207" s="41"/>
      <c r="E207" s="38"/>
      <c r="F207" s="37" t="s">
        <v>799</v>
      </c>
      <c r="G207" s="48"/>
      <c r="H207" s="38"/>
      <c r="I207" s="38"/>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36" customHeight="1" x14ac:dyDescent="0.2">
      <c r="A208" s="15" t="s">
        <v>330</v>
      </c>
      <c r="B208" s="30" t="str">
        <f>VLOOKUP(A208,'HECVAT - Full'!A$24:B$312,2,FALSE)</f>
        <v>Is the application available from a trusted source (e.g., iTunes App Store, Android Market, BB World)?</v>
      </c>
      <c r="C208" s="37" t="s">
        <v>569</v>
      </c>
      <c r="D208" s="41"/>
      <c r="E208" s="38"/>
      <c r="F208" s="37" t="s">
        <v>799</v>
      </c>
      <c r="G208" s="47"/>
      <c r="H208" s="38"/>
      <c r="I208" s="3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65.099999999999994" customHeight="1" x14ac:dyDescent="0.2">
      <c r="A209" s="15" t="s">
        <v>331</v>
      </c>
      <c r="B209" s="30" t="str">
        <f>VLOOKUP(A209,'HECVAT - Full'!A$24:B$312,2,FALSE)</f>
        <v>Does the application store, process, or transmit critical data?</v>
      </c>
      <c r="C209" s="37" t="s">
        <v>589</v>
      </c>
      <c r="D209" s="41"/>
      <c r="E209" s="37" t="s">
        <v>667</v>
      </c>
      <c r="F209" s="37" t="s">
        <v>800</v>
      </c>
      <c r="G209" s="47"/>
      <c r="H209" s="38"/>
      <c r="I209" s="38"/>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36" customHeight="1" x14ac:dyDescent="0.2">
      <c r="A210" s="15" t="s">
        <v>332</v>
      </c>
      <c r="B210" s="30" t="str">
        <f>VLOOKUP(A210,'HECVAT - Full'!A$24:B$312,2,FALSE)</f>
        <v>Is Institution's data encrypted in transport?</v>
      </c>
      <c r="C210" s="37" t="s">
        <v>568</v>
      </c>
      <c r="D210" s="41"/>
      <c r="E210" s="37" t="s">
        <v>668</v>
      </c>
      <c r="F210" s="37" t="s">
        <v>800</v>
      </c>
      <c r="G210" s="46" t="s">
        <v>741</v>
      </c>
      <c r="H210" s="37" t="s">
        <v>864</v>
      </c>
      <c r="I210" s="37">
        <v>4.0999999999999996</v>
      </c>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36" customHeight="1" x14ac:dyDescent="0.2">
      <c r="A211" s="15" t="s">
        <v>333</v>
      </c>
      <c r="B211" s="30" t="str">
        <f>VLOOKUP(A211,'HECVAT - Full'!A$24:B$312,2,FALSE)</f>
        <v>Is Institution's data encrypted in storage? (e.g. disk encryption, at-rest)</v>
      </c>
      <c r="C211" s="37" t="s">
        <v>571</v>
      </c>
      <c r="D211" s="41"/>
      <c r="E211" s="37" t="s">
        <v>668</v>
      </c>
      <c r="F211" s="37" t="s">
        <v>801</v>
      </c>
      <c r="G211" s="47"/>
      <c r="H211" s="38"/>
      <c r="I211" s="38"/>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5" t="s">
        <v>334</v>
      </c>
      <c r="B212" s="30" t="str">
        <f>VLOOKUP(A212,'HECVAT - Full'!A$24:B$312,2,FALSE)</f>
        <v>Does the mobile application support Kerberos, CAS, or Active Directory authentication?</v>
      </c>
      <c r="C212" s="37" t="s">
        <v>577</v>
      </c>
      <c r="D212" s="41"/>
      <c r="E212" s="37" t="s">
        <v>669</v>
      </c>
      <c r="F212" s="38"/>
      <c r="G212" s="47"/>
      <c r="H212" s="38"/>
      <c r="I212" s="38"/>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48" customHeight="1" x14ac:dyDescent="0.2">
      <c r="A213" s="15" t="s">
        <v>335</v>
      </c>
      <c r="B213" s="30" t="str">
        <f>VLOOKUP(A213,'HECVAT - Full'!A$24:B$312,2,FALSE)</f>
        <v>Will any of these systems be implemented on systems hosting the Institution's data?</v>
      </c>
      <c r="C213" s="37" t="s">
        <v>577</v>
      </c>
      <c r="D213" s="41"/>
      <c r="E213" s="38"/>
      <c r="F213" s="38"/>
      <c r="G213" s="47"/>
      <c r="H213" s="38"/>
      <c r="I213" s="38"/>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5" t="s">
        <v>336</v>
      </c>
      <c r="B214" s="30" t="str">
        <f>VLOOKUP(A214,'HECVAT - Full'!A$24:B$312,2,FALSE)</f>
        <v>Does the application adhere to secure coding practices (e.g. OWASP, etc.)?</v>
      </c>
      <c r="C214" s="37" t="s">
        <v>569</v>
      </c>
      <c r="D214" s="41"/>
      <c r="E214" s="37" t="s">
        <v>621</v>
      </c>
      <c r="F214" s="37" t="s">
        <v>799</v>
      </c>
      <c r="G214" s="47"/>
      <c r="H214" s="38"/>
      <c r="I214" s="38"/>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5" t="s">
        <v>337</v>
      </c>
      <c r="B215" s="30" t="str">
        <f>VLOOKUP(A215,'HECVAT - Full'!A$24:B$312,2,FALSE)</f>
        <v>Has the application been tested for vulnerabilities by a third party?</v>
      </c>
      <c r="C215" s="37" t="s">
        <v>569</v>
      </c>
      <c r="D215" s="41"/>
      <c r="E215" s="37" t="s">
        <v>670</v>
      </c>
      <c r="F215" s="37" t="s">
        <v>802</v>
      </c>
      <c r="G215" s="47"/>
      <c r="H215" s="38"/>
      <c r="I215" s="38"/>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5" t="s">
        <v>555</v>
      </c>
      <c r="B216" s="30" t="str">
        <f>VLOOKUP(A216,'HECVAT - Full'!A$24:B$312,2,FALSE)</f>
        <v>State the party that performed the vulnerability test and the date it was conducted?</v>
      </c>
      <c r="C216" s="37" t="s">
        <v>569</v>
      </c>
      <c r="D216" s="41"/>
      <c r="E216" s="37" t="s">
        <v>670</v>
      </c>
      <c r="F216" s="37" t="s">
        <v>802</v>
      </c>
      <c r="G216" s="48"/>
      <c r="H216" s="38"/>
      <c r="I216" s="38"/>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301" t="str">
        <f>IF($C$30="","Physical Security",IF($C$30="Yes","Physical Security - Optional based on QUALIFIER response.","Physical Security"))</f>
        <v>Physical Security</v>
      </c>
      <c r="B217" s="301"/>
      <c r="C217" s="36" t="str">
        <f>$C$22</f>
        <v>CIS Critical Security Controls v6.1</v>
      </c>
      <c r="D217" s="36" t="str">
        <f>$D$22</f>
        <v>HIPAA</v>
      </c>
      <c r="E217" s="36" t="str">
        <f>$E$22</f>
        <v>ISO 27002:2013</v>
      </c>
      <c r="F217" s="36" t="str">
        <f>$F$22</f>
        <v>NIST Cybersecurity Framework</v>
      </c>
      <c r="G217" s="25" t="str">
        <f>$G$22</f>
        <v>NIST SP 800-171r1</v>
      </c>
      <c r="H217" s="36" t="str">
        <f>$H$22</f>
        <v>NIST SP 800-53r4</v>
      </c>
      <c r="I217" s="173" t="s">
        <v>2045</v>
      </c>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64.349999999999994" customHeight="1" x14ac:dyDescent="0.2">
      <c r="A218" s="15" t="s">
        <v>338</v>
      </c>
      <c r="B218" s="30" t="str">
        <f>VLOOKUP(A218,'HECVAT - Full'!A$24:B$312,2,FALSE)</f>
        <v>Does your organization have physical security controls and policies in place?</v>
      </c>
      <c r="C218" s="37" t="s">
        <v>583</v>
      </c>
      <c r="D218" s="42"/>
      <c r="E218" s="37" t="s">
        <v>658</v>
      </c>
      <c r="F218" s="37" t="s">
        <v>803</v>
      </c>
      <c r="G218" s="46" t="s">
        <v>742</v>
      </c>
      <c r="H218" s="37" t="s">
        <v>865</v>
      </c>
      <c r="I218" s="37" t="s">
        <v>2131</v>
      </c>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5" t="s">
        <v>339</v>
      </c>
      <c r="B219" s="30" t="str">
        <f>VLOOKUP(A219,'HECVAT - Full'!A$24:B$312,2,FALSE)</f>
        <v>Are employees allowed to take home Institution's data in any form?</v>
      </c>
      <c r="C219" s="37" t="s">
        <v>568</v>
      </c>
      <c r="D219" s="42"/>
      <c r="E219" s="37" t="s">
        <v>668</v>
      </c>
      <c r="F219" s="37" t="s">
        <v>804</v>
      </c>
      <c r="G219" s="46" t="s">
        <v>744</v>
      </c>
      <c r="H219" s="37" t="s">
        <v>866</v>
      </c>
      <c r="I219" s="37" t="s">
        <v>2134</v>
      </c>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15" t="s">
        <v>340</v>
      </c>
      <c r="B220" s="30" t="str">
        <f>VLOOKUP(A220,'HECVAT - Full'!A$24:B$312,2,FALSE)</f>
        <v>Are video monitoring feeds retained?</v>
      </c>
      <c r="C220" s="37" t="s">
        <v>583</v>
      </c>
      <c r="D220" s="42"/>
      <c r="E220" s="37" t="s">
        <v>672</v>
      </c>
      <c r="F220" s="37" t="s">
        <v>805</v>
      </c>
      <c r="G220" s="46" t="s">
        <v>743</v>
      </c>
      <c r="H220" s="37" t="s">
        <v>867</v>
      </c>
      <c r="I220" s="37" t="s">
        <v>2131</v>
      </c>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15" t="s">
        <v>341</v>
      </c>
      <c r="B221" s="30" t="str">
        <f>VLOOKUP(A221,'HECVAT - Full'!A$24:B$312,2,FALSE)</f>
        <v>Are video feeds monitored by datacenter staff?</v>
      </c>
      <c r="C221" s="37" t="s">
        <v>583</v>
      </c>
      <c r="D221" s="42"/>
      <c r="E221" s="37" t="s">
        <v>673</v>
      </c>
      <c r="F221" s="37" t="s">
        <v>805</v>
      </c>
      <c r="G221" s="46" t="s">
        <v>743</v>
      </c>
      <c r="H221" s="37" t="s">
        <v>867</v>
      </c>
      <c r="I221" s="37" t="s">
        <v>2131</v>
      </c>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36" customHeight="1" x14ac:dyDescent="0.2">
      <c r="A222" s="15" t="s">
        <v>342</v>
      </c>
      <c r="B222" s="30" t="str">
        <f>VLOOKUP(A222,'HECVAT - Full'!A$24:B$312,2,FALSE)</f>
        <v>Are individuals required to sign in/out for installation and removal of equipment?</v>
      </c>
      <c r="C222" s="37" t="s">
        <v>571</v>
      </c>
      <c r="D222" s="42"/>
      <c r="E222" s="37" t="s">
        <v>671</v>
      </c>
      <c r="F222" s="37" t="s">
        <v>789</v>
      </c>
      <c r="G222" s="46" t="s">
        <v>745</v>
      </c>
      <c r="H222" s="106" t="s">
        <v>866</v>
      </c>
      <c r="I222" s="37" t="s">
        <v>2131</v>
      </c>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36" customHeight="1" x14ac:dyDescent="0.2">
      <c r="A223" s="301" t="str">
        <f>IF($C$30="","Policies, Procedures, and Processes",IF($C$30="Yes","Pol/Pro/Proc - Optional based on QUALIFIER response.","Policies, Procedures, and Processes"))</f>
        <v>Policies, Procedures, and Processes</v>
      </c>
      <c r="B223" s="301"/>
      <c r="C223" s="36" t="str">
        <f>$C$22</f>
        <v>CIS Critical Security Controls v6.1</v>
      </c>
      <c r="D223" s="36" t="str">
        <f>$D$22</f>
        <v>HIPAA</v>
      </c>
      <c r="E223" s="36" t="str">
        <f>$E$22</f>
        <v>ISO 27002:2013</v>
      </c>
      <c r="F223" s="36" t="str">
        <f>$F$22</f>
        <v>NIST Cybersecurity Framework</v>
      </c>
      <c r="G223" s="25" t="str">
        <f>$G$22</f>
        <v>NIST SP 800-171r1</v>
      </c>
      <c r="H223" s="36" t="str">
        <f>$H$22</f>
        <v>NIST SP 800-53r4</v>
      </c>
      <c r="I223" s="173" t="s">
        <v>2045</v>
      </c>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2" customHeight="1" x14ac:dyDescent="0.2">
      <c r="A224" s="15" t="s">
        <v>343</v>
      </c>
      <c r="B224" s="30" t="str">
        <f>VLOOKUP(A224,'HECVAT - Full'!A$24:B$312,2,FALSE)</f>
        <v>Can you share the organization chart, mission statement, and policies for your information security unit?</v>
      </c>
      <c r="C224" s="38"/>
      <c r="D224" s="38"/>
      <c r="E224" s="37" t="s">
        <v>674</v>
      </c>
      <c r="F224" s="37" t="s">
        <v>806</v>
      </c>
      <c r="G224" s="46" t="s">
        <v>746</v>
      </c>
      <c r="H224" s="37" t="s">
        <v>868</v>
      </c>
      <c r="I224" s="37" t="s">
        <v>2135</v>
      </c>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15" t="s">
        <v>344</v>
      </c>
      <c r="B225" s="30" t="str">
        <f>VLOOKUP(A225,'HECVAT - Full'!A$24:B$312,2,FALSE)</f>
        <v>Do you have a documented patch management process?</v>
      </c>
      <c r="C225" s="37" t="s">
        <v>590</v>
      </c>
      <c r="D225" s="38"/>
      <c r="E225" s="37" t="s">
        <v>647</v>
      </c>
      <c r="F225" s="37" t="s">
        <v>807</v>
      </c>
      <c r="G225" s="47"/>
      <c r="H225" s="37" t="s">
        <v>869</v>
      </c>
      <c r="I225" s="37" t="s">
        <v>2136</v>
      </c>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15" t="s">
        <v>345</v>
      </c>
      <c r="B226" s="30" t="str">
        <f>VLOOKUP(A226,'HECVAT - Full'!A$24:B$312,2,FALSE)</f>
        <v>Can you accommodate encryption requirements using open standards?</v>
      </c>
      <c r="C226" s="37" t="s">
        <v>568</v>
      </c>
      <c r="D226" s="38"/>
      <c r="E226" s="37" t="s">
        <v>682</v>
      </c>
      <c r="F226" s="38"/>
      <c r="G226" s="47"/>
      <c r="H226" s="37" t="s">
        <v>869</v>
      </c>
      <c r="I226" s="37"/>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5" t="s">
        <v>346</v>
      </c>
      <c r="B227" s="30" t="str">
        <f>VLOOKUP(A227,'HECVAT - Full'!A$24:B$312,2,FALSE)</f>
        <v>Have your developers been trained in secure coding techniques?</v>
      </c>
      <c r="C227" s="37" t="s">
        <v>592</v>
      </c>
      <c r="D227" s="38"/>
      <c r="E227" s="37" t="s">
        <v>621</v>
      </c>
      <c r="F227" s="38"/>
      <c r="G227" s="47"/>
      <c r="H227" s="37" t="s">
        <v>869</v>
      </c>
      <c r="I227" s="37" t="s">
        <v>2137</v>
      </c>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48" customHeight="1" x14ac:dyDescent="0.2">
      <c r="A228" s="15" t="s">
        <v>347</v>
      </c>
      <c r="B228" s="30" t="str">
        <f>VLOOKUP(A228,'HECVAT - Full'!A$24:B$312,2,FALSE)</f>
        <v>Was your application developed using secure coding techniques?</v>
      </c>
      <c r="C228" s="37" t="s">
        <v>590</v>
      </c>
      <c r="D228" s="38"/>
      <c r="E228" s="37" t="s">
        <v>621</v>
      </c>
      <c r="F228" s="38"/>
      <c r="G228" s="47"/>
      <c r="H228" s="37" t="s">
        <v>869</v>
      </c>
      <c r="I228" s="37">
        <v>6.3</v>
      </c>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48" customHeight="1" x14ac:dyDescent="0.2">
      <c r="A229" s="15" t="s">
        <v>348</v>
      </c>
      <c r="B229" s="30" t="str">
        <f>VLOOKUP(A229,'HECVAT - Full'!A$24:B$312,2,FALSE)</f>
        <v>Do you subject your code to static code analysis and/or static application security testing prior to release?</v>
      </c>
      <c r="C229" s="37" t="s">
        <v>590</v>
      </c>
      <c r="D229" s="38"/>
      <c r="E229" s="37" t="s">
        <v>683</v>
      </c>
      <c r="F229" s="37" t="s">
        <v>808</v>
      </c>
      <c r="G229" s="47"/>
      <c r="H229" s="37" t="s">
        <v>869</v>
      </c>
      <c r="I229" s="37" t="s">
        <v>2138</v>
      </c>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84" customHeight="1" x14ac:dyDescent="0.2">
      <c r="A230" s="15" t="s">
        <v>349</v>
      </c>
      <c r="B230" s="30" t="str">
        <f>VLOOKUP(A230,'HECVAT - Full'!A$24:B$312,2,FALSE)</f>
        <v>Do you have software testing processes (dynamic or static) that are established and followed?</v>
      </c>
      <c r="C230" s="37" t="s">
        <v>590</v>
      </c>
      <c r="D230" s="38"/>
      <c r="E230" s="37" t="s">
        <v>675</v>
      </c>
      <c r="F230" s="37" t="s">
        <v>809</v>
      </c>
      <c r="G230" s="46" t="s">
        <v>719</v>
      </c>
      <c r="H230" s="37" t="s">
        <v>869</v>
      </c>
      <c r="I230" s="37" t="s">
        <v>2139</v>
      </c>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5" t="s">
        <v>350</v>
      </c>
      <c r="B231" s="30" t="str">
        <f>VLOOKUP(A231,'HECVAT - Full'!A$24:B$312,2,FALSE)</f>
        <v>Are information security principles designed into the product lifecycle?</v>
      </c>
      <c r="C231" s="37" t="s">
        <v>590</v>
      </c>
      <c r="D231" s="38"/>
      <c r="E231" s="37" t="s">
        <v>621</v>
      </c>
      <c r="F231" s="38"/>
      <c r="G231" s="46" t="s">
        <v>747</v>
      </c>
      <c r="H231" s="37" t="s">
        <v>869</v>
      </c>
      <c r="I231" s="37" t="s">
        <v>2140</v>
      </c>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5" t="s">
        <v>351</v>
      </c>
      <c r="B232" s="30" t="str">
        <f>VLOOKUP(A232,'HECVAT - Full'!A$24:B$312,2,FALSE)</f>
        <v>Do you have a documented systems development life cycle (SDLC)?</v>
      </c>
      <c r="C232" s="37" t="s">
        <v>590</v>
      </c>
      <c r="D232" s="38"/>
      <c r="E232" s="37" t="s">
        <v>621</v>
      </c>
      <c r="F232" s="37" t="s">
        <v>810</v>
      </c>
      <c r="G232" s="47"/>
      <c r="H232" s="37" t="s">
        <v>870</v>
      </c>
      <c r="I232" s="37" t="s">
        <v>2138</v>
      </c>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5" t="s">
        <v>352</v>
      </c>
      <c r="B233" s="30" t="str">
        <f>VLOOKUP(A233,'HECVAT - Full'!A$24:B$312,2,FALSE)</f>
        <v>Do you have a formal incident response plan?</v>
      </c>
      <c r="C233" s="37" t="s">
        <v>587</v>
      </c>
      <c r="D233" s="38"/>
      <c r="E233" s="37" t="s">
        <v>676</v>
      </c>
      <c r="F233" s="37" t="s">
        <v>699</v>
      </c>
      <c r="G233" s="46" t="s">
        <v>748</v>
      </c>
      <c r="H233" s="37" t="s">
        <v>871</v>
      </c>
      <c r="I233" s="37" t="s">
        <v>2141</v>
      </c>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5" t="s">
        <v>353</v>
      </c>
      <c r="B234" s="30" t="str">
        <f>VLOOKUP(A234,'HECVAT - Full'!A$24:B$312,2,FALSE)</f>
        <v>Will you comply with applicable breach notification laws?</v>
      </c>
      <c r="C234" s="37" t="s">
        <v>587</v>
      </c>
      <c r="D234" s="38"/>
      <c r="E234" s="37" t="s">
        <v>616</v>
      </c>
      <c r="F234" s="37" t="s">
        <v>697</v>
      </c>
      <c r="G234" s="46" t="s">
        <v>749</v>
      </c>
      <c r="H234" s="37" t="s">
        <v>872</v>
      </c>
      <c r="I234" s="37">
        <v>12.8</v>
      </c>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8" customHeight="1" x14ac:dyDescent="0.2">
      <c r="A235" s="15" t="s">
        <v>354</v>
      </c>
      <c r="B235" s="30" t="str">
        <f>VLOOKUP(A235,'HECVAT - Full'!A$24:B$312,2,FALSE)</f>
        <v>Will you comply with the Institution's IT policies with regards to user privacy and data protection?</v>
      </c>
      <c r="C235" s="37" t="s">
        <v>568</v>
      </c>
      <c r="D235" s="38"/>
      <c r="E235" s="37" t="s">
        <v>616</v>
      </c>
      <c r="F235" s="38"/>
      <c r="G235" s="46" t="s">
        <v>738</v>
      </c>
      <c r="H235" s="37" t="s">
        <v>873</v>
      </c>
      <c r="I235" s="37">
        <v>12.8</v>
      </c>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5" t="s">
        <v>355</v>
      </c>
      <c r="B236" s="30" t="str">
        <f>VLOOKUP(A236,'HECVAT - Full'!A$24:B$312,2,FALSE)</f>
        <v>Is your company subject to Institution's Data Zone laws and regulations?</v>
      </c>
      <c r="C236" s="37" t="s">
        <v>587</v>
      </c>
      <c r="D236" s="38"/>
      <c r="E236" s="37" t="s">
        <v>616</v>
      </c>
      <c r="F236" s="37" t="s">
        <v>697</v>
      </c>
      <c r="G236" s="47"/>
      <c r="H236" s="37" t="s">
        <v>869</v>
      </c>
      <c r="I236" s="37"/>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48" customHeight="1" x14ac:dyDescent="0.2">
      <c r="A237" s="15" t="s">
        <v>356</v>
      </c>
      <c r="B237" s="30" t="str">
        <f>VLOOKUP(A237,'HECVAT - Full'!A$24:B$312,2,FALSE)</f>
        <v>Do you perform background screenings or multi-state background checks on all employees prior to their first day of work?</v>
      </c>
      <c r="C237" s="37" t="s">
        <v>576</v>
      </c>
      <c r="D237" s="38"/>
      <c r="E237" s="37" t="s">
        <v>677</v>
      </c>
      <c r="F237" s="37" t="s">
        <v>811</v>
      </c>
      <c r="G237" s="46" t="s">
        <v>750</v>
      </c>
      <c r="H237" s="37" t="s">
        <v>874</v>
      </c>
      <c r="I237" s="37">
        <v>12.7</v>
      </c>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15" t="s">
        <v>357</v>
      </c>
      <c r="B238" s="30" t="str">
        <f>VLOOKUP(A238,'HECVAT - Full'!A$24:B$312,2,FALSE)</f>
        <v xml:space="preserve">Do you require new employees to fill out agreements and review policies?  </v>
      </c>
      <c r="C238" s="37" t="s">
        <v>591</v>
      </c>
      <c r="D238" s="38"/>
      <c r="E238" s="37" t="s">
        <v>678</v>
      </c>
      <c r="F238" s="37" t="s">
        <v>811</v>
      </c>
      <c r="G238" s="47"/>
      <c r="H238" s="37" t="s">
        <v>869</v>
      </c>
      <c r="I238" s="37" t="s">
        <v>2142</v>
      </c>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48" customHeight="1" x14ac:dyDescent="0.2">
      <c r="A239" s="15" t="s">
        <v>358</v>
      </c>
      <c r="B239" s="30" t="str">
        <f>VLOOKUP(A239,'HECVAT - Full'!A$24:B$312,2,FALSE)</f>
        <v>Do you have documented information security policy?</v>
      </c>
      <c r="C239" s="37" t="s">
        <v>591</v>
      </c>
      <c r="D239" s="37" t="s">
        <v>599</v>
      </c>
      <c r="E239" s="37" t="s">
        <v>674</v>
      </c>
      <c r="F239" s="37" t="s">
        <v>697</v>
      </c>
      <c r="G239" s="47"/>
      <c r="H239" s="37" t="s">
        <v>869</v>
      </c>
      <c r="I239" s="37" t="s">
        <v>2144</v>
      </c>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5" t="s">
        <v>359</v>
      </c>
      <c r="B240" s="30" t="str">
        <f>VLOOKUP(A240,'HECVAT - Full'!A$24:B$312,2,FALSE)</f>
        <v>Do you have an information security awareness program?</v>
      </c>
      <c r="C240" s="37" t="s">
        <v>591</v>
      </c>
      <c r="D240" s="37" t="s">
        <v>601</v>
      </c>
      <c r="E240" s="37" t="s">
        <v>679</v>
      </c>
      <c r="F240" s="37" t="s">
        <v>812</v>
      </c>
      <c r="G240" s="46" t="s">
        <v>751</v>
      </c>
      <c r="H240" s="37" t="s">
        <v>875</v>
      </c>
      <c r="I240" s="37">
        <v>12.6</v>
      </c>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5" t="s">
        <v>360</v>
      </c>
      <c r="B241" s="30" t="str">
        <f>VLOOKUP(A241,'HECVAT - Full'!A$24:B$312,2,FALSE)</f>
        <v>Is security awareness training mandatory for all employees?</v>
      </c>
      <c r="C241" s="37" t="s">
        <v>591</v>
      </c>
      <c r="D241" s="37" t="s">
        <v>601</v>
      </c>
      <c r="E241" s="37" t="s">
        <v>679</v>
      </c>
      <c r="F241" s="37" t="s">
        <v>812</v>
      </c>
      <c r="G241" s="46" t="s">
        <v>752</v>
      </c>
      <c r="H241" s="37" t="s">
        <v>876</v>
      </c>
      <c r="I241" s="37">
        <v>12.6</v>
      </c>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5" t="s">
        <v>361</v>
      </c>
      <c r="B242" s="30" t="str">
        <f>VLOOKUP(A242,'HECVAT - Full'!A$24:B$312,2,FALSE)</f>
        <v>Do you have process and procedure(s) documented, and currently followed, that require a review and update of the access-list(s) for privileged accounts?</v>
      </c>
      <c r="C242" s="37" t="s">
        <v>591</v>
      </c>
      <c r="D242" s="38"/>
      <c r="E242" s="37" t="s">
        <v>680</v>
      </c>
      <c r="F242" s="37" t="s">
        <v>771</v>
      </c>
      <c r="G242" s="46" t="s">
        <v>753</v>
      </c>
      <c r="H242" s="37" t="s">
        <v>869</v>
      </c>
      <c r="I242" s="37" t="s">
        <v>2145</v>
      </c>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70.349999999999994" customHeight="1" x14ac:dyDescent="0.2">
      <c r="A243" s="15" t="s">
        <v>362</v>
      </c>
      <c r="B243" s="30" t="str">
        <f>VLOOKUP(A243,'HECVAT - Full'!A$24:B$312,2,FALSE)</f>
        <v>Do you have documented, and currently implemented, internal audit processes and procedures?</v>
      </c>
      <c r="C243" s="38"/>
      <c r="D243" s="38"/>
      <c r="E243" s="37" t="s">
        <v>681</v>
      </c>
      <c r="F243" s="38"/>
      <c r="G243" s="47"/>
      <c r="H243" s="37" t="s">
        <v>877</v>
      </c>
      <c r="I243" s="47"/>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36" customHeight="1" x14ac:dyDescent="0.2">
      <c r="A244" s="301" t="str">
        <f>IF($C$30="","Product Evaluation",IF($C$30="Yes","Product Evaluation - Optional based on QUALIFIER response.","Product Evaluation"))</f>
        <v>Product Evaluation</v>
      </c>
      <c r="B244" s="301"/>
      <c r="C244" s="36" t="str">
        <f>$C$22</f>
        <v>CIS Critical Security Controls v6.1</v>
      </c>
      <c r="D244" s="36" t="str">
        <f>$D$22</f>
        <v>HIPAA</v>
      </c>
      <c r="E244" s="36" t="str">
        <f>$E$22</f>
        <v>ISO 27002:2013</v>
      </c>
      <c r="F244" s="36" t="str">
        <f>$F$22</f>
        <v>NIST Cybersecurity Framework</v>
      </c>
      <c r="G244" s="25" t="str">
        <f>$G$22</f>
        <v>NIST SP 800-171r1</v>
      </c>
      <c r="H244" s="36" t="str">
        <f>$H$22</f>
        <v>NIST SP 800-53r4</v>
      </c>
      <c r="I244" s="173" t="s">
        <v>2045</v>
      </c>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5" t="s">
        <v>363</v>
      </c>
      <c r="B245" s="30" t="str">
        <f>VLOOKUP(A245,'HECVAT - Full'!A$24:B$312,2,FALSE)</f>
        <v>Do you incorporate customer feedback into security feature requests?</v>
      </c>
      <c r="C245" s="38"/>
      <c r="D245" s="41"/>
      <c r="E245" s="41"/>
      <c r="F245" s="38"/>
      <c r="G245" s="47"/>
      <c r="H245" s="41"/>
      <c r="I245" s="41"/>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36" customHeight="1" x14ac:dyDescent="0.2">
      <c r="A246" s="15" t="s">
        <v>364</v>
      </c>
      <c r="B246" s="30" t="str">
        <f>VLOOKUP(A246,'HECVAT - Full'!A$24:B$312,2,FALSE)</f>
        <v>Can you provide an evaluation site to the institution for testing?</v>
      </c>
      <c r="C246" s="38"/>
      <c r="D246" s="41"/>
      <c r="E246" s="41"/>
      <c r="F246" s="37" t="s">
        <v>809</v>
      </c>
      <c r="G246" s="47"/>
      <c r="H246" s="41"/>
      <c r="I246" s="41"/>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36" customHeight="1" x14ac:dyDescent="0.2">
      <c r="A247" s="301" t="str">
        <f>IF($C$30="","Quality Assurance",IF($C$30="Yes","Quality Assurance - Optional based on QUALIFIER response.","Quality Assurance"))</f>
        <v>Quality Assurance</v>
      </c>
      <c r="B247" s="301"/>
      <c r="C247" s="36" t="str">
        <f>$C$22</f>
        <v>CIS Critical Security Controls v6.1</v>
      </c>
      <c r="D247" s="36" t="str">
        <f>$D$22</f>
        <v>HIPAA</v>
      </c>
      <c r="E247" s="36" t="str">
        <f>$E$22</f>
        <v>ISO 27002:2013</v>
      </c>
      <c r="F247" s="36" t="str">
        <f>$F$22</f>
        <v>NIST Cybersecurity Framework</v>
      </c>
      <c r="G247" s="25" t="str">
        <f>$G$22</f>
        <v>NIST SP 800-171r1</v>
      </c>
      <c r="H247" s="36" t="str">
        <f>$H$22</f>
        <v>NIST SP 800-53r4</v>
      </c>
      <c r="I247" s="173" t="s">
        <v>2045</v>
      </c>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5" t="s">
        <v>365</v>
      </c>
      <c r="B248" s="30" t="str">
        <f>VLOOKUP(A248,'HECVAT - Full'!A$24:B$312,2,FALSE)</f>
        <v>Provide a general summary of your Quality Assurance program.</v>
      </c>
      <c r="C248" s="37" t="s">
        <v>568</v>
      </c>
      <c r="D248" s="41"/>
      <c r="E248" s="41"/>
      <c r="F248" s="41"/>
      <c r="G248" s="48"/>
      <c r="H248" s="41"/>
      <c r="I248" s="41"/>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36" customHeight="1" x14ac:dyDescent="0.2">
      <c r="A249" s="15" t="s">
        <v>366</v>
      </c>
      <c r="B249" s="30" t="str">
        <f>VLOOKUP(A249,'HECVAT - Full'!A$24:B$312,2,FALSE)</f>
        <v>Do you comply with ISO 9001?</v>
      </c>
      <c r="C249" s="37" t="s">
        <v>568</v>
      </c>
      <c r="D249" s="41"/>
      <c r="E249" s="37" t="s">
        <v>616</v>
      </c>
      <c r="F249" s="38"/>
      <c r="G249" s="47"/>
      <c r="H249" s="41"/>
      <c r="I249" s="41"/>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53.1" customHeight="1" x14ac:dyDescent="0.2">
      <c r="A250" s="15" t="s">
        <v>367</v>
      </c>
      <c r="B250" s="30" t="str">
        <f>VLOOKUP(A250,'HECVAT - Full'!A$24:B$312,2,FALSE)</f>
        <v>Will your company provide quality and performance metrics in relation to the scope of services and performance expectations for the services you are offering?</v>
      </c>
      <c r="C250" s="37" t="s">
        <v>568</v>
      </c>
      <c r="D250" s="41"/>
      <c r="E250" s="41"/>
      <c r="F250" s="38"/>
      <c r="G250" s="47"/>
      <c r="H250" s="41"/>
      <c r="I250" s="41"/>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53.1" customHeight="1" x14ac:dyDescent="0.2">
      <c r="A251" s="15" t="s">
        <v>368</v>
      </c>
      <c r="B251" s="30" t="str">
        <f>VLOOKUP(A251,'HECVAT - Full'!A$24:B$312,2,FALSE)</f>
        <v>Have you supplied products and/or services to the Institution (or its Campuses) in the last five years?</v>
      </c>
      <c r="C251" s="38"/>
      <c r="D251" s="41"/>
      <c r="E251" s="41"/>
      <c r="F251" s="38"/>
      <c r="G251" s="47"/>
      <c r="H251" s="41"/>
      <c r="I251" s="4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5" t="s">
        <v>369</v>
      </c>
      <c r="B252" s="30" t="str">
        <f>VLOOKUP(A252,'HECVAT - Full'!A$24:B$312,2,FALSE)</f>
        <v>Do you have a program to keep your customers abreast of higher education and/or industry issues?</v>
      </c>
      <c r="C252" s="37" t="s">
        <v>591</v>
      </c>
      <c r="D252" s="41"/>
      <c r="E252" s="41"/>
      <c r="F252" s="38"/>
      <c r="G252" s="47"/>
      <c r="H252" s="41"/>
      <c r="I252" s="41"/>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36" customHeight="1" x14ac:dyDescent="0.2">
      <c r="A253" s="301" t="str">
        <f>IF($C$30="","Systems Management &amp; Configuration",IF($C$30="Yes","System Mgmt/Config - Optional based on QUALIFIER response.","Systems Management &amp; Configuration"))</f>
        <v>Systems Management &amp; Configuration</v>
      </c>
      <c r="B253" s="301"/>
      <c r="C253" s="36" t="str">
        <f>$C$22</f>
        <v>CIS Critical Security Controls v6.1</v>
      </c>
      <c r="D253" s="36" t="str">
        <f>$D$22</f>
        <v>HIPAA</v>
      </c>
      <c r="E253" s="36" t="str">
        <f>$E$22</f>
        <v>ISO 27002:2013</v>
      </c>
      <c r="F253" s="36" t="str">
        <f>$F$22</f>
        <v>NIST Cybersecurity Framework</v>
      </c>
      <c r="G253" s="25" t="str">
        <f>$G$22</f>
        <v>NIST SP 800-171r1</v>
      </c>
      <c r="H253" s="36" t="str">
        <f>$H$22</f>
        <v>NIST SP 800-53r4</v>
      </c>
      <c r="I253" s="173" t="s">
        <v>2045</v>
      </c>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9.35" customHeight="1" x14ac:dyDescent="0.2">
      <c r="A254" s="15" t="s">
        <v>370</v>
      </c>
      <c r="B254" s="30" t="str">
        <f>VLOOKUP(A254,'HECVAT - Full'!A$24:B$312,2,FALSE)</f>
        <v>Are systems that support this service managed via a separate management network?</v>
      </c>
      <c r="C254" s="37" t="s">
        <v>573</v>
      </c>
      <c r="D254" s="38"/>
      <c r="E254" s="37" t="s">
        <v>665</v>
      </c>
      <c r="F254" s="37" t="s">
        <v>813</v>
      </c>
      <c r="G254" s="46" t="s">
        <v>737</v>
      </c>
      <c r="H254" s="37" t="s">
        <v>828</v>
      </c>
      <c r="I254" s="41"/>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48" customHeight="1" x14ac:dyDescent="0.2">
      <c r="A255" s="15" t="s">
        <v>371</v>
      </c>
      <c r="B255" s="30" t="str">
        <f>VLOOKUP(A255,'HECVAT - Full'!A$24:B$312,2,FALSE)</f>
        <v>Do you have an implemented system configuration management process? (e.g. secure "gold" images, etc.)</v>
      </c>
      <c r="C255" s="37" t="s">
        <v>583</v>
      </c>
      <c r="D255" s="38"/>
      <c r="E255" s="38"/>
      <c r="F255" s="37" t="s">
        <v>814</v>
      </c>
      <c r="G255" s="46" t="s">
        <v>754</v>
      </c>
      <c r="H255" s="37" t="s">
        <v>878</v>
      </c>
      <c r="I255" s="41"/>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48" customHeight="1" x14ac:dyDescent="0.2">
      <c r="A256" s="15" t="s">
        <v>372</v>
      </c>
      <c r="B256" s="30" t="str">
        <f>VLOOKUP(A256,'HECVAT - Full'!A$24:B$312,2,FALSE)</f>
        <v>Are employee mobile devices managed by your company's Mobile Device Management (MDM) platform?</v>
      </c>
      <c r="C256" s="37" t="s">
        <v>583</v>
      </c>
      <c r="D256" s="38"/>
      <c r="E256" s="37" t="s">
        <v>684</v>
      </c>
      <c r="F256" s="38"/>
      <c r="G256" s="46" t="s">
        <v>755</v>
      </c>
      <c r="H256" s="38"/>
      <c r="I256" s="41"/>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349999999999994" customHeight="1" x14ac:dyDescent="0.2">
      <c r="A257" s="15" t="s">
        <v>373</v>
      </c>
      <c r="B257" s="30" t="str">
        <f>VLOOKUP(A257,'HECVAT - Full'!A$24:B$312,2,FALSE)</f>
        <v>Do you have a systems management and configuration strategy that encompasses servers, appliances, and mobile devices (company and employee owned)?</v>
      </c>
      <c r="C257" s="37" t="s">
        <v>583</v>
      </c>
      <c r="D257" s="38"/>
      <c r="E257" s="37" t="s">
        <v>629</v>
      </c>
      <c r="F257" s="37" t="s">
        <v>815</v>
      </c>
      <c r="G257" s="46" t="s">
        <v>756</v>
      </c>
      <c r="H257" s="106" t="s">
        <v>879</v>
      </c>
      <c r="I257" s="41"/>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36" customHeight="1" x14ac:dyDescent="0.2">
      <c r="A258" s="301" t="str">
        <f>IF($C$30="","Vulnerability Scanning",IF($C$30="Yes","Vulnerability Scanning - Optional based on QUALIFIER response.","Vulnerability Scanning"))</f>
        <v>Vulnerability Scanning</v>
      </c>
      <c r="B258" s="301"/>
      <c r="C258" s="36" t="str">
        <f>$C$22</f>
        <v>CIS Critical Security Controls v6.1</v>
      </c>
      <c r="D258" s="36" t="str">
        <f>$D$22</f>
        <v>HIPAA</v>
      </c>
      <c r="E258" s="36" t="str">
        <f>$E$22</f>
        <v>ISO 27002:2013</v>
      </c>
      <c r="F258" s="36" t="str">
        <f>$F$22</f>
        <v>NIST Cybersecurity Framework</v>
      </c>
      <c r="G258" s="25" t="str">
        <f>$G$22</f>
        <v>NIST SP 800-171r1</v>
      </c>
      <c r="H258" s="36" t="str">
        <f>$H$22</f>
        <v>NIST SP 800-53r4</v>
      </c>
      <c r="I258" s="173" t="s">
        <v>2045</v>
      </c>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36" customHeight="1" x14ac:dyDescent="0.2">
      <c r="A259" s="15" t="s">
        <v>374</v>
      </c>
      <c r="B259" s="30" t="str">
        <f>VLOOKUP(A259,'HECVAT - Full'!A$24:B$312,2,FALSE)</f>
        <v>Are your applications scanned externally for vulnerabilities?</v>
      </c>
      <c r="C259" s="37" t="s">
        <v>590</v>
      </c>
      <c r="D259" s="41"/>
      <c r="E259" s="37" t="s">
        <v>647</v>
      </c>
      <c r="F259" s="37" t="s">
        <v>816</v>
      </c>
      <c r="G259" s="46" t="s">
        <v>757</v>
      </c>
      <c r="H259" s="37" t="s">
        <v>880</v>
      </c>
      <c r="I259" s="174">
        <v>11.2</v>
      </c>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36" customHeight="1" x14ac:dyDescent="0.2">
      <c r="A260" s="15" t="s">
        <v>375</v>
      </c>
      <c r="B260" s="30" t="str">
        <f>VLOOKUP(A260,'HECVAT - Full'!A$24:B$312,2,FALSE)</f>
        <v>Have your applications had an external vulnerability assessment in the last year?</v>
      </c>
      <c r="C260" s="37" t="s">
        <v>590</v>
      </c>
      <c r="D260" s="41"/>
      <c r="E260" s="37" t="s">
        <v>647</v>
      </c>
      <c r="F260" s="37" t="s">
        <v>816</v>
      </c>
      <c r="G260" s="46" t="s">
        <v>757</v>
      </c>
      <c r="H260" s="37" t="s">
        <v>880</v>
      </c>
      <c r="I260" s="174">
        <v>11.2</v>
      </c>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099999999999994" customHeight="1" x14ac:dyDescent="0.2">
      <c r="A261" s="15" t="s">
        <v>376</v>
      </c>
      <c r="B261" s="30" t="str">
        <f>VLOOKUP(A261,'HECVAT - Full'!A$24:B$312,2,FALSE)</f>
        <v>Are your applications scanned for vulnerabilities prior to new releases?</v>
      </c>
      <c r="C261" s="37" t="s">
        <v>590</v>
      </c>
      <c r="D261" s="41"/>
      <c r="E261" s="38"/>
      <c r="F261" s="37" t="s">
        <v>816</v>
      </c>
      <c r="G261" s="46" t="s">
        <v>757</v>
      </c>
      <c r="H261" s="37" t="s">
        <v>880</v>
      </c>
      <c r="I261" s="174">
        <v>11.2</v>
      </c>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49.35" customHeight="1" x14ac:dyDescent="0.2">
      <c r="A262" s="15" t="s">
        <v>377</v>
      </c>
      <c r="B262" s="30" t="str">
        <f>VLOOKUP(A262,'HECVAT - Full'!A$24:B$312,2,FALSE)</f>
        <v>Are your systems scanned externally for vulnerabilities?</v>
      </c>
      <c r="C262" s="37" t="s">
        <v>590</v>
      </c>
      <c r="D262" s="41"/>
      <c r="E262" s="38"/>
      <c r="F262" s="37" t="s">
        <v>816</v>
      </c>
      <c r="G262" s="46" t="s">
        <v>757</v>
      </c>
      <c r="H262" s="106" t="s">
        <v>880</v>
      </c>
      <c r="I262" s="174">
        <v>11.2</v>
      </c>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5" t="s">
        <v>378</v>
      </c>
      <c r="B263" s="30" t="str">
        <f>VLOOKUP(A263,'HECVAT - Full'!A$24:B$312,2,FALSE)</f>
        <v>Have your systems had an external vulnerability assessment in the last year?</v>
      </c>
      <c r="C263" s="37" t="s">
        <v>590</v>
      </c>
      <c r="D263" s="41"/>
      <c r="E263" s="38"/>
      <c r="F263" s="37" t="s">
        <v>816</v>
      </c>
      <c r="G263" s="47"/>
      <c r="H263" s="37" t="s">
        <v>880</v>
      </c>
      <c r="I263" s="174">
        <v>11.2</v>
      </c>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65.099999999999994" customHeight="1" x14ac:dyDescent="0.2">
      <c r="A264" s="15" t="s">
        <v>379</v>
      </c>
      <c r="B264" s="30" t="str">
        <f>VLOOKUP(A264,'HECVAT - Full'!A$24:B$312,2,FALSE)</f>
        <v>Describe or provide a reference to the tool(s) used to scan for vulnerabilities in your applications and systems.</v>
      </c>
      <c r="C264" s="37" t="s">
        <v>590</v>
      </c>
      <c r="D264" s="41"/>
      <c r="E264" s="38"/>
      <c r="F264" s="37" t="s">
        <v>816</v>
      </c>
      <c r="G264" s="46" t="s">
        <v>757</v>
      </c>
      <c r="H264" s="37" t="s">
        <v>880</v>
      </c>
      <c r="I264" s="174">
        <v>11.2</v>
      </c>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36" customHeight="1" x14ac:dyDescent="0.2">
      <c r="A265" s="15" t="s">
        <v>380</v>
      </c>
      <c r="B265" s="30" t="str">
        <f>VLOOKUP(A265,'HECVAT - Full'!A$24:B$312,2,FALSE)</f>
        <v>Will you provide results of security scans to the Institution?</v>
      </c>
      <c r="C265" s="37" t="s">
        <v>590</v>
      </c>
      <c r="D265" s="41"/>
      <c r="E265" s="38"/>
      <c r="F265" s="37" t="s">
        <v>816</v>
      </c>
      <c r="G265" s="47"/>
      <c r="H265" s="37" t="s">
        <v>880</v>
      </c>
      <c r="I265" s="174">
        <v>11.2</v>
      </c>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65.099999999999994" customHeight="1" x14ac:dyDescent="0.2">
      <c r="A266" s="15" t="s">
        <v>381</v>
      </c>
      <c r="B266" s="30" t="str">
        <f>VLOOKUP(A266,'HECVAT - Full'!A$24:B$312,2,FALSE)</f>
        <v>Describe or provide a reference to how you monitor for and protect against common web application security vulnerabilities (e.g. SQL injection, XSS, XSRF, etc.).</v>
      </c>
      <c r="C266" s="37" t="s">
        <v>594</v>
      </c>
      <c r="D266" s="41"/>
      <c r="E266" s="37" t="s">
        <v>647</v>
      </c>
      <c r="F266" s="37" t="s">
        <v>817</v>
      </c>
      <c r="G266" s="46" t="s">
        <v>758</v>
      </c>
      <c r="H266" s="37" t="s">
        <v>880</v>
      </c>
      <c r="I266" s="174" t="s">
        <v>2146</v>
      </c>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54" customHeight="1" x14ac:dyDescent="0.2">
      <c r="A267" s="15" t="s">
        <v>382</v>
      </c>
      <c r="B267" s="30" t="str">
        <f>VLOOKUP(A267,'HECVAT - Full'!A$24:B$312,2,FALSE)</f>
        <v>Will you allow the institution to perform its own security testing of your systems and/or application provided that testing is performed at a mutually agreed upon time and date?</v>
      </c>
      <c r="C267" s="37" t="s">
        <v>593</v>
      </c>
      <c r="D267" s="41"/>
      <c r="E267" s="37" t="s">
        <v>685</v>
      </c>
      <c r="F267" s="37" t="s">
        <v>816</v>
      </c>
      <c r="G267" s="46" t="s">
        <v>757</v>
      </c>
      <c r="H267" s="37" t="s">
        <v>880</v>
      </c>
      <c r="I267" s="174" t="s">
        <v>2147</v>
      </c>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301" t="str">
        <f>IF(OR($C$24="No",$C$30="Yes"),"HIPAA - Optional based on QUALIFIER response.","HIPAA")</f>
        <v>HIPAA</v>
      </c>
      <c r="B268" s="301"/>
      <c r="C268" s="36" t="str">
        <f>$C$22</f>
        <v>CIS Critical Security Controls v6.1</v>
      </c>
      <c r="D268" s="36" t="str">
        <f>$D$22</f>
        <v>HIPAA</v>
      </c>
      <c r="E268" s="36" t="str">
        <f>$E$22</f>
        <v>ISO 27002:2013</v>
      </c>
      <c r="F268" s="36" t="str">
        <f>$F$22</f>
        <v>NIST Cybersecurity Framework</v>
      </c>
      <c r="G268" s="25" t="str">
        <f>$G$22</f>
        <v>NIST SP 800-171r1</v>
      </c>
      <c r="H268" s="36" t="str">
        <f>$H$22</f>
        <v>NIST SP 800-53r4</v>
      </c>
      <c r="I268" s="173" t="s">
        <v>2045</v>
      </c>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65.099999999999994" customHeight="1" x14ac:dyDescent="0.2">
      <c r="A269" s="15" t="s">
        <v>383</v>
      </c>
      <c r="B269" s="30" t="str">
        <f>VLOOKUP(A269,'HECVAT - Full'!A$24:B$312,2,FALSE)</f>
        <v>Do your workforce members receive regular training related to the HIPAA Privacy and Security Rules and the HITECH Act?</v>
      </c>
      <c r="C269" s="37" t="s">
        <v>591</v>
      </c>
      <c r="D269" s="37" t="s">
        <v>601</v>
      </c>
      <c r="E269" s="37" t="s">
        <v>688</v>
      </c>
      <c r="F269" s="37" t="s">
        <v>697</v>
      </c>
      <c r="G269" s="46" t="s">
        <v>759</v>
      </c>
      <c r="H269" s="37" t="s">
        <v>881</v>
      </c>
      <c r="I269" s="38"/>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5" t="s">
        <v>384</v>
      </c>
      <c r="B270" s="30" t="str">
        <f>VLOOKUP(A270,'HECVAT - Full'!A$24:B$312,2,FALSE)</f>
        <v>Do you monitor or receive information regarding changes in HIPAA regulations?</v>
      </c>
      <c r="C270" s="37" t="s">
        <v>568</v>
      </c>
      <c r="D270" s="37" t="s">
        <v>602</v>
      </c>
      <c r="E270" s="37" t="s">
        <v>616</v>
      </c>
      <c r="F270" s="37" t="s">
        <v>697</v>
      </c>
      <c r="G270" s="47"/>
      <c r="H270" s="38"/>
      <c r="I270" s="38"/>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5" t="s">
        <v>385</v>
      </c>
      <c r="B271" s="30" t="str">
        <f>VLOOKUP(A271,'HECVAT - Full'!A$24:B$312,2,FALSE)</f>
        <v>Has your organization designated HIPAA Privacy and Security officers as required by the Rules?</v>
      </c>
      <c r="C271" s="37" t="s">
        <v>591</v>
      </c>
      <c r="D271" s="37" t="s">
        <v>603</v>
      </c>
      <c r="E271" s="37" t="s">
        <v>616</v>
      </c>
      <c r="F271" s="37" t="s">
        <v>697</v>
      </c>
      <c r="G271" s="47"/>
      <c r="H271" s="38"/>
      <c r="I271" s="38"/>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5" t="s">
        <v>386</v>
      </c>
      <c r="B272" s="30" t="str">
        <f>VLOOKUP(A272,'HECVAT - Full'!A$24:B$312,2,FALSE)</f>
        <v>Do you comply with the requirements of the Health Information Technology for Economic and Clinical Health Act (HITECH)?</v>
      </c>
      <c r="C272" s="37" t="s">
        <v>568</v>
      </c>
      <c r="D272" s="38"/>
      <c r="E272" s="37" t="s">
        <v>616</v>
      </c>
      <c r="F272" s="37" t="s">
        <v>697</v>
      </c>
      <c r="G272" s="47"/>
      <c r="H272" s="38"/>
      <c r="I272" s="38"/>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48" customHeight="1" x14ac:dyDescent="0.2">
      <c r="A273" s="15" t="s">
        <v>387</v>
      </c>
      <c r="B273" s="30" t="str">
        <f>VLOOKUP(A273,'HECVAT - Full'!A$24:B$312,2,FALSE)</f>
        <v>Do you have an incident response process and reporting in place to investigate any potential incidents and report actual incidents?</v>
      </c>
      <c r="C273" s="37" t="s">
        <v>587</v>
      </c>
      <c r="D273" s="37" t="s">
        <v>604</v>
      </c>
      <c r="E273" s="37" t="s">
        <v>686</v>
      </c>
      <c r="F273" s="37" t="s">
        <v>697</v>
      </c>
      <c r="G273" s="46" t="s">
        <v>760</v>
      </c>
      <c r="H273" s="37" t="s">
        <v>882</v>
      </c>
      <c r="I273" s="37" t="s">
        <v>2148</v>
      </c>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48" customHeight="1" x14ac:dyDescent="0.2">
      <c r="A274" s="15" t="s">
        <v>388</v>
      </c>
      <c r="B274" s="30" t="str">
        <f>VLOOKUP(A274,'HECVAT - Full'!A$24:B$312,2,FALSE)</f>
        <v>Do you have a plan to comply with the Breach Notification requirements if there is a breach of data?</v>
      </c>
      <c r="C274" s="37" t="s">
        <v>587</v>
      </c>
      <c r="D274" s="37" t="s">
        <v>690</v>
      </c>
      <c r="E274" s="37" t="s">
        <v>689</v>
      </c>
      <c r="F274" s="37" t="s">
        <v>697</v>
      </c>
      <c r="G274" s="46" t="s">
        <v>761</v>
      </c>
      <c r="H274" s="37" t="s">
        <v>883</v>
      </c>
      <c r="I274" s="37">
        <v>12.8</v>
      </c>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48" customHeight="1" x14ac:dyDescent="0.2">
      <c r="A275" s="15" t="s">
        <v>389</v>
      </c>
      <c r="B275" s="30" t="str">
        <f>VLOOKUP(A275,'HECVAT - Full'!A$24:B$312,2,FALSE)</f>
        <v>Have you conducted a risk analysis as required under the Security Rule?</v>
      </c>
      <c r="C275" s="37" t="s">
        <v>568</v>
      </c>
      <c r="D275" s="37" t="s">
        <v>599</v>
      </c>
      <c r="E275" s="38"/>
      <c r="F275" s="37" t="s">
        <v>697</v>
      </c>
      <c r="G275" s="47"/>
      <c r="H275" s="38"/>
      <c r="I275" s="37">
        <v>12.2</v>
      </c>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48" customHeight="1" x14ac:dyDescent="0.2">
      <c r="A276" s="15" t="s">
        <v>390</v>
      </c>
      <c r="B276" s="30" t="str">
        <f>VLOOKUP(A276,'HECVAT - Full'!A$24:B$312,2,FALSE)</f>
        <v>Have you identified areas of risks?</v>
      </c>
      <c r="C276" s="37" t="s">
        <v>590</v>
      </c>
      <c r="D276" s="37" t="s">
        <v>611</v>
      </c>
      <c r="E276" s="38"/>
      <c r="F276" s="37" t="s">
        <v>697</v>
      </c>
      <c r="G276" s="47"/>
      <c r="H276" s="38"/>
      <c r="I276" s="37">
        <v>12.2</v>
      </c>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48" customHeight="1" x14ac:dyDescent="0.2">
      <c r="A277" s="15" t="s">
        <v>391</v>
      </c>
      <c r="B277" s="30" t="str">
        <f>VLOOKUP(A277,'HECVAT - Full'!A$24:B$312,2,FALSE)</f>
        <v>Have you taken actions to mitigate the identified risks?</v>
      </c>
      <c r="C277" s="37" t="s">
        <v>590</v>
      </c>
      <c r="D277" s="37" t="s">
        <v>600</v>
      </c>
      <c r="E277" s="38"/>
      <c r="F277" s="37" t="s">
        <v>697</v>
      </c>
      <c r="G277" s="47"/>
      <c r="H277" s="38"/>
      <c r="I277" s="37">
        <v>12.2</v>
      </c>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48" customHeight="1" x14ac:dyDescent="0.2">
      <c r="A278" s="15" t="s">
        <v>392</v>
      </c>
      <c r="B278" s="30" t="str">
        <f>VLOOKUP(A278,'HECVAT - Full'!A$24:B$312,2,FALSE)</f>
        <v>Does your application require user and system administrator password changes at a frequency no greater than 90 days?</v>
      </c>
      <c r="C278" s="37" t="s">
        <v>577</v>
      </c>
      <c r="D278" s="37" t="s">
        <v>605</v>
      </c>
      <c r="E278" s="37" t="s">
        <v>633</v>
      </c>
      <c r="F278" s="37" t="s">
        <v>697</v>
      </c>
      <c r="G278" s="46" t="s">
        <v>709</v>
      </c>
      <c r="H278" s="37" t="s">
        <v>837</v>
      </c>
      <c r="I278" s="3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48" customHeight="1" x14ac:dyDescent="0.2">
      <c r="A279" s="15" t="s">
        <v>393</v>
      </c>
      <c r="B279" s="30" t="str">
        <f>VLOOKUP(A279,'HECVAT - Full'!A$24:B$312,2,FALSE)</f>
        <v>Does your application require a user to set their own password after an administrator reset or on first use of the account?</v>
      </c>
      <c r="C279" s="37" t="s">
        <v>577</v>
      </c>
      <c r="D279" s="37" t="s">
        <v>605</v>
      </c>
      <c r="E279" s="37" t="s">
        <v>633</v>
      </c>
      <c r="F279" s="37" t="s">
        <v>697</v>
      </c>
      <c r="G279" s="46" t="s">
        <v>762</v>
      </c>
      <c r="H279" s="37" t="s">
        <v>838</v>
      </c>
      <c r="I279" s="38"/>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48" customHeight="1" x14ac:dyDescent="0.2">
      <c r="A280" s="15" t="s">
        <v>394</v>
      </c>
      <c r="B280" s="30" t="str">
        <f>VLOOKUP(A280,'HECVAT - Full'!A$24:B$312,2,FALSE)</f>
        <v xml:space="preserve">Does your application lock-out an account after a number of failed login attempts? </v>
      </c>
      <c r="C280" s="37" t="s">
        <v>577</v>
      </c>
      <c r="D280" s="37" t="s">
        <v>612</v>
      </c>
      <c r="E280" s="37" t="s">
        <v>633</v>
      </c>
      <c r="F280" s="37" t="s">
        <v>697</v>
      </c>
      <c r="G280" s="46" t="s">
        <v>763</v>
      </c>
      <c r="H280" s="37" t="s">
        <v>884</v>
      </c>
      <c r="I280" s="38"/>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48" customHeight="1" x14ac:dyDescent="0.2">
      <c r="A281" s="15" t="s">
        <v>395</v>
      </c>
      <c r="B281" s="30" t="str">
        <f>VLOOKUP(A281,'HECVAT - Full'!A$24:B$312,2,FALSE)</f>
        <v>Does your application automatically lock or log-out an account after a period of inactivity?</v>
      </c>
      <c r="C281" s="37" t="s">
        <v>577</v>
      </c>
      <c r="D281" s="37" t="s">
        <v>613</v>
      </c>
      <c r="E281" s="37" t="s">
        <v>633</v>
      </c>
      <c r="F281" s="37" t="s">
        <v>697</v>
      </c>
      <c r="G281" s="46" t="s">
        <v>764</v>
      </c>
      <c r="H281" s="37" t="s">
        <v>885</v>
      </c>
      <c r="I281" s="37" t="s">
        <v>2117</v>
      </c>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48" customHeight="1" x14ac:dyDescent="0.2">
      <c r="A282" s="15" t="s">
        <v>396</v>
      </c>
      <c r="B282" s="30" t="str">
        <f>VLOOKUP(A282,'HECVAT - Full'!A$24:B$312,2,FALSE)</f>
        <v>Are passwords visible in plain text, whether when stored or entered, including service level accounts (i.e. database accounts, etc.)?</v>
      </c>
      <c r="C282" s="37" t="s">
        <v>577</v>
      </c>
      <c r="D282" s="37" t="s">
        <v>696</v>
      </c>
      <c r="E282" s="37" t="s">
        <v>633</v>
      </c>
      <c r="F282" s="37" t="s">
        <v>697</v>
      </c>
      <c r="G282" s="46" t="s">
        <v>713</v>
      </c>
      <c r="H282" s="37" t="s">
        <v>838</v>
      </c>
      <c r="I282" s="37" t="s">
        <v>2117</v>
      </c>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row>
    <row r="283" spans="1:259" ht="48" customHeight="1" x14ac:dyDescent="0.2">
      <c r="A283" s="15" t="s">
        <v>397</v>
      </c>
      <c r="B283" s="30" t="str">
        <f>VLOOKUP(A283,'HECVAT - Full'!A$24:B$312,2,FALSE)</f>
        <v>If the application is institution-hosted, can all service level and administrative account passwords be changed by the institution?</v>
      </c>
      <c r="C283" s="37" t="s">
        <v>577</v>
      </c>
      <c r="D283" s="37" t="s">
        <v>696</v>
      </c>
      <c r="E283" s="38"/>
      <c r="F283" s="37" t="s">
        <v>697</v>
      </c>
      <c r="G283" s="47"/>
      <c r="H283" s="38"/>
      <c r="I283" s="37" t="s">
        <v>2117</v>
      </c>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row>
    <row r="284" spans="1:259" ht="64.349999999999994" customHeight="1" x14ac:dyDescent="0.2">
      <c r="A284" s="15" t="s">
        <v>398</v>
      </c>
      <c r="B284" s="30" t="str">
        <f>VLOOKUP(A284,'HECVAT - Full'!A$24:B$312,2,FALSE)</f>
        <v>Does your application provide the ability to define user access levels?</v>
      </c>
      <c r="C284" s="37" t="s">
        <v>577</v>
      </c>
      <c r="D284" s="37" t="s">
        <v>693</v>
      </c>
      <c r="E284" s="38"/>
      <c r="F284" s="37" t="s">
        <v>697</v>
      </c>
      <c r="G284" s="46" t="s">
        <v>702</v>
      </c>
      <c r="H284" s="38"/>
      <c r="I284" s="37" t="s">
        <v>2117</v>
      </c>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c r="IW284"/>
      <c r="IX284"/>
      <c r="IY284"/>
    </row>
    <row r="285" spans="1:259" ht="64.349999999999994" customHeight="1" x14ac:dyDescent="0.2">
      <c r="A285" s="15" t="s">
        <v>399</v>
      </c>
      <c r="B285" s="30" t="str">
        <f>VLOOKUP(A285,'HECVAT - Full'!A$24:B$312,2,FALSE)</f>
        <v>Does your application support varying levels of access to administrative tasks defined individually per user?</v>
      </c>
      <c r="C285" s="37" t="s">
        <v>595</v>
      </c>
      <c r="D285" s="37" t="s">
        <v>691</v>
      </c>
      <c r="E285" s="37" t="s">
        <v>627</v>
      </c>
      <c r="F285" s="37" t="s">
        <v>697</v>
      </c>
      <c r="G285" s="46" t="s">
        <v>765</v>
      </c>
      <c r="H285" s="38"/>
      <c r="I285" s="37" t="s">
        <v>2117</v>
      </c>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c r="IW285"/>
      <c r="IX285"/>
      <c r="IY285"/>
    </row>
    <row r="286" spans="1:259" ht="64.349999999999994" customHeight="1" x14ac:dyDescent="0.2">
      <c r="A286" s="15" t="s">
        <v>400</v>
      </c>
      <c r="B286" s="30" t="str">
        <f>VLOOKUP(A286,'HECVAT - Full'!A$24:B$312,2,FALSE)</f>
        <v>Does your application support varying levels of access to records based on user ID?</v>
      </c>
      <c r="C286" s="37" t="s">
        <v>577</v>
      </c>
      <c r="D286" s="37" t="s">
        <v>692</v>
      </c>
      <c r="E286" s="37" t="s">
        <v>687</v>
      </c>
      <c r="F286" s="37" t="s">
        <v>697</v>
      </c>
      <c r="G286" s="46" t="s">
        <v>702</v>
      </c>
      <c r="H286" s="38"/>
      <c r="I286" s="37" t="s">
        <v>2117</v>
      </c>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c r="IX286"/>
      <c r="IY286"/>
    </row>
    <row r="287" spans="1:259" ht="47.1" customHeight="1" x14ac:dyDescent="0.2">
      <c r="A287" s="15" t="s">
        <v>401</v>
      </c>
      <c r="B287" s="30" t="str">
        <f>VLOOKUP(A287,'HECVAT - Full'!A$24:B$312,2,FALSE)</f>
        <v>Is there a limit to the number of groups a user can be assigned?</v>
      </c>
      <c r="C287" s="37" t="s">
        <v>577</v>
      </c>
      <c r="D287" s="37" t="s">
        <v>695</v>
      </c>
      <c r="E287" s="37" t="s">
        <v>687</v>
      </c>
      <c r="F287" s="37" t="s">
        <v>697</v>
      </c>
      <c r="G287" s="47"/>
      <c r="H287" s="38"/>
      <c r="I287" s="38"/>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c r="IW287"/>
      <c r="IX287"/>
      <c r="IY287"/>
    </row>
    <row r="288" spans="1:259" ht="47.1" customHeight="1" x14ac:dyDescent="0.2">
      <c r="A288" s="15" t="s">
        <v>402</v>
      </c>
      <c r="B288" s="30" t="str">
        <f>VLOOKUP(A288,'HECVAT - Full'!A$24:B$312,2,FALSE)</f>
        <v>Do accounts used for vendor supplied remote support abide by the same authentication policies and access logging as the rest of the system?</v>
      </c>
      <c r="C288" s="37" t="s">
        <v>596</v>
      </c>
      <c r="D288" s="37" t="s">
        <v>695</v>
      </c>
      <c r="E288" s="38"/>
      <c r="F288" s="37" t="s">
        <v>697</v>
      </c>
      <c r="G288" s="46" t="s">
        <v>740</v>
      </c>
      <c r="H288" s="37" t="s">
        <v>886</v>
      </c>
      <c r="I288" s="37" t="s">
        <v>2117</v>
      </c>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c r="IW288"/>
      <c r="IX288"/>
      <c r="IY288"/>
    </row>
    <row r="289" spans="1:259" ht="48" customHeight="1" x14ac:dyDescent="0.2">
      <c r="A289" s="15" t="s">
        <v>403</v>
      </c>
      <c r="B289" s="30" t="str">
        <f>VLOOKUP(A289,'HECVAT - Full'!A$24:B$312,2,FALSE)</f>
        <v xml:space="preserve">Does the application log record access including specific user, date/time of access, and originating IP or device? </v>
      </c>
      <c r="C289" s="37" t="s">
        <v>579</v>
      </c>
      <c r="D289" s="37" t="s">
        <v>606</v>
      </c>
      <c r="E289" s="37" t="s">
        <v>666</v>
      </c>
      <c r="F289" s="37" t="s">
        <v>697</v>
      </c>
      <c r="G289" s="46" t="s">
        <v>766</v>
      </c>
      <c r="H289" s="37" t="s">
        <v>887</v>
      </c>
      <c r="I289" s="37">
        <v>10.7</v>
      </c>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row>
    <row r="290" spans="1:259" ht="65.099999999999994" customHeight="1" x14ac:dyDescent="0.2">
      <c r="A290" s="15" t="s">
        <v>404</v>
      </c>
      <c r="B290" s="30" t="str">
        <f>VLOOKUP(A290,'HECVAT - Full'!A$24:B$312,2,FALSE)</f>
        <v>Does the application log administrative activity, such user account access changes and password changes, including specific user, date/time of changes, and originating IP or device?</v>
      </c>
      <c r="C290" s="37" t="s">
        <v>579</v>
      </c>
      <c r="D290" s="37" t="s">
        <v>607</v>
      </c>
      <c r="E290" s="37" t="s">
        <v>666</v>
      </c>
      <c r="F290" s="37" t="s">
        <v>697</v>
      </c>
      <c r="G290" s="47"/>
      <c r="H290" s="38"/>
      <c r="I290" s="37">
        <v>10.7</v>
      </c>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row>
    <row r="291" spans="1:259" ht="36" customHeight="1" x14ac:dyDescent="0.2">
      <c r="A291" s="15" t="s">
        <v>405</v>
      </c>
      <c r="B291" s="30" t="str">
        <f>VLOOKUP(A291,'HECVAT - Full'!A$24:B$312,2,FALSE)</f>
        <v>How long does the application keep access/change logs?</v>
      </c>
      <c r="C291" s="37" t="s">
        <v>579</v>
      </c>
      <c r="D291" s="37" t="s">
        <v>607</v>
      </c>
      <c r="E291" s="37" t="s">
        <v>666</v>
      </c>
      <c r="F291" s="37" t="s">
        <v>697</v>
      </c>
      <c r="G291" s="47"/>
      <c r="H291" s="38"/>
      <c r="I291" s="37">
        <v>10.7</v>
      </c>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c r="IW291"/>
      <c r="IX291"/>
      <c r="IY291"/>
    </row>
    <row r="292" spans="1:259" ht="36" customHeight="1" x14ac:dyDescent="0.2">
      <c r="A292" s="15" t="s">
        <v>406</v>
      </c>
      <c r="B292" s="30" t="str">
        <f>VLOOKUP(A292,'HECVAT - Full'!A$24:B$312,2,FALSE)</f>
        <v xml:space="preserve">Can the application logs be archived? </v>
      </c>
      <c r="C292" s="37" t="s">
        <v>579</v>
      </c>
      <c r="D292" s="37" t="s">
        <v>607</v>
      </c>
      <c r="E292" s="37" t="s">
        <v>666</v>
      </c>
      <c r="F292" s="37" t="s">
        <v>697</v>
      </c>
      <c r="G292" s="47"/>
      <c r="H292" s="38"/>
      <c r="I292" s="37">
        <v>10.7</v>
      </c>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row>
    <row r="293" spans="1:259" ht="36" customHeight="1" x14ac:dyDescent="0.2">
      <c r="A293" s="15" t="s">
        <v>407</v>
      </c>
      <c r="B293" s="30" t="str">
        <f>VLOOKUP(A293,'HECVAT - Full'!A$24:B$312,2,FALSE)</f>
        <v xml:space="preserve">Can the application logs be saved externally? </v>
      </c>
      <c r="C293" s="37" t="s">
        <v>579</v>
      </c>
      <c r="D293" s="37" t="s">
        <v>607</v>
      </c>
      <c r="E293" s="37" t="s">
        <v>666</v>
      </c>
      <c r="F293" s="37" t="s">
        <v>697</v>
      </c>
      <c r="G293" s="47"/>
      <c r="H293" s="38"/>
      <c r="I293" s="37">
        <v>10.7</v>
      </c>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c r="IW293"/>
      <c r="IX293"/>
      <c r="IY293"/>
    </row>
    <row r="294" spans="1:259" ht="48" customHeight="1" x14ac:dyDescent="0.2">
      <c r="A294" s="15" t="s">
        <v>408</v>
      </c>
      <c r="B294" s="30" t="str">
        <f>VLOOKUP(A294,'HECVAT - Full'!A$24:B$312,2,FALSE)</f>
        <v>Does your data backup and retention policies and practices meet HIPAA requirements?</v>
      </c>
      <c r="C294" s="37" t="s">
        <v>570</v>
      </c>
      <c r="D294" s="37" t="s">
        <v>608</v>
      </c>
      <c r="E294" s="37" t="s">
        <v>616</v>
      </c>
      <c r="F294" s="37" t="s">
        <v>697</v>
      </c>
      <c r="G294" s="47"/>
      <c r="H294" s="38"/>
      <c r="I294" s="37">
        <v>10.7</v>
      </c>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row>
    <row r="295" spans="1:259" ht="47.1" customHeight="1" x14ac:dyDescent="0.2">
      <c r="A295" s="15" t="s">
        <v>409</v>
      </c>
      <c r="B295" s="30" t="str">
        <f>VLOOKUP(A295,'HECVAT - Full'!A$24:B$312,2,FALSE)</f>
        <v>Do you have a disaster recovery plan and emergency mode operation plan?</v>
      </c>
      <c r="C295" s="37" t="s">
        <v>570</v>
      </c>
      <c r="D295" s="37" t="s">
        <v>609</v>
      </c>
      <c r="E295" s="37" t="s">
        <v>640</v>
      </c>
      <c r="F295" s="37" t="s">
        <v>697</v>
      </c>
      <c r="G295" s="46" t="s">
        <v>719</v>
      </c>
      <c r="H295" s="38"/>
      <c r="I295" s="37">
        <v>12.1</v>
      </c>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row>
    <row r="296" spans="1:259" ht="36" customHeight="1" x14ac:dyDescent="0.2">
      <c r="A296" s="15" t="s">
        <v>410</v>
      </c>
      <c r="B296" s="30" t="str">
        <f>VLOOKUP(A296,'HECVAT - Full'!A$24:B$312,2,FALSE)</f>
        <v>Have the policies/plans mentioned above been tested?</v>
      </c>
      <c r="C296" s="37" t="s">
        <v>570</v>
      </c>
      <c r="D296" s="37" t="s">
        <v>609</v>
      </c>
      <c r="E296" s="37" t="s">
        <v>641</v>
      </c>
      <c r="F296" s="37" t="s">
        <v>697</v>
      </c>
      <c r="G296" s="46" t="s">
        <v>767</v>
      </c>
      <c r="H296" s="38"/>
      <c r="I296" s="37">
        <v>12.1</v>
      </c>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row>
    <row r="297" spans="1:259" ht="36" customHeight="1" x14ac:dyDescent="0.2">
      <c r="A297" s="15" t="s">
        <v>411</v>
      </c>
      <c r="B297" s="30" t="str">
        <f>VLOOKUP(A297,'HECVAT - Full'!A$24:B$312,2,FALSE)</f>
        <v>Can you provide a HIPAA compliance attestation document?</v>
      </c>
      <c r="C297" s="37" t="s">
        <v>570</v>
      </c>
      <c r="D297" s="37" t="s">
        <v>610</v>
      </c>
      <c r="E297" s="37" t="s">
        <v>616</v>
      </c>
      <c r="F297" s="37" t="s">
        <v>697</v>
      </c>
      <c r="G297" s="47"/>
      <c r="H297" s="38"/>
      <c r="I297" s="37">
        <v>10.7</v>
      </c>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row>
    <row r="298" spans="1:259" ht="53.1" customHeight="1" x14ac:dyDescent="0.2">
      <c r="A298" s="15" t="s">
        <v>412</v>
      </c>
      <c r="B298" s="30" t="str">
        <f>VLOOKUP(A298,'HECVAT - Full'!A$24:B$312,2,FALSE)</f>
        <v>Are you willing to enter into a Business Associate Agreement (BAA)?</v>
      </c>
      <c r="C298" s="37" t="s">
        <v>570</v>
      </c>
      <c r="D298" s="37" t="s">
        <v>614</v>
      </c>
      <c r="E298" s="37" t="s">
        <v>616</v>
      </c>
      <c r="F298" s="37" t="s">
        <v>697</v>
      </c>
      <c r="G298" s="47"/>
      <c r="H298" s="38"/>
      <c r="I298" s="3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row>
    <row r="299" spans="1:259" ht="63" customHeight="1" x14ac:dyDescent="0.2">
      <c r="A299" s="15" t="s">
        <v>413</v>
      </c>
      <c r="B299" s="30" t="str">
        <f>VLOOKUP(A299,'HECVAT - Full'!A$24:B$312,2,FALSE)</f>
        <v>Have you entered into a BAA with all subcontractors who may have access to protected health information (PHI)?</v>
      </c>
      <c r="C299" s="37" t="s">
        <v>570</v>
      </c>
      <c r="D299" s="37" t="s">
        <v>694</v>
      </c>
      <c r="E299" s="37" t="s">
        <v>616</v>
      </c>
      <c r="F299" s="37" t="s">
        <v>697</v>
      </c>
      <c r="G299" s="47"/>
      <c r="H299" s="38"/>
      <c r="I299" s="37">
        <v>12.8</v>
      </c>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c r="IW299"/>
      <c r="IX299"/>
      <c r="IY299"/>
    </row>
    <row r="300" spans="1:259" ht="36" customHeight="1" x14ac:dyDescent="0.2">
      <c r="A300" s="301" t="str">
        <f>IF(OR($C$29="No",$C$30="Yes"),"PCI DSS - Optional based on QUALIFIER response.","PCI DSS")</f>
        <v>PCI DSS</v>
      </c>
      <c r="B300" s="301"/>
      <c r="C300" s="36" t="str">
        <f>$C$22</f>
        <v>CIS Critical Security Controls v6.1</v>
      </c>
      <c r="D300" s="36" t="str">
        <f>$D$22</f>
        <v>HIPAA</v>
      </c>
      <c r="E300" s="36" t="str">
        <f>$E$22</f>
        <v>ISO 27002:2013</v>
      </c>
      <c r="F300" s="36" t="str">
        <f>$F$22</f>
        <v>NIST Cybersecurity Framework</v>
      </c>
      <c r="G300" s="25" t="str">
        <f>$G$22</f>
        <v>NIST SP 800-171r1</v>
      </c>
      <c r="H300" s="36" t="str">
        <f>$H$22</f>
        <v>NIST SP 800-53r4</v>
      </c>
      <c r="I300" s="173" t="s">
        <v>2045</v>
      </c>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c r="IY300"/>
    </row>
    <row r="301" spans="1:259" ht="48" customHeight="1" x14ac:dyDescent="0.2">
      <c r="A301" s="15" t="s">
        <v>414</v>
      </c>
      <c r="B301" s="30" t="str">
        <f>VLOOKUP(A301,'HECVAT - Full'!A$24:B$312,2,FALSE)</f>
        <v>Do your systems or products store, process, or transmit cardholder (payment/credit/debt card) data?</v>
      </c>
      <c r="C301" s="37" t="s">
        <v>570</v>
      </c>
      <c r="D301" s="41"/>
      <c r="E301" s="37" t="s">
        <v>616</v>
      </c>
      <c r="F301" s="37" t="s">
        <v>697</v>
      </c>
      <c r="G301" s="47"/>
      <c r="H301" s="41"/>
      <c r="I301" s="37">
        <v>12.8</v>
      </c>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c r="IY301"/>
    </row>
    <row r="302" spans="1:259" ht="48" customHeight="1" x14ac:dyDescent="0.2">
      <c r="A302" s="15" t="s">
        <v>415</v>
      </c>
      <c r="B302" s="30" t="str">
        <f>VLOOKUP(A302,'HECVAT - Full'!A$24:B$312,2,FALSE)</f>
        <v>Are you compliant with the Payment Card Industry Data Security Standard (PCI DSS)?</v>
      </c>
      <c r="C302" s="37" t="s">
        <v>570</v>
      </c>
      <c r="D302" s="41"/>
      <c r="E302" s="37" t="s">
        <v>616</v>
      </c>
      <c r="F302" s="37" t="s">
        <v>697</v>
      </c>
      <c r="G302" s="47"/>
      <c r="H302" s="41"/>
      <c r="I302" s="37">
        <v>12.8</v>
      </c>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c r="IY302"/>
    </row>
    <row r="303" spans="1:259" ht="48" customHeight="1" x14ac:dyDescent="0.2">
      <c r="A303" s="15" t="s">
        <v>416</v>
      </c>
      <c r="B303" s="30" t="str">
        <f>VLOOKUP(A303,'HECVAT - Full'!A$24:B$312,2,FALSE)</f>
        <v>Do you have a current, executed within the past year, Attestation of Compliance (AoC) or Report on Compliance (RoC)?</v>
      </c>
      <c r="C303" s="37" t="s">
        <v>570</v>
      </c>
      <c r="D303" s="41"/>
      <c r="E303" s="37" t="s">
        <v>616</v>
      </c>
      <c r="F303" s="37" t="s">
        <v>697</v>
      </c>
      <c r="G303" s="47"/>
      <c r="H303" s="41"/>
      <c r="I303" s="37">
        <v>12.8</v>
      </c>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c r="IW303"/>
      <c r="IX303"/>
      <c r="IY303"/>
    </row>
    <row r="304" spans="1:259" ht="36" customHeight="1" x14ac:dyDescent="0.2">
      <c r="A304" s="15" t="s">
        <v>417</v>
      </c>
      <c r="B304" s="30" t="str">
        <f>VLOOKUP(A304,'HECVAT - Full'!A$24:B$312,2,FALSE)</f>
        <v>Are you classified as a service provider?</v>
      </c>
      <c r="C304" s="38"/>
      <c r="D304" s="41"/>
      <c r="E304" s="41"/>
      <c r="F304" s="37" t="s">
        <v>697</v>
      </c>
      <c r="G304" s="47"/>
      <c r="H304" s="41"/>
      <c r="I304" s="37">
        <v>12.8</v>
      </c>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row>
    <row r="305" spans="1:259" ht="36" customHeight="1" x14ac:dyDescent="0.2">
      <c r="A305" s="15" t="s">
        <v>418</v>
      </c>
      <c r="B305" s="30" t="str">
        <f>VLOOKUP(A305,'HECVAT - Full'!A$24:B$312,2,FALSE)</f>
        <v xml:space="preserve">Are you on the list of VISA approved service providers? </v>
      </c>
      <c r="C305" s="38"/>
      <c r="D305" s="41"/>
      <c r="E305" s="41"/>
      <c r="F305" s="37" t="s">
        <v>697</v>
      </c>
      <c r="G305" s="47"/>
      <c r="H305" s="41"/>
      <c r="I305" s="37">
        <v>12.8</v>
      </c>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row>
    <row r="306" spans="1:259" ht="36" customHeight="1" x14ac:dyDescent="0.2">
      <c r="A306" s="15" t="s">
        <v>419</v>
      </c>
      <c r="B306" s="30" t="str">
        <f>VLOOKUP(A306,'HECVAT - Full'!A$24:B$312,2,FALSE)</f>
        <v>Are you classified as a merchant?  If so, what level (1, 2, 3, 4)?</v>
      </c>
      <c r="C306" s="38"/>
      <c r="D306" s="41"/>
      <c r="E306" s="41"/>
      <c r="F306" s="37" t="s">
        <v>697</v>
      </c>
      <c r="G306" s="47"/>
      <c r="H306" s="41"/>
      <c r="I306" s="37">
        <v>12.8</v>
      </c>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row>
    <row r="307" spans="1:259" ht="64.349999999999994" customHeight="1" x14ac:dyDescent="0.2">
      <c r="A307" s="15" t="s">
        <v>420</v>
      </c>
      <c r="B307" s="30" t="str">
        <f>VLOOKUP(A307,'HECVAT - Full'!A$24:B$312,2,FALSE)</f>
        <v>Describe the architecture employed by the system to verify and authorize credit card transactions.</v>
      </c>
      <c r="C307" s="37" t="s">
        <v>597</v>
      </c>
      <c r="D307" s="41"/>
      <c r="E307" s="41"/>
      <c r="F307" s="37" t="s">
        <v>697</v>
      </c>
      <c r="G307" s="48"/>
      <c r="H307" s="41"/>
      <c r="I307" s="37" t="s">
        <v>2109</v>
      </c>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c r="IY307"/>
    </row>
    <row r="308" spans="1:259" ht="64.349999999999994" customHeight="1" x14ac:dyDescent="0.2">
      <c r="A308" s="15" t="s">
        <v>421</v>
      </c>
      <c r="B308" s="30" t="str">
        <f>VLOOKUP(A308,'HECVAT - Full'!A$24:B$312,2,FALSE)</f>
        <v xml:space="preserve">What payment processors/gateways does the system support? </v>
      </c>
      <c r="C308" s="37" t="s">
        <v>569</v>
      </c>
      <c r="D308" s="41"/>
      <c r="E308" s="41"/>
      <c r="F308" s="37" t="s">
        <v>697</v>
      </c>
      <c r="G308" s="48"/>
      <c r="H308" s="41"/>
      <c r="I308" s="37">
        <v>12.8</v>
      </c>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c r="IY308"/>
    </row>
    <row r="309" spans="1:259" ht="36" customHeight="1" x14ac:dyDescent="0.2">
      <c r="A309" s="15" t="s">
        <v>422</v>
      </c>
      <c r="B309" s="30" t="str">
        <f>VLOOKUP(A309,'HECVAT - Full'!A$24:B$312,2,FALSE)</f>
        <v>Can the application be installed in a PCI DSS compliant manner ?</v>
      </c>
      <c r="C309" s="37" t="s">
        <v>570</v>
      </c>
      <c r="D309" s="41"/>
      <c r="E309" s="41"/>
      <c r="F309" s="37" t="s">
        <v>697</v>
      </c>
      <c r="G309" s="47"/>
      <c r="H309" s="41"/>
      <c r="I309" s="37">
        <v>12.8</v>
      </c>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c r="IY309"/>
    </row>
    <row r="310" spans="1:259" ht="36" customHeight="1" x14ac:dyDescent="0.2">
      <c r="A310" s="15" t="s">
        <v>423</v>
      </c>
      <c r="B310" s="30" t="str">
        <f>VLOOKUP(A310,'HECVAT - Full'!A$24:B$312,2,FALSE)</f>
        <v xml:space="preserve">Is the application listed as an approved PA-DSS application? </v>
      </c>
      <c r="C310" s="38"/>
      <c r="D310" s="41"/>
      <c r="E310" s="41"/>
      <c r="F310" s="37" t="s">
        <v>697</v>
      </c>
      <c r="G310" s="47"/>
      <c r="H310" s="41"/>
      <c r="I310" s="37">
        <v>12.8</v>
      </c>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row>
    <row r="311" spans="1:259" ht="54" customHeight="1" x14ac:dyDescent="0.2">
      <c r="A311" s="15" t="s">
        <v>424</v>
      </c>
      <c r="B311" s="30" t="str">
        <f>VLOOKUP(A311,'HECVAT - Full'!A$24:B$312,2,FALSE)</f>
        <v>Does the system or products use a third party to collect, store, process, or transmit cardholder (payment/credit/debt card) data?</v>
      </c>
      <c r="C311" s="37" t="s">
        <v>598</v>
      </c>
      <c r="D311" s="41"/>
      <c r="E311" s="41"/>
      <c r="F311" s="37" t="s">
        <v>697</v>
      </c>
      <c r="G311" s="47"/>
      <c r="H311" s="41"/>
      <c r="I311" s="37">
        <v>12.8</v>
      </c>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row>
    <row r="312" spans="1:259" ht="64.349999999999994" customHeight="1" x14ac:dyDescent="0.2">
      <c r="A312" s="15" t="s">
        <v>425</v>
      </c>
      <c r="B312" s="30" t="str">
        <f>VLOOKUP(A312,'HECVAT - Full'!A$24:B$312,2,FALSE)</f>
        <v xml:space="preserve">Include documentation describing the systems' abilities to comply with the PCI DSS and any features or capabilities of the system that must be added or changed in order to operate in compliance with the standards. </v>
      </c>
      <c r="C312" s="37" t="s">
        <v>570</v>
      </c>
      <c r="D312" s="41"/>
      <c r="E312" s="41"/>
      <c r="F312" s="37" t="s">
        <v>697</v>
      </c>
      <c r="G312" s="48"/>
      <c r="H312" s="41"/>
      <c r="I312" s="37">
        <v>12.8</v>
      </c>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c r="IW312"/>
      <c r="IX312"/>
      <c r="IY312"/>
    </row>
    <row r="315" spans="1:259" ht="15" customHeight="1" x14ac:dyDescent="0.2">
      <c r="A315" s="189" t="s">
        <v>561</v>
      </c>
      <c r="B315" s="190">
        <v>4</v>
      </c>
    </row>
    <row r="316" spans="1:259" ht="15" customHeight="1" x14ac:dyDescent="0.2">
      <c r="A316" s="189" t="s">
        <v>562</v>
      </c>
      <c r="B316" s="190">
        <v>5</v>
      </c>
    </row>
    <row r="317" spans="1:259" ht="15" customHeight="1" x14ac:dyDescent="0.2">
      <c r="A317" s="189" t="s">
        <v>888</v>
      </c>
      <c r="B317" s="190">
        <v>6</v>
      </c>
    </row>
    <row r="318" spans="1:259" ht="15" customHeight="1" x14ac:dyDescent="0.2">
      <c r="A318" s="189" t="s">
        <v>565</v>
      </c>
      <c r="B318" s="190">
        <v>7</v>
      </c>
    </row>
    <row r="319" spans="1:259" ht="15" customHeight="1" x14ac:dyDescent="0.2">
      <c r="A319" s="189" t="s">
        <v>564</v>
      </c>
      <c r="B319" s="190">
        <v>8</v>
      </c>
    </row>
    <row r="320" spans="1:259" ht="15" customHeight="1" x14ac:dyDescent="0.2">
      <c r="A320" s="189" t="s">
        <v>563</v>
      </c>
      <c r="B320" s="190">
        <v>9</v>
      </c>
    </row>
    <row r="321" spans="1:2" ht="15" customHeight="1" x14ac:dyDescent="0.2">
      <c r="A321" s="191" t="s">
        <v>2045</v>
      </c>
      <c r="B321" s="190">
        <v>10</v>
      </c>
    </row>
  </sheetData>
  <mergeCells count="25">
    <mergeCell ref="A155:B155"/>
    <mergeCell ref="A158:B158"/>
    <mergeCell ref="A126:B126"/>
    <mergeCell ref="A110:B110"/>
    <mergeCell ref="A244:B244"/>
    <mergeCell ref="A217:B217"/>
    <mergeCell ref="A223:B223"/>
    <mergeCell ref="A205:B205"/>
    <mergeCell ref="A178:B178"/>
    <mergeCell ref="A192:B192"/>
    <mergeCell ref="A268:B268"/>
    <mergeCell ref="A300:B300"/>
    <mergeCell ref="A247:B247"/>
    <mergeCell ref="A253:B253"/>
    <mergeCell ref="A258:B258"/>
    <mergeCell ref="A97:B97"/>
    <mergeCell ref="A79:B79"/>
    <mergeCell ref="A61:B61"/>
    <mergeCell ref="A51:B51"/>
    <mergeCell ref="A46:B46"/>
    <mergeCell ref="A2:H2"/>
    <mergeCell ref="A1:I1"/>
    <mergeCell ref="A31:B31"/>
    <mergeCell ref="A38:B38"/>
    <mergeCell ref="A22:B22"/>
  </mergeCells>
  <conditionalFormatting sqref="A205">
    <cfRule type="expression" dxfId="2607" priority="290">
      <formula>$C$25="No"</formula>
    </cfRule>
  </conditionalFormatting>
  <conditionalFormatting sqref="A268">
    <cfRule type="expression" dxfId="2606" priority="289">
      <formula>$C$24="No"</formula>
    </cfRule>
  </conditionalFormatting>
  <conditionalFormatting sqref="A46">
    <cfRule type="expression" dxfId="2605" priority="288">
      <formula>$C$26="No"</formula>
    </cfRule>
  </conditionalFormatting>
  <conditionalFormatting sqref="A178">
    <cfRule type="expression" dxfId="2604" priority="287">
      <formula>$C$28="No"</formula>
    </cfRule>
  </conditionalFormatting>
  <conditionalFormatting sqref="A163:A164 H163:H164 C163:E164">
    <cfRule type="expression" dxfId="2603" priority="237">
      <formula>$C$162="No"</formula>
    </cfRule>
  </conditionalFormatting>
  <conditionalFormatting sqref="A168 H168 C168:E168">
    <cfRule type="expression" dxfId="2602" priority="284">
      <formula>$C$167="No"</formula>
    </cfRule>
  </conditionalFormatting>
  <conditionalFormatting sqref="A164 H164 C164:E164">
    <cfRule type="expression" dxfId="2601" priority="236">
      <formula>$C$163="No"</formula>
    </cfRule>
  </conditionalFormatting>
  <conditionalFormatting sqref="D63:E63 H63">
    <cfRule type="expression" dxfId="2600" priority="283">
      <formula>$C$62="No"</formula>
    </cfRule>
  </conditionalFormatting>
  <conditionalFormatting sqref="C90:E90 H90">
    <cfRule type="expression" dxfId="2599" priority="247">
      <formula>$C$89="No"</formula>
    </cfRule>
  </conditionalFormatting>
  <conditionalFormatting sqref="C92:E93 H92:H93">
    <cfRule type="expression" dxfId="2598" priority="279">
      <formula>$C$91="No"</formula>
    </cfRule>
  </conditionalFormatting>
  <conditionalFormatting sqref="A260 H260 C260:E260">
    <cfRule type="expression" dxfId="2597" priority="218">
      <formula>$C$259="No"</formula>
    </cfRule>
  </conditionalFormatting>
  <conditionalFormatting sqref="A263 H263 C263:E263">
    <cfRule type="expression" dxfId="2596" priority="219">
      <formula>$C$262="No"</formula>
    </cfRule>
  </conditionalFormatting>
  <conditionalFormatting sqref="C213:E213 H213">
    <cfRule type="expression" dxfId="2595" priority="230">
      <formula>$C$212="No"</formula>
    </cfRule>
  </conditionalFormatting>
  <conditionalFormatting sqref="C216:E216 H216">
    <cfRule type="expression" dxfId="2594" priority="231">
      <formula>$C$215="No"</formula>
    </cfRule>
  </conditionalFormatting>
  <conditionalFormatting sqref="A300">
    <cfRule type="expression" dxfId="2593" priority="274">
      <formula>$C$29="No"</formula>
    </cfRule>
  </conditionalFormatting>
  <conditionalFormatting sqref="A293 H293 C293:E293">
    <cfRule type="expression" dxfId="2592" priority="258">
      <formula>$C$292="No"</formula>
    </cfRule>
  </conditionalFormatting>
  <conditionalFormatting sqref="A241 H241 C241:E241">
    <cfRule type="expression" dxfId="2591" priority="227">
      <formula>$C$240="No"</formula>
    </cfRule>
  </conditionalFormatting>
  <conditionalFormatting sqref="C58:H58">
    <cfRule type="expression" dxfId="2590" priority="270">
      <formula>$C$57="No"</formula>
    </cfRule>
  </conditionalFormatting>
  <conditionalFormatting sqref="C60 E60:H60">
    <cfRule type="expression" dxfId="2589" priority="269">
      <formula>$C$59="No"</formula>
    </cfRule>
  </conditionalFormatting>
  <conditionalFormatting sqref="A51">
    <cfRule type="expression" dxfId="2588" priority="268">
      <formula>$C$30="No"</formula>
    </cfRule>
  </conditionalFormatting>
  <conditionalFormatting sqref="C150:D150 C151:C154">
    <cfRule type="expression" dxfId="2587" priority="266">
      <formula>$C$149="No"</formula>
    </cfRule>
  </conditionalFormatting>
  <conditionalFormatting sqref="C138:E138 H138">
    <cfRule type="expression" dxfId="2586" priority="241">
      <formula>$C$137="No"</formula>
    </cfRule>
  </conditionalFormatting>
  <conditionalFormatting sqref="A112 H112 C112:E112">
    <cfRule type="expression" dxfId="2585" priority="242">
      <formula>$C$111="No"</formula>
    </cfRule>
  </conditionalFormatting>
  <conditionalFormatting sqref="A174 H174 C174:E174">
    <cfRule type="expression" dxfId="2584" priority="263">
      <formula>$C$173="No"</formula>
    </cfRule>
  </conditionalFormatting>
  <conditionalFormatting sqref="A203 H203 C203:E203">
    <cfRule type="expression" dxfId="2583" priority="232">
      <formula>$C$202="No"</formula>
    </cfRule>
  </conditionalFormatting>
  <conditionalFormatting sqref="I185:I186 I189 C184:H184">
    <cfRule type="expression" dxfId="2582" priority="234">
      <formula>$C$183="No"</formula>
    </cfRule>
  </conditionalFormatting>
  <conditionalFormatting sqref="A97">
    <cfRule type="expression" dxfId="2581" priority="260">
      <formula>$C$27="No"</formula>
    </cfRule>
  </conditionalFormatting>
  <conditionalFormatting sqref="A276:A277 H276:H277 C276:E277">
    <cfRule type="expression" dxfId="2580" priority="216">
      <formula>$C$275="No"</formula>
    </cfRule>
  </conditionalFormatting>
  <conditionalFormatting sqref="A277 H277 C277:E277">
    <cfRule type="expression" dxfId="2579" priority="217">
      <formula>$C$276="No"</formula>
    </cfRule>
  </conditionalFormatting>
  <conditionalFormatting sqref="E52:E60 H52:I60">
    <cfRule type="expression" dxfId="2578" priority="257">
      <formula>$C$30="No"</formula>
    </cfRule>
  </conditionalFormatting>
  <conditionalFormatting sqref="E47:E50">
    <cfRule type="expression" dxfId="2577" priority="256">
      <formula>$C$26="No"</formula>
    </cfRule>
  </conditionalFormatting>
  <conditionalFormatting sqref="C257:D257">
    <cfRule type="expression" dxfId="2576" priority="255">
      <formula>$C$167="No"</formula>
    </cfRule>
  </conditionalFormatting>
  <conditionalFormatting sqref="C243:D243">
    <cfRule type="expression" dxfId="2575" priority="254">
      <formula>$C$238="No"</formula>
    </cfRule>
  </conditionalFormatting>
  <conditionalFormatting sqref="A61:B61 A79:B79 A97:B97 A110:B110 A126:B126 A158:B158 A178:B178 A192:B192 A205:B205 A223:B223 A244:B244 A247:B247 A253:B253 A268:B268 A300:B300">
    <cfRule type="expression" dxfId="2574" priority="252">
      <formula>$C$30="Yes"</formula>
    </cfRule>
  </conditionalFormatting>
  <conditionalFormatting sqref="A155:B155">
    <cfRule type="expression" dxfId="2573" priority="251">
      <formula>$C$30="Yes"</formula>
    </cfRule>
  </conditionalFormatting>
  <conditionalFormatting sqref="A217:B217">
    <cfRule type="expression" dxfId="2572" priority="250">
      <formula>$C$30="Yes"</formula>
    </cfRule>
  </conditionalFormatting>
  <conditionalFormatting sqref="A258:B258">
    <cfRule type="expression" dxfId="2571" priority="249">
      <formula>$C$30="Yes"</formula>
    </cfRule>
  </conditionalFormatting>
  <conditionalFormatting sqref="E63 E269:E299 H269:H299 E65 E224:E243 H224:I242 H65 I90 I93:I96 I118 I122:I125 I152 I162:I164 I166:I170 I176:I177 I185:I186 I189 I281:I286 I288:I297 I299 I80:I88 E80:E96 H80:H96 E98:E109 H98:H109 E179:E191 H179:H191 H243 E127:E154 H127:H154 I127:I149">
    <cfRule type="expression" dxfId="2570" priority="280">
      <formula>$C$30="Yes"</formula>
    </cfRule>
  </conditionalFormatting>
  <conditionalFormatting sqref="E111:E125">
    <cfRule type="expression" dxfId="2569" priority="243">
      <formula>$C$30="Yes"</formula>
    </cfRule>
  </conditionalFormatting>
  <conditionalFormatting sqref="E156:E157">
    <cfRule type="expression" dxfId="2568" priority="238">
      <formula>$C$30="Yes"</formula>
    </cfRule>
  </conditionalFormatting>
  <conditionalFormatting sqref="E159:E177">
    <cfRule type="expression" dxfId="2567" priority="285">
      <formula>$C$30="Yes"</formula>
    </cfRule>
  </conditionalFormatting>
  <conditionalFormatting sqref="E193:E204">
    <cfRule type="expression" dxfId="2566" priority="233">
      <formula>$C$30="Yes"</formula>
    </cfRule>
  </conditionalFormatting>
  <conditionalFormatting sqref="E206:E216">
    <cfRule type="expression" dxfId="2565" priority="275">
      <formula>$C$30="Yes"</formula>
    </cfRule>
  </conditionalFormatting>
  <conditionalFormatting sqref="E218:E222">
    <cfRule type="expression" dxfId="2564" priority="228">
      <formula>$C$30="Yes"</formula>
    </cfRule>
  </conditionalFormatting>
  <conditionalFormatting sqref="E245:E246">
    <cfRule type="expression" dxfId="2563" priority="224">
      <formula>$C$30="Yes"</formula>
    </cfRule>
  </conditionalFormatting>
  <conditionalFormatting sqref="E248:E252">
    <cfRule type="expression" dxfId="2562" priority="222">
      <formula>$C$30="Yes"</formula>
    </cfRule>
  </conditionalFormatting>
  <conditionalFormatting sqref="E254:E257">
    <cfRule type="expression" dxfId="2561" priority="220">
      <formula>$C$30="Yes"</formula>
    </cfRule>
  </conditionalFormatting>
  <conditionalFormatting sqref="E259:E267">
    <cfRule type="expression" dxfId="2560" priority="277">
      <formula>$C$30="Yes"</formula>
    </cfRule>
  </conditionalFormatting>
  <conditionalFormatting sqref="E301:E312">
    <cfRule type="expression" dxfId="2559" priority="214">
      <formula>$C$30="Yes"</formula>
    </cfRule>
  </conditionalFormatting>
  <conditionalFormatting sqref="A296:A299 H296 C296:E296">
    <cfRule type="expression" dxfId="2558" priority="213">
      <formula>$C$295="No"</formula>
    </cfRule>
  </conditionalFormatting>
  <conditionalFormatting sqref="F163:F164">
    <cfRule type="expression" dxfId="2557" priority="170">
      <formula>$C$162="No"</formula>
    </cfRule>
  </conditionalFormatting>
  <conditionalFormatting sqref="F168">
    <cfRule type="expression" dxfId="2556" priority="206">
      <formula>$C$167="No"</formula>
    </cfRule>
  </conditionalFormatting>
  <conditionalFormatting sqref="F164">
    <cfRule type="expression" dxfId="2555" priority="169">
      <formula>$C$163="No"</formula>
    </cfRule>
  </conditionalFormatting>
  <conditionalFormatting sqref="F90">
    <cfRule type="expression" dxfId="2554" priority="178">
      <formula>$C$89="No"</formula>
    </cfRule>
  </conditionalFormatting>
  <conditionalFormatting sqref="F92:F93">
    <cfRule type="expression" dxfId="2553" priority="202">
      <formula>$C$91="No"</formula>
    </cfRule>
  </conditionalFormatting>
  <conditionalFormatting sqref="F260">
    <cfRule type="expression" dxfId="2552" priority="155">
      <formula>$C$259="No"</formula>
    </cfRule>
  </conditionalFormatting>
  <conditionalFormatting sqref="F263">
    <cfRule type="expression" dxfId="2551" priority="156">
      <formula>$C$262="No"</formula>
    </cfRule>
  </conditionalFormatting>
  <conditionalFormatting sqref="F213">
    <cfRule type="expression" dxfId="2550" priority="163">
      <formula>$C$212="No"</formula>
    </cfRule>
  </conditionalFormatting>
  <conditionalFormatting sqref="F216">
    <cfRule type="expression" dxfId="2549" priority="164">
      <formula>$C$215="No"</formula>
    </cfRule>
  </conditionalFormatting>
  <conditionalFormatting sqref="F293">
    <cfRule type="expression" dxfId="2548" priority="188">
      <formula>$C$292="No"</formula>
    </cfRule>
  </conditionalFormatting>
  <conditionalFormatting sqref="F241">
    <cfRule type="expression" dxfId="2547" priority="161">
      <formula>$C$240="No"</formula>
    </cfRule>
  </conditionalFormatting>
  <conditionalFormatting sqref="F150:F154">
    <cfRule type="expression" dxfId="2546" priority="193">
      <formula>$C$149="No"</formula>
    </cfRule>
  </conditionalFormatting>
  <conditionalFormatting sqref="F138">
    <cfRule type="expression" dxfId="2545" priority="173">
      <formula>$C$137="No"</formula>
    </cfRule>
  </conditionalFormatting>
  <conditionalFormatting sqref="F112">
    <cfRule type="expression" dxfId="2544" priority="174">
      <formula>$C$111="No"</formula>
    </cfRule>
  </conditionalFormatting>
  <conditionalFormatting sqref="F174">
    <cfRule type="expression" dxfId="2543" priority="191">
      <formula>$C$173="No"</formula>
    </cfRule>
  </conditionalFormatting>
  <conditionalFormatting sqref="F203">
    <cfRule type="expression" dxfId="2542" priority="165">
      <formula>$C$202="No"</formula>
    </cfRule>
  </conditionalFormatting>
  <conditionalFormatting sqref="F276:F277">
    <cfRule type="expression" dxfId="2541" priority="153">
      <formula>$C$275="No"</formula>
    </cfRule>
  </conditionalFormatting>
  <conditionalFormatting sqref="F277">
    <cfRule type="expression" dxfId="2540" priority="154">
      <formula>$C$276="No"</formula>
    </cfRule>
  </conditionalFormatting>
  <conditionalFormatting sqref="H47:H50">
    <cfRule type="expression" dxfId="2539" priority="186">
      <formula>$C$26="No"</formula>
    </cfRule>
  </conditionalFormatting>
  <conditionalFormatting sqref="F257">
    <cfRule type="expression" dxfId="2538" priority="185">
      <formula>$C$167="No"</formula>
    </cfRule>
  </conditionalFormatting>
  <conditionalFormatting sqref="F243">
    <cfRule type="expression" dxfId="2537" priority="184">
      <formula>$C$238="No"</formula>
    </cfRule>
  </conditionalFormatting>
  <conditionalFormatting sqref="H62:H63">
    <cfRule type="expression" dxfId="2536" priority="203">
      <formula>$C$30="Yes"</formula>
    </cfRule>
  </conditionalFormatting>
  <conditionalFormatting sqref="H111:H125">
    <cfRule type="expression" dxfId="2535" priority="175">
      <formula>$C$30="Yes"</formula>
    </cfRule>
  </conditionalFormatting>
  <conditionalFormatting sqref="H156:H157">
    <cfRule type="expression" dxfId="2534" priority="171">
      <formula>$C$30="Yes"</formula>
    </cfRule>
  </conditionalFormatting>
  <conditionalFormatting sqref="H159:H177">
    <cfRule type="expression" dxfId="2533" priority="207">
      <formula>$C$30="Yes"</formula>
    </cfRule>
  </conditionalFormatting>
  <conditionalFormatting sqref="H193:H204">
    <cfRule type="expression" dxfId="2532" priority="166">
      <formula>$C$30="Yes"</formula>
    </cfRule>
  </conditionalFormatting>
  <conditionalFormatting sqref="H206:H216">
    <cfRule type="expression" dxfId="2531" priority="200">
      <formula>$C$30="Yes"</formula>
    </cfRule>
  </conditionalFormatting>
  <conditionalFormatting sqref="H218:H222">
    <cfRule type="expression" dxfId="2530" priority="162">
      <formula>$C$30="Yes"</formula>
    </cfRule>
  </conditionalFormatting>
  <conditionalFormatting sqref="H245:H246">
    <cfRule type="expression" dxfId="2529" priority="159">
      <formula>$C$30="Yes"</formula>
    </cfRule>
  </conditionalFormatting>
  <conditionalFormatting sqref="H248:H252">
    <cfRule type="expression" dxfId="2528" priority="158">
      <formula>$C$30="Yes"</formula>
    </cfRule>
  </conditionalFormatting>
  <conditionalFormatting sqref="H254:H257">
    <cfRule type="expression" dxfId="2527" priority="157">
      <formula>$C$30="Yes"</formula>
    </cfRule>
  </conditionalFormatting>
  <conditionalFormatting sqref="H259:H267">
    <cfRule type="expression" dxfId="2526" priority="201">
      <formula>$C$30="Yes"</formula>
    </cfRule>
  </conditionalFormatting>
  <conditionalFormatting sqref="H301:H312">
    <cfRule type="expression" dxfId="2525" priority="152">
      <formula>$C$30="Yes"</formula>
    </cfRule>
  </conditionalFormatting>
  <conditionalFormatting sqref="F296">
    <cfRule type="expression" dxfId="2524" priority="151">
      <formula>$C$295="No"</formula>
    </cfRule>
  </conditionalFormatting>
  <conditionalFormatting sqref="G163:G164">
    <cfRule type="expression" dxfId="2523" priority="134">
      <formula>$C$162="No"</formula>
    </cfRule>
  </conditionalFormatting>
  <conditionalFormatting sqref="G168">
    <cfRule type="expression" dxfId="2522" priority="150">
      <formula>$C$167="No"</formula>
    </cfRule>
  </conditionalFormatting>
  <conditionalFormatting sqref="G164">
    <cfRule type="expression" dxfId="2521" priority="133">
      <formula>$C$163="No"</formula>
    </cfRule>
  </conditionalFormatting>
  <conditionalFormatting sqref="G90">
    <cfRule type="expression" dxfId="2520" priority="139">
      <formula>$C$89="No"</formula>
    </cfRule>
  </conditionalFormatting>
  <conditionalFormatting sqref="G92:G93">
    <cfRule type="expression" dxfId="2519" priority="149">
      <formula>$C$91="No"</formula>
    </cfRule>
  </conditionalFormatting>
  <conditionalFormatting sqref="G260">
    <cfRule type="expression" dxfId="2518" priority="125">
      <formula>$C$259="No"</formula>
    </cfRule>
  </conditionalFormatting>
  <conditionalFormatting sqref="G263">
    <cfRule type="expression" dxfId="2517" priority="126">
      <formula>$C$262="No"</formula>
    </cfRule>
  </conditionalFormatting>
  <conditionalFormatting sqref="G213">
    <cfRule type="expression" dxfId="2516" priority="129">
      <formula>$C$212="No"</formula>
    </cfRule>
  </conditionalFormatting>
  <conditionalFormatting sqref="G216">
    <cfRule type="expression" dxfId="2515" priority="130">
      <formula>$C$215="No"</formula>
    </cfRule>
  </conditionalFormatting>
  <conditionalFormatting sqref="G293">
    <cfRule type="expression" dxfId="2514" priority="143">
      <formula>$C$292="No"</formula>
    </cfRule>
  </conditionalFormatting>
  <conditionalFormatting sqref="G241">
    <cfRule type="expression" dxfId="2513" priority="128">
      <formula>$C$240="No"</formula>
    </cfRule>
  </conditionalFormatting>
  <conditionalFormatting sqref="G150:G154">
    <cfRule type="expression" dxfId="2512" priority="146">
      <formula>$C$149="No"</formula>
    </cfRule>
  </conditionalFormatting>
  <conditionalFormatting sqref="G138">
    <cfRule type="expression" dxfId="2511" priority="136">
      <formula>$C$137="No"</formula>
    </cfRule>
  </conditionalFormatting>
  <conditionalFormatting sqref="G112">
    <cfRule type="expression" dxfId="2510" priority="137">
      <formula>$C$111="No"</formula>
    </cfRule>
  </conditionalFormatting>
  <conditionalFormatting sqref="G174">
    <cfRule type="expression" dxfId="2509" priority="144">
      <formula>$C$173="No"</formula>
    </cfRule>
  </conditionalFormatting>
  <conditionalFormatting sqref="G203">
    <cfRule type="expression" dxfId="2508" priority="131">
      <formula>$C$202="No"</formula>
    </cfRule>
  </conditionalFormatting>
  <conditionalFormatting sqref="G276:G277">
    <cfRule type="expression" dxfId="2507" priority="123">
      <formula>$C$275="No"</formula>
    </cfRule>
  </conditionalFormatting>
  <conditionalFormatting sqref="G277">
    <cfRule type="expression" dxfId="2506" priority="124">
      <formula>$C$276="No"</formula>
    </cfRule>
  </conditionalFormatting>
  <conditionalFormatting sqref="G257">
    <cfRule type="expression" dxfId="2505" priority="142">
      <formula>$C$167="No"</formula>
    </cfRule>
  </conditionalFormatting>
  <conditionalFormatting sqref="G243">
    <cfRule type="expression" dxfId="2504" priority="141">
      <formula>$C$238="No"</formula>
    </cfRule>
  </conditionalFormatting>
  <conditionalFormatting sqref="G296">
    <cfRule type="expression" dxfId="2503" priority="122">
      <formula>$C$295="No"</formula>
    </cfRule>
  </conditionalFormatting>
  <conditionalFormatting sqref="I47:I50">
    <cfRule type="expression" dxfId="2502" priority="121">
      <formula>$C$26="No"</formula>
    </cfRule>
  </conditionalFormatting>
  <conditionalFormatting sqref="I62:I63">
    <cfRule type="expression" dxfId="2501" priority="119">
      <formula>$C$62="No"</formula>
    </cfRule>
  </conditionalFormatting>
  <conditionalFormatting sqref="I62:I63">
    <cfRule type="expression" dxfId="2500" priority="118">
      <formula>$C$30="Yes"</formula>
    </cfRule>
  </conditionalFormatting>
  <conditionalFormatting sqref="I89">
    <cfRule type="expression" dxfId="2499" priority="116">
      <formula>$C$30="Yes"</formula>
    </cfRule>
  </conditionalFormatting>
  <conditionalFormatting sqref="I91:I92">
    <cfRule type="expression" dxfId="2498" priority="115">
      <formula>$C$30="Yes"</formula>
    </cfRule>
  </conditionalFormatting>
  <conditionalFormatting sqref="I105:I109">
    <cfRule type="expression" dxfId="2497" priority="114">
      <formula>$C$30="Yes"</formula>
    </cfRule>
  </conditionalFormatting>
  <conditionalFormatting sqref="I111:I115">
    <cfRule type="expression" dxfId="2496" priority="113">
      <formula>$C$30="Yes"</formula>
    </cfRule>
  </conditionalFormatting>
  <conditionalFormatting sqref="I150:I151">
    <cfRule type="expression" dxfId="2495" priority="110">
      <formula>$C$30="Yes"</formula>
    </cfRule>
  </conditionalFormatting>
  <conditionalFormatting sqref="I153:I154">
    <cfRule type="expression" dxfId="2494" priority="109">
      <formula>$C$30="Yes"</formula>
    </cfRule>
  </conditionalFormatting>
  <conditionalFormatting sqref="I156:I157">
    <cfRule type="expression" dxfId="2493" priority="108">
      <formula>$C$30="Yes"</formula>
    </cfRule>
  </conditionalFormatting>
  <conditionalFormatting sqref="I159">
    <cfRule type="expression" dxfId="2492" priority="107">
      <formula>$C$30="Yes"</formula>
    </cfRule>
  </conditionalFormatting>
  <conditionalFormatting sqref="I160:I161">
    <cfRule type="expression" dxfId="2491" priority="106">
      <formula>$C$30="Yes"</formula>
    </cfRule>
  </conditionalFormatting>
  <conditionalFormatting sqref="I165">
    <cfRule type="expression" dxfId="2490" priority="105">
      <formula>$C$30="Yes"</formula>
    </cfRule>
  </conditionalFormatting>
  <conditionalFormatting sqref="I171:I175">
    <cfRule type="expression" dxfId="2489" priority="104">
      <formula>$C$30="Yes"</formula>
    </cfRule>
  </conditionalFormatting>
  <conditionalFormatting sqref="I179:I182">
    <cfRule type="expression" dxfId="2488" priority="103">
      <formula>$C$183="No"</formula>
    </cfRule>
  </conditionalFormatting>
  <conditionalFormatting sqref="I179:I182">
    <cfRule type="expression" dxfId="2487" priority="102">
      <formula>$C$30="Yes"</formula>
    </cfRule>
  </conditionalFormatting>
  <conditionalFormatting sqref="I191">
    <cfRule type="expression" dxfId="2486" priority="101">
      <formula>$C$30="Yes"</formula>
    </cfRule>
  </conditionalFormatting>
  <conditionalFormatting sqref="I210">
    <cfRule type="expression" dxfId="2485" priority="100">
      <formula>$C$30="Yes"</formula>
    </cfRule>
  </conditionalFormatting>
  <conditionalFormatting sqref="I206:I209">
    <cfRule type="expression" dxfId="2484" priority="99">
      <formula>$C$30="Yes"</formula>
    </cfRule>
  </conditionalFormatting>
  <conditionalFormatting sqref="I211:I216">
    <cfRule type="expression" dxfId="2483" priority="98">
      <formula>$C$30="Yes"</formula>
    </cfRule>
  </conditionalFormatting>
  <conditionalFormatting sqref="I218:I222">
    <cfRule type="expression" dxfId="2482" priority="97">
      <formula>$C$30="Yes"</formula>
    </cfRule>
  </conditionalFormatting>
  <conditionalFormatting sqref="I245:I246">
    <cfRule type="expression" dxfId="2481" priority="95">
      <formula>$C$30="Yes"</formula>
    </cfRule>
  </conditionalFormatting>
  <conditionalFormatting sqref="I248:I252">
    <cfRule type="expression" dxfId="2480" priority="94">
      <formula>$C$30="Yes"</formula>
    </cfRule>
  </conditionalFormatting>
  <conditionalFormatting sqref="I254:I257">
    <cfRule type="expression" dxfId="2479" priority="93">
      <formula>$C$30="Yes"</formula>
    </cfRule>
  </conditionalFormatting>
  <conditionalFormatting sqref="I273:I277">
    <cfRule type="expression" dxfId="2478" priority="92">
      <formula>$C$30="Yes"</formula>
    </cfRule>
  </conditionalFormatting>
  <conditionalFormatting sqref="I269:I272">
    <cfRule type="expression" dxfId="2477" priority="91">
      <formula>$C$30="Yes"</formula>
    </cfRule>
  </conditionalFormatting>
  <conditionalFormatting sqref="I278:I280">
    <cfRule type="expression" dxfId="2476" priority="88">
      <formula>$C$275="No"</formula>
    </cfRule>
  </conditionalFormatting>
  <conditionalFormatting sqref="I278:I280">
    <cfRule type="expression" dxfId="2475" priority="89">
      <formula>$C$276="No"</formula>
    </cfRule>
  </conditionalFormatting>
  <conditionalFormatting sqref="I278:I280">
    <cfRule type="expression" dxfId="2474" priority="90">
      <formula>$C$30="Yes"</formula>
    </cfRule>
  </conditionalFormatting>
  <conditionalFormatting sqref="I287">
    <cfRule type="expression" dxfId="2473" priority="87">
      <formula>$C$30="Yes"</formula>
    </cfRule>
  </conditionalFormatting>
  <conditionalFormatting sqref="I298">
    <cfRule type="expression" dxfId="2472" priority="86">
      <formula>$C$30="Yes"</formula>
    </cfRule>
  </conditionalFormatting>
  <conditionalFormatting sqref="I301:I312">
    <cfRule type="expression" dxfId="2471" priority="85">
      <formula>$C$30="Yes"</formula>
    </cfRule>
  </conditionalFormatting>
  <conditionalFormatting sqref="B47:B49">
    <cfRule type="expression" dxfId="2470" priority="83">
      <formula>$C$26="No"</formula>
    </cfRule>
  </conditionalFormatting>
  <conditionalFormatting sqref="B50">
    <cfRule type="expression" dxfId="2469" priority="82">
      <formula>$C$26="No"</formula>
    </cfRule>
  </conditionalFormatting>
  <conditionalFormatting sqref="I243">
    <cfRule type="expression" dxfId="2468" priority="1">
      <formula>$C$238="No"</formula>
    </cfRule>
  </conditionalFormatting>
  <pageMargins left="0.75" right="0.75" top="1" bottom="1" header="0.5" footer="0.5"/>
  <pageSetup orientation="landscape" r:id="rId1"/>
  <headerFooter>
    <oddFooter>&amp;L&amp;"Helvetica,Regular"&amp;12&amp;K000000	&amp;P</oddFooter>
  </headerFooter>
  <ignoredErrors>
    <ignoredError sqref="E132 E195 E57 E60 E101 E85:E87 E58:E59 E88 E89:E95" numberStoredAsText="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H303"/>
  <sheetViews>
    <sheetView topLeftCell="A70" workbookViewId="0">
      <selection activeCell="G78" sqref="G78"/>
    </sheetView>
  </sheetViews>
  <sheetFormatPr defaultColWidth="8.5" defaultRowHeight="15" x14ac:dyDescent="0.2"/>
  <cols>
    <col min="1" max="1" width="20.09765625" style="142" customWidth="1"/>
    <col min="2" max="2" width="14.5" style="142" customWidth="1"/>
    <col min="3" max="3" width="26" style="142" customWidth="1"/>
    <col min="4" max="4" width="11.5" style="142" customWidth="1"/>
    <col min="5" max="5" width="14.59765625" style="142" customWidth="1"/>
    <col min="6" max="6" width="16.59765625" style="142" customWidth="1"/>
    <col min="7" max="7" width="11.19921875" style="142" customWidth="1"/>
    <col min="8" max="8" width="21.69921875" style="142" customWidth="1"/>
    <col min="9" max="16384" width="8.5" style="142"/>
  </cols>
  <sheetData>
    <row r="1" spans="1:8" ht="36" customHeight="1" x14ac:dyDescent="0.2">
      <c r="A1" s="321" t="s">
        <v>2990</v>
      </c>
      <c r="B1" s="321"/>
      <c r="C1" s="321"/>
      <c r="D1" s="321"/>
      <c r="E1" s="321"/>
      <c r="F1" s="321"/>
      <c r="G1" s="322"/>
      <c r="H1" s="209" t="str">
        <f>'HECVAT - Full'!E1</f>
        <v>Version 2.11</v>
      </c>
    </row>
    <row r="2" spans="1:8" ht="26.1" customHeight="1" x14ac:dyDescent="0.2">
      <c r="A2" s="298" t="s">
        <v>96</v>
      </c>
      <c r="B2" s="298"/>
      <c r="C2" s="298"/>
      <c r="D2" s="298"/>
      <c r="E2" s="298"/>
      <c r="F2" s="298"/>
      <c r="G2" s="298"/>
      <c r="H2" s="298"/>
    </row>
    <row r="3" spans="1:8" s="235" customFormat="1" ht="26.1" customHeight="1" x14ac:dyDescent="0.2">
      <c r="A3" s="326" t="s">
        <v>11</v>
      </c>
      <c r="B3" s="327"/>
      <c r="C3" s="327"/>
      <c r="D3" s="327"/>
      <c r="E3" s="327"/>
      <c r="F3" s="327"/>
      <c r="G3" s="327"/>
      <c r="H3" s="327"/>
    </row>
    <row r="4" spans="1:8" s="235" customFormat="1" ht="40.5" customHeight="1" x14ac:dyDescent="0.2">
      <c r="A4" s="328" t="s">
        <v>2668</v>
      </c>
      <c r="B4" s="329"/>
      <c r="C4" s="329"/>
      <c r="D4" s="329"/>
      <c r="E4" s="329"/>
      <c r="F4" s="329"/>
      <c r="G4" s="329"/>
      <c r="H4" s="329"/>
    </row>
    <row r="5" spans="1:8" s="17" customFormat="1" ht="48" customHeight="1" x14ac:dyDescent="0.2">
      <c r="A5" s="163" t="s">
        <v>3</v>
      </c>
      <c r="B5" s="323" t="str">
        <f>'HECVAT - Full'!C7</f>
        <v>Vendor Name</v>
      </c>
      <c r="C5" s="323"/>
      <c r="D5" s="192"/>
      <c r="E5" s="163" t="s">
        <v>4</v>
      </c>
      <c r="F5" s="316" t="str">
        <f>'HECVAT - Full'!C8</f>
        <v>Product Name and Version Information</v>
      </c>
      <c r="G5" s="316"/>
      <c r="H5" s="316"/>
    </row>
    <row r="6" spans="1:8" s="17" customFormat="1" ht="48" customHeight="1" x14ac:dyDescent="0.2">
      <c r="A6" s="163" t="s">
        <v>7</v>
      </c>
      <c r="B6" s="287" t="str">
        <f>'HECVAT - Full'!C11</f>
        <v>Vendor Contact Name</v>
      </c>
      <c r="C6" s="287"/>
      <c r="D6" s="193"/>
      <c r="E6" s="163" t="s">
        <v>5</v>
      </c>
      <c r="F6" s="316" t="str">
        <f>'HECVAT - Full'!C9</f>
        <v>Brief Description of the Product</v>
      </c>
      <c r="G6" s="316"/>
      <c r="H6" s="316"/>
    </row>
    <row r="7" spans="1:8" s="17" customFormat="1" ht="48" customHeight="1" x14ac:dyDescent="0.2">
      <c r="A7" s="163" t="s">
        <v>8</v>
      </c>
      <c r="B7" s="324" t="str">
        <f>'HECVAT - Full'!C12</f>
        <v>Vendor Contact Title</v>
      </c>
      <c r="C7" s="325"/>
      <c r="D7" s="194"/>
      <c r="E7" s="163" t="s">
        <v>2058</v>
      </c>
      <c r="F7" s="316" t="s">
        <v>2059</v>
      </c>
      <c r="G7" s="316"/>
      <c r="H7" s="316"/>
    </row>
    <row r="8" spans="1:8" s="17" customFormat="1" ht="48" customHeight="1" x14ac:dyDescent="0.2">
      <c r="A8" s="163" t="s">
        <v>2616</v>
      </c>
      <c r="B8" s="287" t="str">
        <f>'HECVAT - Full'!C13</f>
        <v>Vendor Contact E-mail Address</v>
      </c>
      <c r="C8" s="287"/>
      <c r="D8" s="195"/>
      <c r="E8" s="163" t="s">
        <v>2060</v>
      </c>
      <c r="F8" s="317" t="str">
        <f>'HECVAT - Full'!C3</f>
        <v>mm/dd/yyyy</v>
      </c>
      <c r="G8" s="317"/>
      <c r="H8" s="317"/>
    </row>
    <row r="9" spans="1:8" s="17" customFormat="1" ht="24.75" customHeight="1" x14ac:dyDescent="0.2">
      <c r="A9" s="163"/>
      <c r="B9" s="234"/>
      <c r="C9" s="234"/>
      <c r="D9" s="236"/>
      <c r="E9" s="237"/>
      <c r="F9" s="238"/>
      <c r="G9" s="238"/>
      <c r="H9" s="239"/>
    </row>
    <row r="10" spans="1:8" s="17" customFormat="1" ht="48" customHeight="1" x14ac:dyDescent="0.2">
      <c r="A10" s="179" t="s">
        <v>2620</v>
      </c>
      <c r="B10" s="178"/>
      <c r="C10" s="134" t="str">
        <f>IF(B10="","&lt;- Select your security framework.","")</f>
        <v>&lt;- Select your security framework.</v>
      </c>
      <c r="D10" s="318"/>
      <c r="E10" s="319"/>
      <c r="F10" s="319"/>
      <c r="G10" s="319"/>
      <c r="H10" s="320"/>
    </row>
    <row r="11" spans="1:8" s="162" customFormat="1" ht="24" customHeight="1" x14ac:dyDescent="0.2">
      <c r="A11" s="333"/>
      <c r="B11" s="333"/>
      <c r="C11" s="333"/>
    </row>
    <row r="12" spans="1:8" ht="24" customHeight="1" x14ac:dyDescent="0.2">
      <c r="C12" s="169" t="s">
        <v>2061</v>
      </c>
      <c r="D12" s="169" t="s">
        <v>2053</v>
      </c>
      <c r="E12" s="169" t="s">
        <v>2052</v>
      </c>
      <c r="F12" s="169" t="s">
        <v>2054</v>
      </c>
    </row>
    <row r="13" spans="1:8" x14ac:dyDescent="0.2">
      <c r="C13" s="165" t="str">
        <f>Questions!T2</f>
        <v>Documentation</v>
      </c>
      <c r="D13" s="166">
        <f>Questions!X2</f>
        <v>105</v>
      </c>
      <c r="E13" s="166">
        <f>Questions!W2</f>
        <v>0</v>
      </c>
      <c r="F13" s="167">
        <f>Questions!Y2</f>
        <v>0</v>
      </c>
    </row>
    <row r="14" spans="1:8" x14ac:dyDescent="0.2">
      <c r="C14" s="165" t="str">
        <f>Questions!T3</f>
        <v>Application Security</v>
      </c>
      <c r="D14" s="166">
        <f>Questions!X3</f>
        <v>375</v>
      </c>
      <c r="E14" s="166">
        <f>Questions!W3</f>
        <v>0</v>
      </c>
      <c r="F14" s="167">
        <f>Questions!Y3</f>
        <v>0</v>
      </c>
    </row>
    <row r="15" spans="1:8" ht="28.5" x14ac:dyDescent="0.2">
      <c r="C15" s="165" t="str">
        <f>Questions!T4</f>
        <v>Authentication, Authorization, and Accounting</v>
      </c>
      <c r="D15" s="166">
        <f>Questions!X4</f>
        <v>365</v>
      </c>
      <c r="E15" s="166">
        <f>Questions!W4</f>
        <v>0</v>
      </c>
      <c r="F15" s="167">
        <f>Questions!Y4</f>
        <v>0</v>
      </c>
    </row>
    <row r="16" spans="1:8" x14ac:dyDescent="0.2">
      <c r="C16" s="165" t="str">
        <f>Questions!T5</f>
        <v>Change Management</v>
      </c>
      <c r="D16" s="166">
        <f>Questions!X5</f>
        <v>275</v>
      </c>
      <c r="E16" s="166">
        <f>Questions!W5</f>
        <v>0</v>
      </c>
      <c r="F16" s="167">
        <f>Questions!Y5</f>
        <v>0</v>
      </c>
    </row>
    <row r="17" spans="3:6" x14ac:dyDescent="0.2">
      <c r="C17" s="165" t="str">
        <f>Questions!T6</f>
        <v>Company</v>
      </c>
      <c r="D17" s="166">
        <f>Questions!X6</f>
        <v>120</v>
      </c>
      <c r="E17" s="166">
        <f>Questions!W6</f>
        <v>0</v>
      </c>
      <c r="F17" s="167">
        <f>Questions!Y6</f>
        <v>0</v>
      </c>
    </row>
    <row r="18" spans="3:6" x14ac:dyDescent="0.2">
      <c r="C18" s="165" t="str">
        <f>Questions!T7</f>
        <v>Data</v>
      </c>
      <c r="D18" s="166">
        <f>Questions!X7</f>
        <v>550</v>
      </c>
      <c r="E18" s="166">
        <f>Questions!W7</f>
        <v>0</v>
      </c>
      <c r="F18" s="167">
        <f>Questions!Y7</f>
        <v>0</v>
      </c>
    </row>
    <row r="19" spans="3:6" x14ac:dyDescent="0.2">
      <c r="C19" s="165" t="str">
        <f>Questions!T8</f>
        <v>Database</v>
      </c>
      <c r="D19" s="166">
        <f>Questions!X8</f>
        <v>50</v>
      </c>
      <c r="E19" s="166">
        <f>Questions!W8</f>
        <v>0</v>
      </c>
      <c r="F19" s="167">
        <f>Questions!Y8</f>
        <v>0</v>
      </c>
    </row>
    <row r="20" spans="3:6" x14ac:dyDescent="0.2">
      <c r="C20" s="165" t="str">
        <f>Questions!T9</f>
        <v>Datacenter</v>
      </c>
      <c r="D20" s="166">
        <f>Questions!X9</f>
        <v>290</v>
      </c>
      <c r="E20" s="166">
        <f>Questions!W9</f>
        <v>0</v>
      </c>
      <c r="F20" s="167">
        <f>Questions!Y9</f>
        <v>0</v>
      </c>
    </row>
    <row r="21" spans="3:6" ht="28.5" x14ac:dyDescent="0.2">
      <c r="C21" s="165" t="str">
        <f>Questions!T10</f>
        <v>Firewalls, IDS, IPS, and Networking</v>
      </c>
      <c r="D21" s="166">
        <f>Questions!X10</f>
        <v>245</v>
      </c>
      <c r="E21" s="166">
        <f>Questions!W10</f>
        <v>0</v>
      </c>
      <c r="F21" s="167">
        <f>Questions!Y10</f>
        <v>0</v>
      </c>
    </row>
    <row r="22" spans="3:6" x14ac:dyDescent="0.2">
      <c r="C22" s="165" t="str">
        <f>Questions!T11</f>
        <v>Physical Security</v>
      </c>
      <c r="D22" s="166">
        <f>Questions!X11</f>
        <v>100</v>
      </c>
      <c r="E22" s="166">
        <f>Questions!W11</f>
        <v>0</v>
      </c>
      <c r="F22" s="167">
        <f>Questions!Y11</f>
        <v>0</v>
      </c>
    </row>
    <row r="23" spans="3:6" ht="28.5" x14ac:dyDescent="0.2">
      <c r="C23" s="165" t="str">
        <f>Questions!T12</f>
        <v>Policies, Procedures, and Processes</v>
      </c>
      <c r="D23" s="166">
        <f>Questions!X12</f>
        <v>420</v>
      </c>
      <c r="E23" s="166">
        <f>Questions!W12</f>
        <v>0</v>
      </c>
      <c r="F23" s="167">
        <f>Questions!Y12</f>
        <v>0</v>
      </c>
    </row>
    <row r="24" spans="3:6" ht="28.5" x14ac:dyDescent="0.2">
      <c r="C24" s="165" t="str">
        <f>Questions!T13</f>
        <v>Systems Management &amp; Configuration</v>
      </c>
      <c r="D24" s="166">
        <f>Questions!X13</f>
        <v>70</v>
      </c>
      <c r="E24" s="166">
        <f>Questions!W13</f>
        <v>0</v>
      </c>
      <c r="F24" s="167">
        <f>Questions!Y13</f>
        <v>0</v>
      </c>
    </row>
    <row r="25" spans="3:6" x14ac:dyDescent="0.2">
      <c r="C25" s="165" t="str">
        <f>Questions!T14</f>
        <v>Vulnerability Scanning</v>
      </c>
      <c r="D25" s="166">
        <f>Questions!X14</f>
        <v>170</v>
      </c>
      <c r="E25" s="166">
        <f>Questions!W14</f>
        <v>0</v>
      </c>
      <c r="F25" s="167">
        <f>Questions!Y14</f>
        <v>0</v>
      </c>
    </row>
    <row r="26" spans="3:6" x14ac:dyDescent="0.2">
      <c r="C26" s="165" t="str">
        <f>Questions!T15</f>
        <v/>
      </c>
      <c r="D26" s="166" t="str">
        <f>Questions!X15</f>
        <v/>
      </c>
      <c r="E26" s="166" t="str">
        <f>Questions!W15</f>
        <v/>
      </c>
      <c r="F26" s="167" t="str">
        <f>Questions!Y15</f>
        <v/>
      </c>
    </row>
    <row r="27" spans="3:6" x14ac:dyDescent="0.2">
      <c r="C27" s="165" t="str">
        <f>Questions!T16</f>
        <v/>
      </c>
      <c r="D27" s="166" t="str">
        <f>Questions!X16</f>
        <v/>
      </c>
      <c r="E27" s="166" t="str">
        <f>Questions!W16</f>
        <v/>
      </c>
      <c r="F27" s="167" t="str">
        <f>Questions!Y16</f>
        <v/>
      </c>
    </row>
    <row r="28" spans="3:6" x14ac:dyDescent="0.2">
      <c r="C28" s="165" t="str">
        <f>Questions!T17</f>
        <v/>
      </c>
      <c r="D28" s="166" t="str">
        <f>Questions!X17</f>
        <v/>
      </c>
      <c r="E28" s="166" t="str">
        <f>Questions!W17</f>
        <v/>
      </c>
      <c r="F28" s="167" t="str">
        <f>Questions!Y17</f>
        <v/>
      </c>
    </row>
    <row r="29" spans="3:6" x14ac:dyDescent="0.2">
      <c r="C29" s="165" t="str">
        <f>Questions!T18</f>
        <v/>
      </c>
      <c r="D29" s="166" t="str">
        <f>Questions!X18</f>
        <v/>
      </c>
      <c r="E29" s="166" t="str">
        <f>Questions!W18</f>
        <v/>
      </c>
      <c r="F29" s="167" t="str">
        <f>Questions!Y18</f>
        <v/>
      </c>
    </row>
    <row r="30" spans="3:6" x14ac:dyDescent="0.2">
      <c r="C30" s="165" t="str">
        <f>Questions!T19</f>
        <v/>
      </c>
      <c r="D30" s="166" t="str">
        <f>Questions!X19</f>
        <v/>
      </c>
      <c r="E30" s="166" t="str">
        <f>Questions!W19</f>
        <v/>
      </c>
      <c r="F30" s="167" t="str">
        <f>Questions!Y19</f>
        <v/>
      </c>
    </row>
    <row r="31" spans="3:6" x14ac:dyDescent="0.2">
      <c r="C31" s="165" t="str">
        <f>Questions!T20</f>
        <v/>
      </c>
      <c r="D31" s="166" t="str">
        <f>Questions!X20</f>
        <v/>
      </c>
      <c r="E31" s="166" t="str">
        <f>Questions!W20</f>
        <v/>
      </c>
      <c r="F31" s="167" t="str">
        <f>Questions!Y20</f>
        <v/>
      </c>
    </row>
    <row r="32" spans="3:6" x14ac:dyDescent="0.2">
      <c r="C32" s="165" t="str">
        <f>Questions!T21</f>
        <v/>
      </c>
      <c r="D32" s="166" t="str">
        <f>Questions!X21</f>
        <v/>
      </c>
      <c r="E32" s="166" t="str">
        <f>Questions!W21</f>
        <v/>
      </c>
      <c r="F32" s="167"/>
    </row>
    <row r="33" spans="1:8" s="18" customFormat="1" ht="36" customHeight="1" x14ac:dyDescent="0.2">
      <c r="C33" s="169" t="s">
        <v>2102</v>
      </c>
      <c r="D33" s="169" t="str">
        <f>Questions!X23</f>
        <v>F</v>
      </c>
      <c r="E33" s="170">
        <f>Questions!Y23</f>
        <v>0</v>
      </c>
      <c r="F33" s="171">
        <f>Questions!W23</f>
        <v>0</v>
      </c>
    </row>
    <row r="36" spans="1:8" s="157" customFormat="1" ht="36" customHeight="1" x14ac:dyDescent="0.2">
      <c r="A36" s="332" t="s">
        <v>2063</v>
      </c>
      <c r="B36" s="332"/>
      <c r="C36" s="332"/>
      <c r="D36" s="332"/>
      <c r="E36" s="332"/>
      <c r="F36" s="332"/>
      <c r="G36" s="332"/>
    </row>
    <row r="37" spans="1:8" s="140" customFormat="1" ht="36" customHeight="1" x14ac:dyDescent="0.2">
      <c r="A37" s="145" t="s">
        <v>2025</v>
      </c>
      <c r="B37" s="334" t="s">
        <v>2026</v>
      </c>
      <c r="C37" s="334"/>
      <c r="D37" s="334" t="s">
        <v>2064</v>
      </c>
      <c r="E37" s="334"/>
      <c r="F37" s="334"/>
      <c r="G37" s="145" t="s">
        <v>2065</v>
      </c>
    </row>
    <row r="38" spans="1:8" ht="48" customHeight="1" x14ac:dyDescent="0.2">
      <c r="A38" s="142" t="str">
        <f>'HECVAT - Full'!A39</f>
        <v>COMP-01</v>
      </c>
      <c r="B38" s="330" t="str">
        <f>'HECVAT - Full'!B39</f>
        <v>Describe your organization’s business background and ownership structure, including all parent and subsidiary relationships.</v>
      </c>
      <c r="C38" s="330"/>
      <c r="D38" s="331">
        <f>'HECVAT - Full'!C39</f>
        <v>0</v>
      </c>
      <c r="E38" s="331"/>
      <c r="F38" s="331"/>
      <c r="H38" s="158" t="str">
        <f t="shared" ref="H38:H40" si="0">IF(G38="","Please rate the vendor's answer","")</f>
        <v>Please rate the vendor's answer</v>
      </c>
    </row>
    <row r="39" spans="1:8" ht="48" customHeight="1" x14ac:dyDescent="0.2">
      <c r="A39" s="142" t="str">
        <f>'HECVAT - Full'!A40</f>
        <v>COMP-02</v>
      </c>
      <c r="B39" s="330" t="str">
        <f>'HECVAT - Full'!B40</f>
        <v>Describe how long your organization has conducted business in this product area.</v>
      </c>
      <c r="C39" s="330"/>
      <c r="D39" s="331">
        <f>'HECVAT - Full'!C40</f>
        <v>0</v>
      </c>
      <c r="E39" s="331"/>
      <c r="F39" s="331"/>
      <c r="H39" s="158" t="str">
        <f t="shared" si="0"/>
        <v>Please rate the vendor's answer</v>
      </c>
    </row>
    <row r="40" spans="1:8" ht="48" customHeight="1" x14ac:dyDescent="0.2">
      <c r="A40" s="142" t="str">
        <f>'HECVAT - Full'!A45</f>
        <v>COMP-07</v>
      </c>
      <c r="B40" s="330" t="str">
        <f>'HECVAT - Full'!B45</f>
        <v>Use this area to share information about your environment that will assist those who are assessing your company data security program.</v>
      </c>
      <c r="C40" s="330"/>
      <c r="D40" s="331">
        <f>'HECVAT - Full'!C45</f>
        <v>0</v>
      </c>
      <c r="E40" s="331"/>
      <c r="F40" s="331"/>
      <c r="H40" s="158" t="str">
        <f t="shared" si="0"/>
        <v>Please rate the vendor's answer</v>
      </c>
    </row>
    <row r="41" spans="1:8" ht="48" customHeight="1" x14ac:dyDescent="0.2">
      <c r="A41" s="142" t="str">
        <f>'HECVAT - Full'!A68</f>
        <v>APPL-07</v>
      </c>
      <c r="B41" s="330" t="str">
        <f>'HECVAT - Full'!B68</f>
        <v>What operating system(s) is/are leveraged by the system(s)/application(s) that will have access to institution's data?</v>
      </c>
      <c r="C41" s="330"/>
      <c r="D41" s="331">
        <f>'HECVAT - Full'!C68</f>
        <v>0</v>
      </c>
      <c r="E41" s="331"/>
      <c r="F41" s="331"/>
      <c r="H41" s="158" t="str">
        <f t="shared" ref="H41:H65" si="1">IF(G41="","Please rate the vendor's answer","")</f>
        <v>Please rate the vendor's answer</v>
      </c>
    </row>
    <row r="42" spans="1:8" ht="48" customHeight="1" x14ac:dyDescent="0.2">
      <c r="A42" s="142" t="str">
        <f>'HECVAT - Full'!A70</f>
        <v>APPL-09</v>
      </c>
      <c r="B42" s="330" t="str">
        <f>'HECVAT - Full'!B70</f>
        <v xml:space="preserve">Describe or provide a reference to additional software/products necessary to implement a functional system on either the backend or user-interface side of the system. </v>
      </c>
      <c r="C42" s="330"/>
      <c r="D42" s="331">
        <f>'HECVAT - Full'!C70</f>
        <v>0</v>
      </c>
      <c r="E42" s="331"/>
      <c r="F42" s="331"/>
      <c r="H42" s="158" t="str">
        <f t="shared" si="1"/>
        <v>Please rate the vendor's answer</v>
      </c>
    </row>
    <row r="43" spans="1:8" ht="48" customHeight="1" x14ac:dyDescent="0.2">
      <c r="A43" s="142" t="str">
        <f>'HECVAT - Full'!A71</f>
        <v>APPL-10</v>
      </c>
      <c r="B43" s="330" t="str">
        <f>'HECVAT - Full'!B71</f>
        <v xml:space="preserve">Describe or provide a reference to the overall system and/or application architecture(s), including appropriate diagrams. Include a full description of the data communications architecture for all components of the system. </v>
      </c>
      <c r="C43" s="330"/>
      <c r="D43" s="331">
        <f>'HECVAT - Full'!C71</f>
        <v>0</v>
      </c>
      <c r="E43" s="331"/>
      <c r="F43" s="331"/>
      <c r="H43" s="158" t="str">
        <f t="shared" si="1"/>
        <v>Please rate the vendor's answer</v>
      </c>
    </row>
    <row r="44" spans="1:8" ht="48" customHeight="1" x14ac:dyDescent="0.2">
      <c r="A44" s="142" t="str">
        <f>'HECVAT - Full'!A73</f>
        <v>APPL-12</v>
      </c>
      <c r="B44" s="330" t="str">
        <f>'HECVAT - Full'!B73</f>
        <v xml:space="preserve">Describe or provide a reference to all web-enabled features and functionality of the system (i.e. accessed via a web-based interface). </v>
      </c>
      <c r="C44" s="330"/>
      <c r="D44" s="331">
        <f>'HECVAT - Full'!C73</f>
        <v>0</v>
      </c>
      <c r="E44" s="331"/>
      <c r="F44" s="331"/>
      <c r="H44" s="158" t="str">
        <f t="shared" si="1"/>
        <v>Please rate the vendor's answer</v>
      </c>
    </row>
    <row r="45" spans="1:8" ht="48" customHeight="1" x14ac:dyDescent="0.2">
      <c r="A45" s="142" t="str">
        <f>'HECVAT - Full'!A74</f>
        <v>APPL-13</v>
      </c>
      <c r="B45" s="330" t="str">
        <f>'HECVAT - Full'!B74</f>
        <v>Are there any OS and/or web-browser combinations that are not currently supported?</v>
      </c>
      <c r="C45" s="330"/>
      <c r="D45" s="331">
        <f>'HECVAT - Full'!C74</f>
        <v>0</v>
      </c>
      <c r="E45" s="331"/>
      <c r="F45" s="331"/>
      <c r="H45" s="158" t="str">
        <f t="shared" si="1"/>
        <v>Please rate the vendor's answer</v>
      </c>
    </row>
    <row r="46" spans="1:8" ht="48" customHeight="1" x14ac:dyDescent="0.2">
      <c r="A46" s="142" t="str">
        <f>'HECVAT - Full'!A76</f>
        <v>APPL-15</v>
      </c>
      <c r="B46" s="330" t="str">
        <f>'HECVAT - Full'!B76</f>
        <v>Describe or provide a reference to the facilities available in the system to provide separation of duties between security administration and system administration functions.</v>
      </c>
      <c r="C46" s="330"/>
      <c r="D46" s="331">
        <f>'HECVAT - Full'!C76</f>
        <v>0</v>
      </c>
      <c r="E46" s="331"/>
      <c r="F46" s="331"/>
      <c r="H46" s="158" t="str">
        <f t="shared" si="1"/>
        <v>Please rate the vendor's answer</v>
      </c>
    </row>
    <row r="47" spans="1:8" ht="48" customHeight="1" x14ac:dyDescent="0.2">
      <c r="A47" s="142" t="str">
        <f>'HECVAT - Full'!A77</f>
        <v>APPL-16</v>
      </c>
      <c r="B47" s="330" t="str">
        <f>'HECVAT - Full'!B77</f>
        <v>Describe or provide a reference that details how administrator access is handled (e.g. provisioning, principle of least privilege, deprovisioning, etc.)</v>
      </c>
      <c r="C47" s="330"/>
      <c r="D47" s="331">
        <f>'HECVAT - Full'!C77</f>
        <v>0</v>
      </c>
      <c r="E47" s="331"/>
      <c r="F47" s="331"/>
      <c r="H47" s="158" t="str">
        <f t="shared" si="1"/>
        <v>Please rate the vendor's answer</v>
      </c>
    </row>
    <row r="48" spans="1:8" ht="48" customHeight="1" x14ac:dyDescent="0.2">
      <c r="A48" s="142" t="str">
        <f>'HECVAT - Full'!A78</f>
        <v>APPL-17</v>
      </c>
      <c r="B48" s="330" t="str">
        <f>'HECVAT - Full'!B78</f>
        <v>Describe or provide references explaining how tertiary services are redundant (i.e. DNS, ISP, etc.).</v>
      </c>
      <c r="C48" s="330"/>
      <c r="D48" s="331">
        <f>'HECVAT - Full'!C78</f>
        <v>0</v>
      </c>
      <c r="E48" s="331"/>
      <c r="F48" s="331"/>
      <c r="H48" s="158" t="str">
        <f t="shared" si="1"/>
        <v>Please rate the vendor's answer</v>
      </c>
    </row>
    <row r="49" spans="1:8" ht="48" customHeight="1" x14ac:dyDescent="0.2">
      <c r="A49" s="142" t="str">
        <f>'HECVAT - Full'!A95</f>
        <v>AAAI-16</v>
      </c>
      <c r="B49" s="330" t="str">
        <f>'HECVAT - Full'!B95</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49" s="330"/>
      <c r="D49" s="331">
        <f>'HECVAT - Full'!C95</f>
        <v>0</v>
      </c>
      <c r="E49" s="331"/>
      <c r="F49" s="331"/>
      <c r="H49" s="158" t="str">
        <f t="shared" si="1"/>
        <v>Please rate the vendor's answer</v>
      </c>
    </row>
    <row r="50" spans="1:8" ht="48" customHeight="1" x14ac:dyDescent="0.2">
      <c r="A50" s="142" t="str">
        <f>'HECVAT - Full'!A112</f>
        <v>CHNG-02</v>
      </c>
      <c r="B50" s="330" t="str">
        <f>'HECVAT - Full'!B112</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C50" s="330"/>
      <c r="D50" s="331">
        <f>'HECVAT - Full'!C112</f>
        <v>0</v>
      </c>
      <c r="E50" s="331"/>
      <c r="F50" s="331"/>
      <c r="H50" s="158" t="str">
        <f t="shared" si="1"/>
        <v>Please rate the vendor's answer</v>
      </c>
    </row>
    <row r="51" spans="1:8" ht="48" customHeight="1" x14ac:dyDescent="0.2">
      <c r="A51" s="142" t="str">
        <f>'HECVAT - Full'!A115</f>
        <v>CHNG-05</v>
      </c>
      <c r="B51" s="330" t="str">
        <f>'HECVAT - Full'!B115</f>
        <v>Describe or provide a reference to your solution support strategy in relation to maintaining software currency. (i.e. how many concurrent versions are you willing to run and support?)</v>
      </c>
      <c r="C51" s="330"/>
      <c r="D51" s="331">
        <f>'HECVAT - Full'!C115</f>
        <v>0</v>
      </c>
      <c r="E51" s="331"/>
      <c r="F51" s="331"/>
      <c r="H51" s="158" t="str">
        <f t="shared" si="1"/>
        <v>Please rate the vendor's answer</v>
      </c>
    </row>
    <row r="52" spans="1:8" ht="48" customHeight="1" x14ac:dyDescent="0.2">
      <c r="A52" s="142" t="str">
        <f>'HECVAT - Full'!A116</f>
        <v>CHNG-06</v>
      </c>
      <c r="B52" s="330" t="str">
        <f>'HECVAT - Full'!B116</f>
        <v>Identify the most current version of the software. Detail the percentage of live customers that are utilizing the proposed version of the software as well as each version of the software currently in use.</v>
      </c>
      <c r="C52" s="330"/>
      <c r="D52" s="331">
        <f>'HECVAT - Full'!C116</f>
        <v>0</v>
      </c>
      <c r="E52" s="331"/>
      <c r="F52" s="331"/>
      <c r="H52" s="158" t="str">
        <f t="shared" si="1"/>
        <v>Please rate the vendor's answer</v>
      </c>
    </row>
    <row r="53" spans="1:8" ht="48" customHeight="1" x14ac:dyDescent="0.2">
      <c r="A53" s="142" t="str">
        <f>'HECVAT - Full'!A117</f>
        <v>CHNG-07</v>
      </c>
      <c r="B53" s="330" t="str">
        <f>'HECVAT - Full'!B117</f>
        <v>Does the system support client customizations from one release to another?</v>
      </c>
      <c r="C53" s="330"/>
      <c r="D53" s="331">
        <f>'HECVAT - Full'!C117</f>
        <v>0</v>
      </c>
      <c r="E53" s="331"/>
      <c r="F53" s="331"/>
      <c r="H53" s="158" t="str">
        <f t="shared" si="1"/>
        <v>Please rate the vendor's answer</v>
      </c>
    </row>
    <row r="54" spans="1:8" ht="48" customHeight="1" x14ac:dyDescent="0.2">
      <c r="A54" s="142" t="str">
        <f>'HECVAT - Full'!A133</f>
        <v>DATA-07</v>
      </c>
      <c r="B54" s="330" t="str">
        <f>'HECVAT - Full'!B133</f>
        <v>List all locations (i.e. city + datacenter name) where the institution's data will be stored?</v>
      </c>
      <c r="C54" s="330"/>
      <c r="D54" s="331">
        <f>'HECVAT - Full'!C133</f>
        <v>0</v>
      </c>
      <c r="E54" s="331"/>
      <c r="F54" s="331"/>
      <c r="H54" s="158" t="str">
        <f t="shared" si="1"/>
        <v>Please rate the vendor's answer</v>
      </c>
    </row>
    <row r="55" spans="1:8" ht="48" customHeight="1" x14ac:dyDescent="0.2">
      <c r="A55" s="142" t="str">
        <f>'HECVAT - Full'!A140</f>
        <v>DATA-14</v>
      </c>
      <c r="B55" s="330" t="str">
        <f>'HECVAT - Full'!B140</f>
        <v xml:space="preserve">Describe or provide a reference to the backup processes for the servers on which the service and/or data resides. </v>
      </c>
      <c r="C55" s="330"/>
      <c r="D55" s="331">
        <f>'HECVAT - Full'!C140</f>
        <v>0</v>
      </c>
      <c r="E55" s="331"/>
      <c r="F55" s="331"/>
      <c r="H55" s="158" t="str">
        <f t="shared" si="1"/>
        <v>Please rate the vendor's answer</v>
      </c>
    </row>
    <row r="56" spans="1:8" ht="48" customHeight="1" x14ac:dyDescent="0.2">
      <c r="A56" s="142" t="str">
        <f>'HECVAT - Full'!A142</f>
        <v>DATA-16</v>
      </c>
      <c r="B56" s="330" t="str">
        <f>'HECVAT - Full'!B142</f>
        <v>How long are data backups stored?</v>
      </c>
      <c r="C56" s="330"/>
      <c r="D56" s="331">
        <f>'HECVAT - Full'!C142</f>
        <v>0</v>
      </c>
      <c r="E56" s="331"/>
      <c r="F56" s="331"/>
      <c r="H56" s="158" t="str">
        <f t="shared" si="1"/>
        <v>Please rate the vendor's answer</v>
      </c>
    </row>
    <row r="57" spans="1:8" ht="48" customHeight="1" x14ac:dyDescent="0.2">
      <c r="A57" s="142" t="str">
        <f>'HECVAT - Full'!A165</f>
        <v>DCTR-07</v>
      </c>
      <c r="B57" s="330" t="str">
        <f>'HECVAT - Full'!B165</f>
        <v>Select the option that best describes the network segment that servers are connected to.</v>
      </c>
      <c r="C57" s="330"/>
      <c r="D57" s="331">
        <f>'HECVAT - Full'!C165</f>
        <v>0</v>
      </c>
      <c r="E57" s="331"/>
      <c r="F57" s="331"/>
      <c r="H57" s="158" t="str">
        <f t="shared" si="1"/>
        <v>Please rate the vendor's answer</v>
      </c>
    </row>
    <row r="58" spans="1:8" ht="48" customHeight="1" x14ac:dyDescent="0.2">
      <c r="A58" s="142" t="str">
        <f>'HECVAT - Full'!A168</f>
        <v>DCTR-10</v>
      </c>
      <c r="B58" s="330" t="str">
        <f>'HECVAT - Full'!B168</f>
        <v xml:space="preserve">List all datacenters and the cities, states (provinces), and countries where the Institution's data will be stored (including within the Institution's Data Zone).   </v>
      </c>
      <c r="C58" s="330"/>
      <c r="D58" s="331">
        <f>'HECVAT - Full'!C168</f>
        <v>0</v>
      </c>
      <c r="E58" s="331"/>
      <c r="F58" s="331"/>
      <c r="H58" s="158" t="str">
        <f t="shared" si="1"/>
        <v>Please rate the vendor's answer</v>
      </c>
    </row>
    <row r="59" spans="1:8" ht="48" customHeight="1" x14ac:dyDescent="0.2">
      <c r="A59" s="142" t="str">
        <f>'HECVAT - Full'!A171</f>
        <v>DCTR-13</v>
      </c>
      <c r="B59" s="330" t="str">
        <f>'HECVAT - Full'!B171</f>
        <v>What Tier Level is your data center (per levels defined by the Uptime Institute)?</v>
      </c>
      <c r="C59" s="330"/>
      <c r="D59" s="331">
        <f>'HECVAT - Full'!C171</f>
        <v>0</v>
      </c>
      <c r="E59" s="331"/>
      <c r="F59" s="331"/>
      <c r="H59" s="158" t="str">
        <f t="shared" si="1"/>
        <v>Please rate the vendor's answer</v>
      </c>
    </row>
    <row r="60" spans="1:8" ht="48" customHeight="1" x14ac:dyDescent="0.2">
      <c r="A60" s="142" t="str">
        <f>'HECVAT - Full'!A175</f>
        <v>DCTR-17</v>
      </c>
      <c r="B60" s="330" t="str">
        <f>'HECVAT - Full'!B175</f>
        <v>Describe or provide a reference to the availability of cooling and fire suppression systems in all datacenters where institution data will reside.</v>
      </c>
      <c r="C60" s="330"/>
      <c r="D60" s="331">
        <f>'HECVAT - Full'!C175</f>
        <v>0</v>
      </c>
      <c r="E60" s="331"/>
      <c r="F60" s="331"/>
      <c r="H60" s="158" t="str">
        <f t="shared" si="1"/>
        <v>Please rate the vendor's answer</v>
      </c>
    </row>
    <row r="61" spans="1:8" ht="48" customHeight="1" x14ac:dyDescent="0.2">
      <c r="A61" s="142" t="str">
        <f>'HECVAT - Full'!A176</f>
        <v>DCTR-18</v>
      </c>
      <c r="B61" s="330" t="str">
        <f>'HECVAT - Full'!B176</f>
        <v xml:space="preserve">State how many Internet Service Providers (ISPs) provide connectivity to each datacenter where the institution's data will reside. </v>
      </c>
      <c r="C61" s="330"/>
      <c r="D61" s="331">
        <f>'HECVAT - Full'!C176</f>
        <v>0</v>
      </c>
      <c r="E61" s="331"/>
      <c r="F61" s="331"/>
      <c r="H61" s="158" t="str">
        <f t="shared" si="1"/>
        <v>Please rate the vendor's answer</v>
      </c>
    </row>
    <row r="62" spans="1:8" ht="48" customHeight="1" x14ac:dyDescent="0.2">
      <c r="A62" s="142" t="str">
        <f>'HECVAT - Full'!A195</f>
        <v>FIDP-03</v>
      </c>
      <c r="B62" s="330" t="str">
        <f>'HECVAT - Full'!B195</f>
        <v>State and describe who has the authority to change firewall rules?</v>
      </c>
      <c r="C62" s="330"/>
      <c r="D62" s="331">
        <f>'HECVAT - Full'!C195</f>
        <v>0</v>
      </c>
      <c r="E62" s="331"/>
      <c r="F62" s="331"/>
      <c r="H62" s="158" t="str">
        <f t="shared" si="1"/>
        <v>Please rate the vendor's answer</v>
      </c>
    </row>
    <row r="63" spans="1:8" ht="48" customHeight="1" x14ac:dyDescent="0.2">
      <c r="A63" s="142" t="str">
        <f>'HECVAT - Full'!A203</f>
        <v>FIDP-11</v>
      </c>
      <c r="B63" s="330" t="str">
        <f>'HECVAT - Full'!B203</f>
        <v>Is intrusion monitoring performed internally or by a third-party service?</v>
      </c>
      <c r="C63" s="330"/>
      <c r="D63" s="331">
        <f>'HECVAT - Full'!C203</f>
        <v>0</v>
      </c>
      <c r="E63" s="331"/>
      <c r="F63" s="331"/>
      <c r="H63" s="158" t="str">
        <f t="shared" si="1"/>
        <v>Please rate the vendor's answer</v>
      </c>
    </row>
    <row r="64" spans="1:8" ht="48" customHeight="1" x14ac:dyDescent="0.2">
      <c r="A64" s="142" t="str">
        <f>'HECVAT - Full'!A248</f>
        <v>QLAS-01</v>
      </c>
      <c r="B64" s="331" t="str">
        <f>'HECVAT - Full'!B248</f>
        <v>Provide a general summary of your Quality Assurance program.</v>
      </c>
      <c r="C64" s="331"/>
      <c r="D64" s="331">
        <f>'HECVAT - Full'!C248</f>
        <v>0</v>
      </c>
      <c r="E64" s="331"/>
      <c r="F64" s="331"/>
      <c r="H64" s="158" t="str">
        <f t="shared" si="1"/>
        <v>Please rate the vendor's answer</v>
      </c>
    </row>
    <row r="65" spans="1:8" ht="48" customHeight="1" x14ac:dyDescent="0.2">
      <c r="A65" s="142" t="str">
        <f>'HECVAT - Full'!A264</f>
        <v>VULN-06</v>
      </c>
      <c r="B65" s="331" t="str">
        <f>'HECVAT - Full'!B264</f>
        <v>Describe or provide a reference to the tool(s) used to scan for vulnerabilities in your applications and systems.</v>
      </c>
      <c r="C65" s="331"/>
      <c r="D65" s="331">
        <f>'HECVAT - Full'!C264</f>
        <v>0</v>
      </c>
      <c r="E65" s="331"/>
      <c r="F65" s="331"/>
      <c r="H65" s="158" t="str">
        <f t="shared" si="1"/>
        <v>Please rate the vendor's answer</v>
      </c>
    </row>
    <row r="66" spans="1:8" ht="48" customHeight="1" x14ac:dyDescent="0.2">
      <c r="A66" s="142" t="str">
        <f>'HECVAT - Full'!A266</f>
        <v>VULN-08</v>
      </c>
      <c r="B66" s="331" t="str">
        <f>'HECVAT - Full'!B266</f>
        <v>Describe or provide a reference to how you monitor for and protect against common web application security vulnerabilities (e.g. SQL injection, XSS, XSRF, etc.).</v>
      </c>
      <c r="C66" s="331"/>
      <c r="D66" s="331">
        <f>'HECVAT - Full'!C266</f>
        <v>0</v>
      </c>
      <c r="E66" s="331"/>
      <c r="F66" s="331"/>
      <c r="H66" s="158" t="str">
        <f>IF(G66="","Please rate the vendor's answer","")</f>
        <v>Please rate the vendor's answer</v>
      </c>
    </row>
    <row r="67" spans="1:8" ht="48" customHeight="1" x14ac:dyDescent="0.2">
      <c r="A67" s="159" t="s">
        <v>2094</v>
      </c>
      <c r="B67" s="160">
        <f>'HECVAT - Full'!C24</f>
        <v>0</v>
      </c>
      <c r="C67" s="161"/>
      <c r="D67" s="161"/>
      <c r="E67" s="161"/>
      <c r="F67" s="161"/>
      <c r="G67" s="159" t="s">
        <v>2065</v>
      </c>
    </row>
    <row r="68" spans="1:8" ht="48" customHeight="1" x14ac:dyDescent="0.2">
      <c r="A68" s="142" t="str">
        <f>'HECVAT - Full'!A291</f>
        <v>HIPA-23</v>
      </c>
      <c r="B68" s="331" t="str">
        <f>'HECVAT - Full'!B291</f>
        <v>How long does the application keep access/change logs?</v>
      </c>
      <c r="C68" s="331"/>
      <c r="D68" s="331">
        <f>'HECVAT - Full'!C291</f>
        <v>0</v>
      </c>
      <c r="E68" s="331"/>
      <c r="F68" s="331"/>
      <c r="H68" s="158" t="str">
        <f>IF(G68="",IF(B67=1,"Please rate the vendor's answer",""),"")</f>
        <v/>
      </c>
    </row>
    <row r="69" spans="1:8" ht="48" customHeight="1" x14ac:dyDescent="0.2">
      <c r="A69" s="159" t="s">
        <v>2090</v>
      </c>
      <c r="B69" s="159">
        <f>'HECVAT - Full'!C25</f>
        <v>0</v>
      </c>
      <c r="C69" s="159"/>
      <c r="D69" s="161"/>
      <c r="E69" s="161"/>
      <c r="F69" s="161"/>
      <c r="G69" s="159" t="s">
        <v>2065</v>
      </c>
    </row>
    <row r="70" spans="1:8" ht="48" customHeight="1" x14ac:dyDescent="0.2">
      <c r="A70" s="142" t="str">
        <f>'HECVAT - Full'!A206</f>
        <v>MAPP-01</v>
      </c>
      <c r="B70" s="330" t="str">
        <f>'HECVAT - Full'!B206</f>
        <v>On which mobile operating systems is your software or service supported?</v>
      </c>
      <c r="C70" s="330"/>
      <c r="D70" s="331">
        <f>'HECVAT - Full'!C206</f>
        <v>0</v>
      </c>
      <c r="E70" s="331"/>
      <c r="F70" s="331"/>
      <c r="H70" s="158" t="str">
        <f t="shared" ref="H70:H71" si="2">IF(G70="",IF(B$69=1,"Please rate the vendor's answer",""),"")</f>
        <v/>
      </c>
    </row>
    <row r="71" spans="1:8" ht="48" customHeight="1" x14ac:dyDescent="0.2">
      <c r="A71" s="142" t="str">
        <f>'HECVAT - Full'!A207</f>
        <v>MAPP-02</v>
      </c>
      <c r="B71" s="330" t="str">
        <f>'HECVAT - Full'!B207</f>
        <v>Describe or provide a reference to the application's architecture and functionality.</v>
      </c>
      <c r="C71" s="330"/>
      <c r="D71" s="331">
        <f>'HECVAT - Full'!C207</f>
        <v>0</v>
      </c>
      <c r="E71" s="331"/>
      <c r="F71" s="331"/>
      <c r="H71" s="158" t="str">
        <f t="shared" si="2"/>
        <v/>
      </c>
    </row>
    <row r="72" spans="1:8" ht="48" customHeight="1" x14ac:dyDescent="0.2">
      <c r="A72" s="142" t="str">
        <f>'HECVAT - Full'!A213</f>
        <v>MAPP-08</v>
      </c>
      <c r="B72" s="330" t="str">
        <f>'HECVAT - Full'!B213</f>
        <v>Will any of these systems be implemented on systems hosting the Institution's data?</v>
      </c>
      <c r="C72" s="330"/>
      <c r="D72" s="331">
        <f>'HECVAT - Full'!C213</f>
        <v>0</v>
      </c>
      <c r="E72" s="331"/>
      <c r="F72" s="331"/>
      <c r="H72" s="158"/>
    </row>
    <row r="73" spans="1:8" ht="48" customHeight="1" x14ac:dyDescent="0.2">
      <c r="A73" s="142" t="str">
        <f>'HECVAT - Full'!A216</f>
        <v>MAPP-11</v>
      </c>
      <c r="B73" s="330" t="str">
        <f>'HECVAT - Full'!B216</f>
        <v>State the party that performed the vulnerability test and the date it was conducted?</v>
      </c>
      <c r="C73" s="330"/>
      <c r="D73" s="331">
        <f>'HECVAT - Full'!C216</f>
        <v>0</v>
      </c>
      <c r="E73" s="331"/>
      <c r="F73" s="331"/>
      <c r="H73" s="158" t="str">
        <f>IF(G73="",IF(B$69=1,"Please rate the vendor's answer",""),"")</f>
        <v/>
      </c>
    </row>
    <row r="74" spans="1:8" ht="48" customHeight="1" x14ac:dyDescent="0.2">
      <c r="A74" s="159" t="s">
        <v>2091</v>
      </c>
      <c r="B74" s="159">
        <f>'HECVAT - Full'!C26</f>
        <v>0</v>
      </c>
      <c r="C74" s="159"/>
      <c r="D74" s="161"/>
      <c r="E74" s="161"/>
      <c r="F74" s="161"/>
      <c r="G74" s="159" t="s">
        <v>2065</v>
      </c>
    </row>
    <row r="75" spans="1:8" ht="48" customHeight="1" x14ac:dyDescent="0.2">
      <c r="A75" s="142" t="str">
        <f>'HECVAT - Full'!A47</f>
        <v>THRD-01</v>
      </c>
      <c r="B75" s="330" t="str">
        <f>'HECVAT - Full'!B47</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C75" s="330"/>
      <c r="D75" s="331">
        <f>'HECVAT - Full'!C47</f>
        <v>0</v>
      </c>
      <c r="E75" s="331"/>
      <c r="F75" s="331"/>
      <c r="H75" s="158" t="str">
        <f t="shared" ref="H75" si="3">IF(G75="",IF(B$74=1,"Please rate the vendor's answer",""),"")</f>
        <v/>
      </c>
    </row>
    <row r="76" spans="1:8" ht="48" customHeight="1" x14ac:dyDescent="0.2">
      <c r="A76" s="142" t="str">
        <f>'HECVAT - Full'!A48</f>
        <v>THRD-02</v>
      </c>
      <c r="B76" s="330" t="str">
        <f>'HECVAT - Full'!B48</f>
        <v>Provide a brief description for why each of these third parties will have access to institution data.</v>
      </c>
      <c r="C76" s="330"/>
      <c r="D76" s="331">
        <f>'HECVAT - Full'!C48</f>
        <v>0</v>
      </c>
      <c r="E76" s="331"/>
      <c r="F76" s="331"/>
      <c r="H76" s="158" t="str">
        <f>IF(G76="",IF(B$74=1,"Please rate the vendor's answer",""),"")</f>
        <v/>
      </c>
    </row>
    <row r="77" spans="1:8" ht="48" customHeight="1" x14ac:dyDescent="0.2">
      <c r="A77" s="142" t="str">
        <f>'HECVAT - Full'!A49</f>
        <v>THRD-03</v>
      </c>
      <c r="B77" s="330" t="str">
        <f>'HECVAT - Full'!B49</f>
        <v>What legal agreements (i.e. contracts) do you have in place with these third parties that address liability in the event of a data breach?</v>
      </c>
      <c r="C77" s="330"/>
      <c r="D77" s="331">
        <f>'HECVAT - Full'!C49</f>
        <v>0</v>
      </c>
      <c r="E77" s="331"/>
      <c r="F77" s="331"/>
      <c r="H77" s="158" t="str">
        <f t="shared" ref="H77:H78" si="4">IF(G77="",IF(B$74=1,"Please rate the vendor's answer",""),"")</f>
        <v/>
      </c>
    </row>
    <row r="78" spans="1:8" ht="48" customHeight="1" x14ac:dyDescent="0.2">
      <c r="A78" s="142" t="str">
        <f>'HECVAT - Full'!A50</f>
        <v>THRD-04</v>
      </c>
      <c r="B78" s="330" t="str">
        <f>'HECVAT - Full'!B50</f>
        <v>Describe or provide references to your third party management strategy or provide additional information that may help analysts better understand your environment and how it relates to third-party solutions.</v>
      </c>
      <c r="C78" s="330"/>
      <c r="D78" s="331">
        <f>'HECVAT - Full'!C50</f>
        <v>0</v>
      </c>
      <c r="E78" s="331"/>
      <c r="F78" s="331"/>
      <c r="H78" s="158" t="str">
        <f t="shared" si="4"/>
        <v/>
      </c>
    </row>
    <row r="79" spans="1:8" ht="48" customHeight="1" x14ac:dyDescent="0.2">
      <c r="A79" s="159" t="s">
        <v>2092</v>
      </c>
      <c r="B79" s="159">
        <f>'HECVAT - Full'!C27</f>
        <v>0</v>
      </c>
      <c r="C79" s="159"/>
      <c r="D79" s="161"/>
      <c r="E79" s="161"/>
      <c r="F79" s="161"/>
      <c r="G79" s="159" t="s">
        <v>2065</v>
      </c>
    </row>
    <row r="80" spans="1:8" ht="48" customHeight="1" x14ac:dyDescent="0.2">
      <c r="A80" s="142" t="str">
        <f>'HECVAT - Full'!A98</f>
        <v>BCPL-01</v>
      </c>
      <c r="B80" s="330" t="str">
        <f>'HECVAT - Full'!B98</f>
        <v>Describe or provide a reference to your Business Continuity Plan (BCP).</v>
      </c>
      <c r="C80" s="330"/>
      <c r="D80" s="331">
        <f>'HECVAT - Full'!C98</f>
        <v>0</v>
      </c>
      <c r="E80" s="331"/>
      <c r="F80" s="331"/>
      <c r="H80" s="158" t="str">
        <f>IF(G80="",IF(B$79=1,"Please rate the vendor's answer",""),"")</f>
        <v/>
      </c>
    </row>
    <row r="81" spans="1:8" ht="48" customHeight="1" x14ac:dyDescent="0.2">
      <c r="A81" s="159" t="s">
        <v>2095</v>
      </c>
      <c r="B81" s="159">
        <f>'HECVAT - Full'!C30</f>
        <v>0</v>
      </c>
      <c r="C81" s="159"/>
      <c r="D81" s="161"/>
      <c r="E81" s="161"/>
      <c r="F81" s="161"/>
      <c r="G81" s="159" t="s">
        <v>2065</v>
      </c>
    </row>
    <row r="82" spans="1:8" ht="48" customHeight="1" x14ac:dyDescent="0.2">
      <c r="A82" s="142" t="str">
        <f>'HECVAT - Full'!A179</f>
        <v>DRPL-01</v>
      </c>
      <c r="B82" s="330" t="str">
        <f>'HECVAT - Full'!B179</f>
        <v>Describe or provide a reference to your Disaster Recovery Plan (DRP).</v>
      </c>
      <c r="C82" s="330"/>
      <c r="D82" s="331">
        <f>'HECVAT - Full'!C179</f>
        <v>0</v>
      </c>
      <c r="E82" s="331"/>
      <c r="F82" s="331"/>
      <c r="H82" s="158" t="str">
        <f>IF(G82="",IF(B$81=1,"Please rate the vendor's answer",""),"")</f>
        <v/>
      </c>
    </row>
    <row r="83" spans="1:8" ht="48" customHeight="1" x14ac:dyDescent="0.2">
      <c r="A83" s="142" t="str">
        <f>'HECVAT - Full'!A187</f>
        <v>DRPL-09</v>
      </c>
      <c r="B83" s="330" t="str">
        <f>'HECVAT - Full'!B187</f>
        <v>Describe or provide a reference to how your disaster recovery plan is tested? (i.e. scope of DR tests, end-to-end testing, etc.)</v>
      </c>
      <c r="C83" s="330"/>
      <c r="D83" s="331">
        <f>'HECVAT - Full'!C187</f>
        <v>0</v>
      </c>
      <c r="E83" s="331"/>
      <c r="F83" s="331"/>
      <c r="H83" s="158" t="str">
        <f>IF(G83="",IF(B$81=1,"Please rate the vendor's answer",""),"")</f>
        <v/>
      </c>
    </row>
    <row r="84" spans="1:8" ht="48" customHeight="1" x14ac:dyDescent="0.2">
      <c r="A84" s="159" t="s">
        <v>2093</v>
      </c>
      <c r="B84" s="159">
        <f>'HECVAT - Full'!C29</f>
        <v>0</v>
      </c>
      <c r="C84" s="159"/>
      <c r="D84" s="161"/>
      <c r="E84" s="161"/>
      <c r="F84" s="161"/>
      <c r="G84" s="159" t="s">
        <v>2065</v>
      </c>
    </row>
    <row r="85" spans="1:8" ht="48" customHeight="1" x14ac:dyDescent="0.2">
      <c r="A85" s="142" t="str">
        <f>'HECVAT - Full'!A306</f>
        <v>PCID-06</v>
      </c>
      <c r="B85" s="330" t="str">
        <f>'HECVAT - Full'!B306</f>
        <v>Are you classified as a merchant?  If so, what level (1, 2, 3, 4)?</v>
      </c>
      <c r="C85" s="330"/>
      <c r="D85" s="331">
        <f>'HECVAT - Full'!C306</f>
        <v>0</v>
      </c>
      <c r="E85" s="331"/>
      <c r="F85" s="331"/>
      <c r="H85" s="158" t="str">
        <f>IF(G85="",IF(B$84=1,"Please rate the vendor's answer",""),"")</f>
        <v/>
      </c>
    </row>
    <row r="86" spans="1:8" ht="48" customHeight="1" x14ac:dyDescent="0.2">
      <c r="A86" s="142" t="str">
        <f>'HECVAT - Full'!A307</f>
        <v>PCID-07</v>
      </c>
      <c r="B86" s="330" t="str">
        <f>'HECVAT - Full'!B307</f>
        <v>Describe the architecture employed by the system to verify and authorize credit card transactions.</v>
      </c>
      <c r="C86" s="330"/>
      <c r="D86" s="331">
        <f>'HECVAT - Full'!C307</f>
        <v>0</v>
      </c>
      <c r="E86" s="331"/>
      <c r="F86" s="331"/>
      <c r="H86" s="158" t="str">
        <f t="shared" ref="H86:H88" si="5">IF(G86="",IF(B$84=1,"Please rate the vendor's answer",""),"")</f>
        <v/>
      </c>
    </row>
    <row r="87" spans="1:8" ht="48" customHeight="1" x14ac:dyDescent="0.2">
      <c r="A87" s="142" t="str">
        <f>'HECVAT - Full'!A308</f>
        <v>PCID-08</v>
      </c>
      <c r="B87" s="330" t="str">
        <f>'HECVAT - Full'!B308</f>
        <v xml:space="preserve">What payment processors/gateways does the system support? </v>
      </c>
      <c r="C87" s="330"/>
      <c r="D87" s="331">
        <f>'HECVAT - Full'!C308</f>
        <v>0</v>
      </c>
      <c r="E87" s="331"/>
      <c r="F87" s="331"/>
      <c r="H87" s="158" t="str">
        <f t="shared" si="5"/>
        <v/>
      </c>
    </row>
    <row r="88" spans="1:8" ht="48" customHeight="1" x14ac:dyDescent="0.2">
      <c r="A88" s="142" t="str">
        <f>'HECVAT - Full'!A312</f>
        <v>PCID-12</v>
      </c>
      <c r="B88" s="330" t="str">
        <f>'HECVAT - Full'!B312</f>
        <v xml:space="preserve">Include documentation describing the systems' abilities to comply with the PCI DSS and any features or capabilities of the system that must be added or changed in order to operate in compliance with the standards. </v>
      </c>
      <c r="C88" s="330"/>
      <c r="D88" s="331">
        <f>'HECVAT - Full'!C312</f>
        <v>0</v>
      </c>
      <c r="E88" s="331"/>
      <c r="F88" s="331"/>
      <c r="H88" s="158" t="str">
        <f t="shared" si="5"/>
        <v/>
      </c>
    </row>
    <row r="89" spans="1:8" ht="48" customHeight="1" x14ac:dyDescent="0.2"/>
    <row r="90" spans="1:8" ht="48" customHeight="1" x14ac:dyDescent="0.2"/>
    <row r="91" spans="1:8" ht="48" customHeight="1" x14ac:dyDescent="0.2"/>
    <row r="92" spans="1:8" ht="48" customHeight="1" x14ac:dyDescent="0.2"/>
    <row r="93" spans="1:8" ht="48" customHeight="1" x14ac:dyDescent="0.2"/>
    <row r="94" spans="1:8" ht="48" customHeight="1" x14ac:dyDescent="0.2"/>
    <row r="95" spans="1:8" ht="48" customHeight="1" x14ac:dyDescent="0.2"/>
    <row r="96" spans="1:8" ht="48" customHeight="1" x14ac:dyDescent="0.2"/>
    <row r="97" ht="48" customHeight="1" x14ac:dyDescent="0.2"/>
    <row r="98" ht="48" customHeight="1" x14ac:dyDescent="0.2"/>
    <row r="99" ht="48" customHeight="1" x14ac:dyDescent="0.2"/>
    <row r="100" ht="48" customHeight="1" x14ac:dyDescent="0.2"/>
    <row r="101" ht="48" customHeight="1" x14ac:dyDescent="0.2"/>
    <row r="102" ht="48" customHeight="1" x14ac:dyDescent="0.2"/>
    <row r="103" ht="48" customHeight="1" x14ac:dyDescent="0.2"/>
    <row r="104" ht="48" customHeight="1" x14ac:dyDescent="0.2"/>
    <row r="105" ht="48" customHeight="1" x14ac:dyDescent="0.2"/>
    <row r="106" ht="48" customHeight="1" x14ac:dyDescent="0.2"/>
    <row r="107" ht="48" customHeight="1" x14ac:dyDescent="0.2"/>
    <row r="108" ht="48" customHeight="1" x14ac:dyDescent="0.2"/>
    <row r="109" ht="48" customHeight="1" x14ac:dyDescent="0.2"/>
    <row r="110" ht="48" customHeight="1" x14ac:dyDescent="0.2"/>
    <row r="111" ht="48" customHeight="1" x14ac:dyDescent="0.2"/>
    <row r="112" ht="48" customHeight="1" x14ac:dyDescent="0.2"/>
    <row r="113" ht="48" customHeight="1" x14ac:dyDescent="0.2"/>
    <row r="114" ht="48" customHeight="1" x14ac:dyDescent="0.2"/>
    <row r="115" ht="48" customHeight="1" x14ac:dyDescent="0.2"/>
    <row r="116" ht="48" customHeight="1" x14ac:dyDescent="0.2"/>
    <row r="117" ht="48" customHeight="1" x14ac:dyDescent="0.2"/>
    <row r="118" ht="48" customHeight="1" x14ac:dyDescent="0.2"/>
    <row r="119" ht="48" customHeight="1" x14ac:dyDescent="0.2"/>
    <row r="120" ht="48" customHeight="1" x14ac:dyDescent="0.2"/>
    <row r="121" ht="48" customHeight="1" x14ac:dyDescent="0.2"/>
    <row r="122" ht="48" customHeight="1" x14ac:dyDescent="0.2"/>
    <row r="123" ht="48" customHeight="1" x14ac:dyDescent="0.2"/>
    <row r="124" ht="48" customHeight="1" x14ac:dyDescent="0.2"/>
    <row r="125" ht="48" customHeight="1" x14ac:dyDescent="0.2"/>
    <row r="126" ht="48" customHeight="1" x14ac:dyDescent="0.2"/>
    <row r="127" ht="48" customHeight="1" x14ac:dyDescent="0.2"/>
    <row r="128" ht="48" customHeight="1" x14ac:dyDescent="0.2"/>
    <row r="129" ht="48" customHeight="1" x14ac:dyDescent="0.2"/>
    <row r="130" ht="48" customHeight="1" x14ac:dyDescent="0.2"/>
    <row r="131" ht="48" customHeight="1" x14ac:dyDescent="0.2"/>
    <row r="132" ht="48" customHeight="1" x14ac:dyDescent="0.2"/>
    <row r="133" ht="48" customHeight="1" x14ac:dyDescent="0.2"/>
    <row r="134" ht="48" customHeight="1" x14ac:dyDescent="0.2"/>
    <row r="135" ht="48" customHeight="1" x14ac:dyDescent="0.2"/>
    <row r="136" ht="48" customHeight="1" x14ac:dyDescent="0.2"/>
    <row r="137" ht="48" customHeight="1" x14ac:dyDescent="0.2"/>
    <row r="138" ht="48" customHeight="1" x14ac:dyDescent="0.2"/>
    <row r="139" ht="48" customHeight="1" x14ac:dyDescent="0.2"/>
    <row r="140" ht="48" customHeight="1" x14ac:dyDescent="0.2"/>
    <row r="141" ht="48" customHeight="1" x14ac:dyDescent="0.2"/>
    <row r="142" ht="48" customHeight="1" x14ac:dyDescent="0.2"/>
    <row r="143" ht="48" customHeight="1" x14ac:dyDescent="0.2"/>
    <row r="144" ht="48" customHeight="1" x14ac:dyDescent="0.2"/>
    <row r="145" ht="48" customHeight="1" x14ac:dyDescent="0.2"/>
    <row r="146" ht="48" customHeight="1" x14ac:dyDescent="0.2"/>
    <row r="147" ht="48" customHeight="1" x14ac:dyDescent="0.2"/>
    <row r="148" ht="48" customHeight="1" x14ac:dyDescent="0.2"/>
    <row r="149" ht="48" customHeight="1" x14ac:dyDescent="0.2"/>
    <row r="150" ht="48" customHeight="1" x14ac:dyDescent="0.2"/>
    <row r="151" ht="48" customHeight="1" x14ac:dyDescent="0.2"/>
    <row r="152" ht="48" customHeight="1" x14ac:dyDescent="0.2"/>
    <row r="153" ht="48" customHeight="1" x14ac:dyDescent="0.2"/>
    <row r="154" ht="48" customHeight="1" x14ac:dyDescent="0.2"/>
    <row r="155" ht="48" customHeight="1" x14ac:dyDescent="0.2"/>
    <row r="156" ht="48" customHeight="1" x14ac:dyDescent="0.2"/>
    <row r="157" ht="48" customHeight="1" x14ac:dyDescent="0.2"/>
    <row r="158" ht="48" customHeight="1" x14ac:dyDescent="0.2"/>
    <row r="159" ht="48" customHeight="1" x14ac:dyDescent="0.2"/>
    <row r="160" ht="48" customHeight="1" x14ac:dyDescent="0.2"/>
    <row r="161" ht="48" customHeight="1" x14ac:dyDescent="0.2"/>
    <row r="162" ht="48" customHeight="1" x14ac:dyDescent="0.2"/>
    <row r="163" ht="48" customHeight="1" x14ac:dyDescent="0.2"/>
    <row r="164" ht="48" customHeight="1" x14ac:dyDescent="0.2"/>
    <row r="165" ht="48" customHeight="1" x14ac:dyDescent="0.2"/>
    <row r="166" ht="48" customHeight="1" x14ac:dyDescent="0.2"/>
    <row r="167" ht="48" customHeight="1" x14ac:dyDescent="0.2"/>
    <row r="168" ht="48" customHeight="1" x14ac:dyDescent="0.2"/>
    <row r="169" ht="48" customHeight="1" x14ac:dyDescent="0.2"/>
    <row r="170" ht="48" customHeight="1" x14ac:dyDescent="0.2"/>
    <row r="171" ht="48" customHeight="1" x14ac:dyDescent="0.2"/>
    <row r="172" ht="48" customHeight="1" x14ac:dyDescent="0.2"/>
    <row r="173" ht="48" customHeight="1" x14ac:dyDescent="0.2"/>
    <row r="174" ht="48" customHeight="1" x14ac:dyDescent="0.2"/>
    <row r="175" ht="48" customHeight="1" x14ac:dyDescent="0.2"/>
    <row r="176" ht="48" customHeight="1" x14ac:dyDescent="0.2"/>
    <row r="177" ht="48" customHeight="1" x14ac:dyDescent="0.2"/>
    <row r="178" ht="48" customHeight="1" x14ac:dyDescent="0.2"/>
    <row r="179" ht="48" customHeight="1" x14ac:dyDescent="0.2"/>
    <row r="180" ht="48" customHeight="1" x14ac:dyDescent="0.2"/>
    <row r="181" ht="48" customHeight="1" x14ac:dyDescent="0.2"/>
    <row r="182" ht="48" customHeight="1" x14ac:dyDescent="0.2"/>
    <row r="183" ht="48" customHeight="1" x14ac:dyDescent="0.2"/>
    <row r="184" ht="48" customHeight="1" x14ac:dyDescent="0.2"/>
    <row r="185" ht="48" customHeight="1" x14ac:dyDescent="0.2"/>
    <row r="186" ht="48" customHeight="1" x14ac:dyDescent="0.2"/>
    <row r="187" ht="48" customHeight="1" x14ac:dyDescent="0.2"/>
    <row r="188" ht="48" customHeight="1" x14ac:dyDescent="0.2"/>
    <row r="189" ht="48" customHeight="1" x14ac:dyDescent="0.2"/>
    <row r="190" ht="48" customHeight="1" x14ac:dyDescent="0.2"/>
    <row r="191" ht="48" customHeight="1" x14ac:dyDescent="0.2"/>
    <row r="192" ht="48" customHeight="1" x14ac:dyDescent="0.2"/>
    <row r="193" ht="48" customHeight="1" x14ac:dyDescent="0.2"/>
    <row r="194" ht="48" customHeight="1" x14ac:dyDescent="0.2"/>
    <row r="195" ht="48" customHeight="1" x14ac:dyDescent="0.2"/>
    <row r="196" ht="48" customHeight="1" x14ac:dyDescent="0.2"/>
    <row r="197" ht="48" customHeight="1" x14ac:dyDescent="0.2"/>
    <row r="198" ht="48" customHeight="1" x14ac:dyDescent="0.2"/>
    <row r="199" ht="48" customHeight="1" x14ac:dyDescent="0.2"/>
    <row r="200" ht="48" customHeight="1" x14ac:dyDescent="0.2"/>
    <row r="201" ht="48" customHeight="1" x14ac:dyDescent="0.2"/>
    <row r="202" ht="48" customHeight="1" x14ac:dyDescent="0.2"/>
    <row r="203" ht="48" customHeight="1" x14ac:dyDescent="0.2"/>
    <row r="204" ht="48" customHeight="1" x14ac:dyDescent="0.2"/>
    <row r="205" ht="48" customHeight="1" x14ac:dyDescent="0.2"/>
    <row r="206" ht="48" customHeight="1" x14ac:dyDescent="0.2"/>
    <row r="207" ht="48" customHeight="1" x14ac:dyDescent="0.2"/>
    <row r="208" ht="48" customHeight="1" x14ac:dyDescent="0.2"/>
    <row r="209" ht="48" customHeight="1" x14ac:dyDescent="0.2"/>
    <row r="210" ht="48" customHeight="1" x14ac:dyDescent="0.2"/>
    <row r="211" ht="48" customHeight="1" x14ac:dyDescent="0.2"/>
    <row r="212" ht="48" customHeight="1" x14ac:dyDescent="0.2"/>
    <row r="213" ht="48" customHeight="1" x14ac:dyDescent="0.2"/>
    <row r="214" ht="48" customHeight="1" x14ac:dyDescent="0.2"/>
    <row r="215" ht="48" customHeight="1" x14ac:dyDescent="0.2"/>
    <row r="216" ht="48" customHeight="1" x14ac:dyDescent="0.2"/>
    <row r="217" ht="48" customHeight="1" x14ac:dyDescent="0.2"/>
    <row r="218" ht="48" customHeight="1" x14ac:dyDescent="0.2"/>
    <row r="219" ht="48" customHeight="1" x14ac:dyDescent="0.2"/>
    <row r="220" ht="48" customHeight="1" x14ac:dyDescent="0.2"/>
    <row r="221" ht="48" customHeight="1" x14ac:dyDescent="0.2"/>
    <row r="222" ht="48" customHeight="1" x14ac:dyDescent="0.2"/>
    <row r="223" ht="48" customHeight="1" x14ac:dyDescent="0.2"/>
    <row r="224" ht="48" customHeight="1" x14ac:dyDescent="0.2"/>
    <row r="225" ht="48" customHeight="1" x14ac:dyDescent="0.2"/>
    <row r="226" ht="48" customHeight="1" x14ac:dyDescent="0.2"/>
    <row r="227" ht="48" customHeight="1" x14ac:dyDescent="0.2"/>
    <row r="228" ht="48" customHeight="1" x14ac:dyDescent="0.2"/>
    <row r="229" ht="48" customHeight="1" x14ac:dyDescent="0.2"/>
    <row r="230" ht="48" customHeight="1" x14ac:dyDescent="0.2"/>
    <row r="231" ht="48" customHeight="1" x14ac:dyDescent="0.2"/>
    <row r="232" ht="48" customHeight="1" x14ac:dyDescent="0.2"/>
    <row r="233" ht="48" customHeight="1" x14ac:dyDescent="0.2"/>
    <row r="234" ht="48" customHeight="1" x14ac:dyDescent="0.2"/>
    <row r="235" ht="48" customHeight="1" x14ac:dyDescent="0.2"/>
    <row r="236" ht="48" customHeight="1" x14ac:dyDescent="0.2"/>
    <row r="237" ht="48" customHeight="1" x14ac:dyDescent="0.2"/>
    <row r="238" ht="48" customHeight="1" x14ac:dyDescent="0.2"/>
    <row r="239" ht="48" customHeight="1" x14ac:dyDescent="0.2"/>
    <row r="240" ht="48" customHeight="1" x14ac:dyDescent="0.2"/>
    <row r="241" ht="48" customHeight="1" x14ac:dyDescent="0.2"/>
    <row r="242" ht="48" customHeight="1" x14ac:dyDescent="0.2"/>
    <row r="243" ht="48" customHeight="1" x14ac:dyDescent="0.2"/>
    <row r="244" ht="48" customHeight="1" x14ac:dyDescent="0.2"/>
    <row r="245" ht="48" customHeight="1" x14ac:dyDescent="0.2"/>
    <row r="246" ht="48" customHeight="1" x14ac:dyDescent="0.2"/>
    <row r="247" ht="48" customHeight="1" x14ac:dyDescent="0.2"/>
    <row r="248" ht="48" customHeight="1" x14ac:dyDescent="0.2"/>
    <row r="249" ht="48" customHeight="1" x14ac:dyDescent="0.2"/>
    <row r="250" ht="48" customHeight="1" x14ac:dyDescent="0.2"/>
    <row r="251" ht="48" customHeight="1" x14ac:dyDescent="0.2"/>
    <row r="252" ht="48" customHeight="1" x14ac:dyDescent="0.2"/>
    <row r="253" ht="48" customHeight="1" x14ac:dyDescent="0.2"/>
    <row r="254" ht="48" customHeight="1" x14ac:dyDescent="0.2"/>
    <row r="255" ht="48" customHeight="1" x14ac:dyDescent="0.2"/>
    <row r="256" ht="48" customHeight="1" x14ac:dyDescent="0.2"/>
    <row r="257" ht="48" customHeight="1" x14ac:dyDescent="0.2"/>
    <row r="258" ht="48" customHeight="1" x14ac:dyDescent="0.2"/>
    <row r="259" ht="48" customHeight="1" x14ac:dyDescent="0.2"/>
    <row r="260" ht="48" customHeight="1" x14ac:dyDescent="0.2"/>
    <row r="261" ht="48" customHeight="1" x14ac:dyDescent="0.2"/>
    <row r="262" ht="48" customHeight="1" x14ac:dyDescent="0.2"/>
    <row r="263" ht="48" customHeight="1" x14ac:dyDescent="0.2"/>
    <row r="264" ht="48" customHeight="1" x14ac:dyDescent="0.2"/>
    <row r="265" ht="48" customHeight="1" x14ac:dyDescent="0.2"/>
    <row r="266" ht="48" customHeight="1" x14ac:dyDescent="0.2"/>
    <row r="267" ht="48" customHeight="1" x14ac:dyDescent="0.2"/>
    <row r="268" ht="48" customHeight="1" x14ac:dyDescent="0.2"/>
    <row r="269" ht="48" customHeight="1" x14ac:dyDescent="0.2"/>
    <row r="270" ht="48" customHeight="1" x14ac:dyDescent="0.2"/>
    <row r="271" ht="48" customHeight="1" x14ac:dyDescent="0.2"/>
    <row r="272" ht="48" customHeight="1" x14ac:dyDescent="0.2"/>
    <row r="273" ht="48" customHeight="1" x14ac:dyDescent="0.2"/>
    <row r="274" ht="48" customHeight="1" x14ac:dyDescent="0.2"/>
    <row r="275" ht="48" customHeight="1" x14ac:dyDescent="0.2"/>
    <row r="276" ht="48" customHeight="1" x14ac:dyDescent="0.2"/>
    <row r="277" ht="48" customHeight="1" x14ac:dyDescent="0.2"/>
    <row r="278" ht="48" customHeight="1" x14ac:dyDescent="0.2"/>
    <row r="279" ht="48" customHeight="1" x14ac:dyDescent="0.2"/>
    <row r="280" ht="48" customHeight="1" x14ac:dyDescent="0.2"/>
    <row r="281" ht="48" customHeight="1" x14ac:dyDescent="0.2"/>
    <row r="282" ht="48" customHeight="1" x14ac:dyDescent="0.2"/>
    <row r="283" ht="48" customHeight="1" x14ac:dyDescent="0.2"/>
    <row r="284" ht="48" customHeight="1" x14ac:dyDescent="0.2"/>
    <row r="285" ht="48" customHeight="1" x14ac:dyDescent="0.2"/>
    <row r="286" ht="48" customHeight="1" x14ac:dyDescent="0.2"/>
    <row r="287" ht="48" customHeight="1" x14ac:dyDescent="0.2"/>
    <row r="288" ht="48" customHeight="1" x14ac:dyDescent="0.2"/>
    <row r="289" ht="48" customHeight="1" x14ac:dyDescent="0.2"/>
    <row r="290" ht="48" customHeight="1" x14ac:dyDescent="0.2"/>
    <row r="291" ht="48" customHeight="1" x14ac:dyDescent="0.2"/>
    <row r="292" ht="48" customHeight="1" x14ac:dyDescent="0.2"/>
    <row r="293" ht="48" customHeight="1" x14ac:dyDescent="0.2"/>
    <row r="294" ht="48" customHeight="1" x14ac:dyDescent="0.2"/>
    <row r="295" ht="48" customHeight="1" x14ac:dyDescent="0.2"/>
    <row r="296" ht="48" customHeight="1" x14ac:dyDescent="0.2"/>
    <row r="297" ht="48" customHeight="1" x14ac:dyDescent="0.2"/>
    <row r="298" ht="48" customHeight="1" x14ac:dyDescent="0.2"/>
    <row r="299" ht="48" customHeight="1" x14ac:dyDescent="0.2"/>
    <row r="300" ht="48" customHeight="1" x14ac:dyDescent="0.2"/>
    <row r="301" ht="48" customHeight="1" x14ac:dyDescent="0.2"/>
    <row r="302" ht="48" customHeight="1" x14ac:dyDescent="0.2"/>
    <row r="303" ht="48" customHeight="1" x14ac:dyDescent="0.2"/>
  </sheetData>
  <mergeCells count="107">
    <mergeCell ref="B50:C50"/>
    <mergeCell ref="D50:F50"/>
    <mergeCell ref="B51:C51"/>
    <mergeCell ref="D51:F51"/>
    <mergeCell ref="B52:C52"/>
    <mergeCell ref="D52:F52"/>
    <mergeCell ref="B49:C49"/>
    <mergeCell ref="D49:F49"/>
    <mergeCell ref="B44:C44"/>
    <mergeCell ref="B48:C48"/>
    <mergeCell ref="D48:F48"/>
    <mergeCell ref="B46:C46"/>
    <mergeCell ref="D46:F46"/>
    <mergeCell ref="B47:C47"/>
    <mergeCell ref="D47:F47"/>
    <mergeCell ref="B45:C45"/>
    <mergeCell ref="D45:F45"/>
    <mergeCell ref="D37:F37"/>
    <mergeCell ref="D41:F41"/>
    <mergeCell ref="D42:F42"/>
    <mergeCell ref="D43:F43"/>
    <mergeCell ref="D44:F44"/>
    <mergeCell ref="B37:C37"/>
    <mergeCell ref="B41:C41"/>
    <mergeCell ref="B42:C42"/>
    <mergeCell ref="B43:C43"/>
    <mergeCell ref="B38:C38"/>
    <mergeCell ref="D38:F38"/>
    <mergeCell ref="B39:C39"/>
    <mergeCell ref="D39:F39"/>
    <mergeCell ref="B40:C40"/>
    <mergeCell ref="D40:F40"/>
    <mergeCell ref="B60:C60"/>
    <mergeCell ref="D60:F60"/>
    <mergeCell ref="B61:C61"/>
    <mergeCell ref="D61:F61"/>
    <mergeCell ref="B59:C59"/>
    <mergeCell ref="D59:F59"/>
    <mergeCell ref="B56:C56"/>
    <mergeCell ref="D56:F56"/>
    <mergeCell ref="B53:C53"/>
    <mergeCell ref="D53:F53"/>
    <mergeCell ref="B54:C54"/>
    <mergeCell ref="D54:F54"/>
    <mergeCell ref="B55:C55"/>
    <mergeCell ref="D55:F55"/>
    <mergeCell ref="A11:C11"/>
    <mergeCell ref="B75:C75"/>
    <mergeCell ref="D75:F75"/>
    <mergeCell ref="B76:C76"/>
    <mergeCell ref="D76:F76"/>
    <mergeCell ref="B77:C77"/>
    <mergeCell ref="D77:F77"/>
    <mergeCell ref="B80:C80"/>
    <mergeCell ref="D80:F80"/>
    <mergeCell ref="B71:C71"/>
    <mergeCell ref="D71:F71"/>
    <mergeCell ref="B73:C73"/>
    <mergeCell ref="D73:F73"/>
    <mergeCell ref="B72:C72"/>
    <mergeCell ref="D72:F72"/>
    <mergeCell ref="B64:C64"/>
    <mergeCell ref="D64:F64"/>
    <mergeCell ref="B68:C68"/>
    <mergeCell ref="D68:F68"/>
    <mergeCell ref="B66:C66"/>
    <mergeCell ref="D66:F66"/>
    <mergeCell ref="B62:C62"/>
    <mergeCell ref="D62:F62"/>
    <mergeCell ref="B63:C63"/>
    <mergeCell ref="B83:C83"/>
    <mergeCell ref="D83:F83"/>
    <mergeCell ref="B88:C88"/>
    <mergeCell ref="D88:F88"/>
    <mergeCell ref="B86:C86"/>
    <mergeCell ref="D86:F86"/>
    <mergeCell ref="B87:C87"/>
    <mergeCell ref="D87:F87"/>
    <mergeCell ref="A36:G36"/>
    <mergeCell ref="B70:C70"/>
    <mergeCell ref="D70:F70"/>
    <mergeCell ref="B78:C78"/>
    <mergeCell ref="D78:F78"/>
    <mergeCell ref="B85:C85"/>
    <mergeCell ref="D85:F85"/>
    <mergeCell ref="B82:C82"/>
    <mergeCell ref="D82:F82"/>
    <mergeCell ref="D63:F63"/>
    <mergeCell ref="B65:C65"/>
    <mergeCell ref="D65:F65"/>
    <mergeCell ref="B57:C57"/>
    <mergeCell ref="D57:F57"/>
    <mergeCell ref="B58:C58"/>
    <mergeCell ref="D58:F58"/>
    <mergeCell ref="B8:C8"/>
    <mergeCell ref="F5:H5"/>
    <mergeCell ref="F6:H6"/>
    <mergeCell ref="F7:H7"/>
    <mergeCell ref="F8:H8"/>
    <mergeCell ref="D10:H10"/>
    <mergeCell ref="A2:H2"/>
    <mergeCell ref="A1:G1"/>
    <mergeCell ref="B6:C6"/>
    <mergeCell ref="B5:C5"/>
    <mergeCell ref="B7:C7"/>
    <mergeCell ref="A3:H3"/>
    <mergeCell ref="A4:H4"/>
  </mergeCells>
  <conditionalFormatting sqref="F13:F16 F18:F25">
    <cfRule type="dataBar" priority="3">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F26:F33">
    <cfRule type="dataBar" priority="2">
      <dataBar>
        <cfvo type="num" val="0"/>
        <cfvo type="num" val="1"/>
        <color rgb="FF638EC6"/>
      </dataBar>
      <extLst>
        <ext xmlns:x14="http://schemas.microsoft.com/office/spreadsheetml/2009/9/main" uri="{B025F937-C7B1-47D3-B67F-A62EFF666E3E}">
          <x14:id>{DEDB6CB6-F46C-4E16-9A05-AB63190D1DA2}</x14:id>
        </ext>
      </extLst>
    </cfRule>
  </conditionalFormatting>
  <conditionalFormatting sqref="F17">
    <cfRule type="dataBar" priority="1">
      <dataBar>
        <cfvo type="num" val="0"/>
        <cfvo type="num" val="1"/>
        <color rgb="FF638EC6"/>
      </dataBar>
      <extLst>
        <ext xmlns:x14="http://schemas.microsoft.com/office/spreadsheetml/2009/9/main" uri="{B025F937-C7B1-47D3-B67F-A62EFF666E3E}">
          <x14:id>{A280AE77-B966-4601-A0A9-608CEBA57142}</x14:id>
        </ext>
      </extLst>
    </cfRule>
  </conditionalFormatting>
  <dataValidations count="1">
    <dataValidation type="list" allowBlank="1" showInputMessage="1" showErrorMessage="1" sqref="G68 G70:G73 G75:G78 G80 G82:G83 G85:G88 G38:G66">
      <formula1>yes</formula1>
    </dataValidation>
  </dataValidation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F13:F16 F18:F25</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F26:F33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F17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'Standards Crosswalk'!$A$315:$A$321</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U312"/>
  <sheetViews>
    <sheetView topLeftCell="A49" workbookViewId="0">
      <selection sqref="A1:D1"/>
    </sheetView>
  </sheetViews>
  <sheetFormatPr defaultColWidth="6.59765625" defaultRowHeight="15" x14ac:dyDescent="0.2"/>
  <cols>
    <col min="1" max="1" width="11.09765625" style="136" customWidth="1"/>
    <col min="2" max="2" width="56.69921875" style="3" customWidth="1"/>
    <col min="3" max="3" width="40.69921875" style="24" customWidth="1"/>
    <col min="4" max="4" width="40.69921875" style="5" customWidth="1"/>
    <col min="5" max="255" width="6.59765625" style="3" customWidth="1"/>
    <col min="256" max="16384" width="6.59765625" style="136"/>
  </cols>
  <sheetData>
    <row r="1" spans="1:4" ht="36" customHeight="1" x14ac:dyDescent="0.2">
      <c r="A1" s="321" t="s">
        <v>2989</v>
      </c>
      <c r="B1" s="321"/>
      <c r="C1" s="321"/>
      <c r="D1" s="321"/>
    </row>
    <row r="2" spans="1:4" ht="26.1" customHeight="1" x14ac:dyDescent="0.2">
      <c r="A2" s="298" t="s">
        <v>96</v>
      </c>
      <c r="B2" s="298"/>
      <c r="C2" s="298"/>
      <c r="D2" s="298"/>
    </row>
    <row r="3" spans="1:4" ht="2.1" customHeight="1" x14ac:dyDescent="0.2">
      <c r="A3" s="22"/>
      <c r="B3" s="258"/>
      <c r="C3" s="259"/>
      <c r="D3" s="259"/>
    </row>
    <row r="4" spans="1:4" ht="2.1" customHeight="1" x14ac:dyDescent="0.2">
      <c r="A4" s="260"/>
      <c r="B4" s="260"/>
      <c r="C4" s="261"/>
      <c r="D4" s="262"/>
    </row>
    <row r="5" spans="1:4" ht="2.1" customHeight="1" x14ac:dyDescent="0.2">
      <c r="A5" s="263"/>
      <c r="B5" s="263"/>
      <c r="C5" s="263"/>
      <c r="D5" s="263"/>
    </row>
    <row r="6" spans="1:4" ht="2.1" customHeight="1" x14ac:dyDescent="0.2">
      <c r="A6" s="264"/>
      <c r="B6" s="264"/>
      <c r="C6" s="264"/>
      <c r="D6" s="264"/>
    </row>
    <row r="7" spans="1:4" ht="2.1" customHeight="1" x14ac:dyDescent="0.2">
      <c r="A7" s="196"/>
      <c r="B7" s="265"/>
      <c r="C7" s="266"/>
      <c r="D7" s="266"/>
    </row>
    <row r="8" spans="1:4" ht="2.1" customHeight="1" x14ac:dyDescent="0.2">
      <c r="A8" s="196"/>
      <c r="B8" s="265"/>
      <c r="C8" s="266"/>
      <c r="D8" s="266"/>
    </row>
    <row r="9" spans="1:4" ht="2.1" customHeight="1" x14ac:dyDescent="0.2">
      <c r="A9" s="196"/>
      <c r="B9" s="265"/>
      <c r="C9" s="266"/>
      <c r="D9" s="266"/>
    </row>
    <row r="10" spans="1:4" ht="2.1" customHeight="1" x14ac:dyDescent="0.2">
      <c r="A10" s="196"/>
      <c r="B10" s="265"/>
      <c r="C10" s="266"/>
      <c r="D10" s="266"/>
    </row>
    <row r="11" spans="1:4" ht="2.1" customHeight="1" x14ac:dyDescent="0.2">
      <c r="A11" s="196"/>
      <c r="B11" s="265"/>
      <c r="C11" s="266"/>
      <c r="D11" s="266"/>
    </row>
    <row r="12" spans="1:4" ht="2.1" customHeight="1" x14ac:dyDescent="0.2">
      <c r="A12" s="196"/>
      <c r="B12" s="265"/>
      <c r="C12" s="266"/>
      <c r="D12" s="266"/>
    </row>
    <row r="13" spans="1:4" ht="2.1" customHeight="1" x14ac:dyDescent="0.2">
      <c r="A13" s="196"/>
      <c r="B13" s="265"/>
      <c r="C13" s="266"/>
      <c r="D13" s="266"/>
    </row>
    <row r="14" spans="1:4" ht="2.1" customHeight="1" x14ac:dyDescent="0.2">
      <c r="A14" s="196"/>
      <c r="B14" s="265"/>
      <c r="C14" s="266"/>
      <c r="D14" s="266"/>
    </row>
    <row r="15" spans="1:4" ht="2.1" customHeight="1" x14ac:dyDescent="0.2">
      <c r="A15" s="196"/>
      <c r="B15" s="265"/>
      <c r="C15" s="266"/>
      <c r="D15" s="266"/>
    </row>
    <row r="16" spans="1:4" ht="2.1" customHeight="1" x14ac:dyDescent="0.2">
      <c r="A16" s="196"/>
      <c r="B16" s="265"/>
      <c r="C16" s="266"/>
      <c r="D16" s="266"/>
    </row>
    <row r="17" spans="1:4" ht="2.1" customHeight="1" x14ac:dyDescent="0.2">
      <c r="A17" s="264"/>
      <c r="B17" s="264"/>
      <c r="C17" s="264"/>
      <c r="D17" s="264"/>
    </row>
    <row r="18" spans="1:4" ht="2.1" customHeight="1" x14ac:dyDescent="0.2">
      <c r="A18" s="196"/>
      <c r="B18" s="265"/>
      <c r="C18" s="266"/>
      <c r="D18" s="266"/>
    </row>
    <row r="19" spans="1:4" ht="2.1" customHeight="1" x14ac:dyDescent="0.2">
      <c r="A19" s="196"/>
      <c r="B19" s="265"/>
      <c r="C19" s="267"/>
      <c r="D19" s="267"/>
    </row>
    <row r="20" spans="1:4" ht="36" customHeight="1" x14ac:dyDescent="0.2">
      <c r="A20" s="335" t="s">
        <v>11</v>
      </c>
      <c r="B20" s="335"/>
      <c r="C20" s="240"/>
      <c r="D20" s="241"/>
    </row>
    <row r="21" spans="1:4" ht="186" customHeight="1" x14ac:dyDescent="0.2">
      <c r="A21" s="336" t="s">
        <v>2676</v>
      </c>
      <c r="B21" s="336"/>
      <c r="C21" s="336"/>
      <c r="D21" s="336"/>
    </row>
    <row r="22" spans="1:4" ht="37.35" customHeight="1" x14ac:dyDescent="0.2">
      <c r="A22" s="335" t="s">
        <v>12</v>
      </c>
      <c r="B22" s="335"/>
      <c r="C22" s="240" t="s">
        <v>2677</v>
      </c>
      <c r="D22" s="240" t="s">
        <v>2678</v>
      </c>
    </row>
    <row r="23" spans="1:4" ht="56.1" customHeight="1" x14ac:dyDescent="0.2">
      <c r="A23" s="336" t="s">
        <v>2679</v>
      </c>
      <c r="B23" s="336"/>
      <c r="C23" s="336"/>
      <c r="D23" s="336"/>
    </row>
    <row r="24" spans="1:4" ht="54.95" customHeight="1" x14ac:dyDescent="0.2">
      <c r="A24" s="242" t="str">
        <f>'HECVAT - Full'!A24</f>
        <v>QUAL-01</v>
      </c>
      <c r="B24" s="242" t="str">
        <f>VLOOKUP(A24,'HECVAT - Full'!A$24:B$312,2,FALSE)</f>
        <v>Does your product process protected health information (PHI) or any data covered by the Health Insurance Portability and Accountability Act?</v>
      </c>
      <c r="C24" s="243" t="s">
        <v>2680</v>
      </c>
      <c r="D24" s="244" t="s">
        <v>2681</v>
      </c>
    </row>
    <row r="25" spans="1:4" ht="85.5" x14ac:dyDescent="0.2">
      <c r="A25" s="242" t="str">
        <f>'HECVAT - Full'!A25</f>
        <v>QUAL-02</v>
      </c>
      <c r="B25" s="242" t="str">
        <f>VLOOKUP(A25,'HECVAT - Full'!A$24:B$312,2,FALSE)</f>
        <v>Does the vended product host/support a mobile application? (e.g. app)</v>
      </c>
      <c r="C25" s="271" t="s">
        <v>3003</v>
      </c>
      <c r="D25" s="273" t="s">
        <v>3002</v>
      </c>
    </row>
    <row r="26" spans="1:4" ht="84" customHeight="1" x14ac:dyDescent="0.2">
      <c r="A26" s="242" t="str">
        <f>'HECVAT - Full'!A26</f>
        <v>QUAL-03</v>
      </c>
      <c r="B26" s="242" t="str">
        <f>VLOOKUP(A26,'HECVAT - Full'!A$24:B$312,2,FALSE)</f>
        <v>Will institution data be shared with or hosted by any third parties? (e.g. any entity not wholly-owned by your company is considered a third-party)</v>
      </c>
      <c r="C26" s="271" t="s">
        <v>3004</v>
      </c>
      <c r="D26" s="244" t="s">
        <v>2682</v>
      </c>
    </row>
    <row r="27" spans="1:4" ht="63.95" customHeight="1" x14ac:dyDescent="0.2">
      <c r="A27" s="242" t="str">
        <f>'HECVAT - Full'!A27</f>
        <v>QUAL-04</v>
      </c>
      <c r="B27" s="242" t="str">
        <f>VLOOKUP(A27,'HECVAT - Full'!A$24:B$312,2,FALSE)</f>
        <v>Do you have a Business Continuity Plan (BCP)?</v>
      </c>
      <c r="C27" s="243" t="s">
        <v>2683</v>
      </c>
      <c r="D27" s="244" t="s">
        <v>2684</v>
      </c>
    </row>
    <row r="28" spans="1:4" ht="63.95" customHeight="1" x14ac:dyDescent="0.2">
      <c r="A28" s="242" t="str">
        <f>'HECVAT - Full'!A28</f>
        <v>QUAL-05</v>
      </c>
      <c r="B28" s="242" t="str">
        <f>VLOOKUP(A28,'HECVAT - Full'!A$24:B$312,2,FALSE)</f>
        <v>Do you have a Disaster Recovery Plan (DRP)?</v>
      </c>
      <c r="C28" s="243" t="s">
        <v>2685</v>
      </c>
      <c r="D28" s="244" t="s">
        <v>2686</v>
      </c>
    </row>
    <row r="29" spans="1:4" ht="54" customHeight="1" x14ac:dyDescent="0.2">
      <c r="A29" s="242" t="str">
        <f>'HECVAT - Full'!A29</f>
        <v>QUAL-06</v>
      </c>
      <c r="B29" s="242" t="str">
        <f>VLOOKUP(A29,'HECVAT - Full'!A$24:B$312,2,FALSE)</f>
        <v>Will data regulated by PCI DSS reside in the vended product?</v>
      </c>
      <c r="C29" s="243" t="s">
        <v>2687</v>
      </c>
      <c r="D29" s="244" t="s">
        <v>2688</v>
      </c>
    </row>
    <row r="30" spans="1:4" ht="111.95" customHeight="1" x14ac:dyDescent="0.2">
      <c r="A30" s="242" t="str">
        <f>'HECVAT - Full'!A30</f>
        <v>QUAL-07</v>
      </c>
      <c r="B30" s="242" t="str">
        <f>VLOOKUP(A30,'HECVAT - Full'!A$24:B$312,2,FALSE)</f>
        <v>Is your company a consulting firm providing only consultation to the Institution?</v>
      </c>
      <c r="C30" s="271" t="s">
        <v>3005</v>
      </c>
      <c r="D30" s="244" t="s">
        <v>2689</v>
      </c>
    </row>
    <row r="31" spans="1:4" ht="36" customHeight="1" x14ac:dyDescent="0.2">
      <c r="A31" s="335" t="s">
        <v>18</v>
      </c>
      <c r="B31" s="335"/>
      <c r="C31" s="240" t="str">
        <f>$C$22</f>
        <v>Reason for Question</v>
      </c>
      <c r="D31" s="240" t="str">
        <f>$D$22</f>
        <v>Follow-up Inquiries/Responses</v>
      </c>
    </row>
    <row r="32" spans="1:4" ht="48" customHeight="1" x14ac:dyDescent="0.2">
      <c r="A32" s="242" t="str">
        <f>'HECVAT - Full'!A32</f>
        <v>DOCU-01</v>
      </c>
      <c r="B32" s="242" t="str">
        <f>VLOOKUP(A32,'HECVAT - Full'!A$24:B$312,2,FALSE)</f>
        <v>Have you undergone a SSAE 18 audit?</v>
      </c>
      <c r="C32" s="245" t="s">
        <v>2690</v>
      </c>
      <c r="D32" s="246" t="s">
        <v>2691</v>
      </c>
    </row>
    <row r="33" spans="1:4" ht="63.95" customHeight="1" x14ac:dyDescent="0.2">
      <c r="A33" s="242" t="str">
        <f>'HECVAT - Full'!A33</f>
        <v>DOCU-02</v>
      </c>
      <c r="B33" s="242" t="str">
        <f>VLOOKUP(A33,'HECVAT - Full'!A$24:B$312,2,FALSE)</f>
        <v>Have you completed the Cloud Security Alliance (CSA) self assessment or CAIQ?</v>
      </c>
      <c r="C33" s="245" t="s">
        <v>2692</v>
      </c>
      <c r="D33" s="246" t="s">
        <v>2693</v>
      </c>
    </row>
    <row r="34" spans="1:4" ht="63.95" customHeight="1" x14ac:dyDescent="0.2">
      <c r="A34" s="242" t="str">
        <f>'HECVAT - Full'!A34</f>
        <v>DOCU-03</v>
      </c>
      <c r="B34" s="242" t="str">
        <f>VLOOKUP(A34,'HECVAT - Full'!A$24:B$312,2,FALSE)</f>
        <v>Have you received the Cloud Security Alliance STAR certification?</v>
      </c>
      <c r="C34" s="245" t="s">
        <v>2694</v>
      </c>
      <c r="D34" s="274" t="s">
        <v>3006</v>
      </c>
    </row>
    <row r="35" spans="1:4" ht="111.95" customHeight="1" x14ac:dyDescent="0.2">
      <c r="A35" s="242" t="str">
        <f>'HECVAT - Full'!A35</f>
        <v>DOCU-04</v>
      </c>
      <c r="B35" s="242" t="str">
        <f>VLOOKUP(A35,'HECVAT - Full'!A$24:B$312,2,FALSE)</f>
        <v>Do you conform with a specific industry standard security framework? (e.g. NIST Cybersecurity Framework, ISO 27001, etc.)</v>
      </c>
      <c r="C35" s="245" t="s">
        <v>2695</v>
      </c>
      <c r="D35" s="247" t="s">
        <v>2696</v>
      </c>
    </row>
    <row r="36" spans="1:4" ht="48" customHeight="1" x14ac:dyDescent="0.2">
      <c r="A36" s="242" t="str">
        <f>'HECVAT - Full'!A36</f>
        <v>DOCU-05</v>
      </c>
      <c r="B36" s="242" t="str">
        <f>VLOOKUP(A36,'HECVAT - Full'!A$24:B$312,2,FALSE)</f>
        <v>Are you compliant with FISMA standards?</v>
      </c>
      <c r="C36" s="245" t="s">
        <v>2697</v>
      </c>
      <c r="D36" s="246" t="s">
        <v>2698</v>
      </c>
    </row>
    <row r="37" spans="1:4" ht="96" customHeight="1" x14ac:dyDescent="0.2">
      <c r="A37" s="242" t="str">
        <f>'HECVAT - Full'!A37</f>
        <v>DOCU-06</v>
      </c>
      <c r="B37" s="242" t="str">
        <f>VLOOKUP(A37,'HECVAT - Full'!A$24:B$312,2,FALSE)</f>
        <v>Does your organization have a data privacy policy?</v>
      </c>
      <c r="C37" s="275" t="s">
        <v>3007</v>
      </c>
      <c r="D37" s="248" t="s">
        <v>2699</v>
      </c>
    </row>
    <row r="38" spans="1:4" ht="36" customHeight="1" x14ac:dyDescent="0.2">
      <c r="A38" s="335" t="s">
        <v>152</v>
      </c>
      <c r="B38" s="335"/>
      <c r="C38" s="240" t="str">
        <f>$C$22</f>
        <v>Reason for Question</v>
      </c>
      <c r="D38" s="240" t="str">
        <f>$D$22</f>
        <v>Follow-up Inquiries/Responses</v>
      </c>
    </row>
    <row r="39" spans="1:4" ht="63.95" customHeight="1" x14ac:dyDescent="0.2">
      <c r="A39" s="242" t="str">
        <f>'HECVAT - Full'!A39</f>
        <v>COMP-01</v>
      </c>
      <c r="B39" s="242" t="str">
        <f>VLOOKUP(A39,'HECVAT - Full'!A$24:B$312,2,FALSE)</f>
        <v>Describe your organization’s business background and ownership structure, including all parent and subsidiary relationships.</v>
      </c>
      <c r="C39" s="245" t="s">
        <v>2700</v>
      </c>
      <c r="D39" s="245" t="s">
        <v>2701</v>
      </c>
    </row>
    <row r="40" spans="1:4" ht="84" customHeight="1" x14ac:dyDescent="0.2">
      <c r="A40" s="242" t="str">
        <f>'HECVAT - Full'!A40</f>
        <v>COMP-02</v>
      </c>
      <c r="B40" s="242" t="str">
        <f>VLOOKUP(A40,'HECVAT - Full'!A$24:B$312,2,FALSE)</f>
        <v>Describe how long your organization has conducted business in this product area.</v>
      </c>
      <c r="C40" s="245" t="s">
        <v>2702</v>
      </c>
      <c r="D40" s="275" t="s">
        <v>3008</v>
      </c>
    </row>
    <row r="41" spans="1:4" ht="96" customHeight="1" x14ac:dyDescent="0.2">
      <c r="A41" s="242" t="str">
        <f>'HECVAT - Full'!A41</f>
        <v>COMP-03</v>
      </c>
      <c r="B41" s="242" t="str">
        <f>VLOOKUP(A41,'HECVAT - Full'!A$24:B$312,2,FALSE)</f>
        <v>Do you have existing higher education customers?</v>
      </c>
      <c r="C41" s="245" t="s">
        <v>2703</v>
      </c>
      <c r="D41" s="249" t="s">
        <v>2704</v>
      </c>
    </row>
    <row r="42" spans="1:4" ht="84" customHeight="1" x14ac:dyDescent="0.2">
      <c r="A42" s="242" t="str">
        <f>'HECVAT - Full'!A42</f>
        <v>COMP-04</v>
      </c>
      <c r="B42" s="242" t="str">
        <f>VLOOKUP(A42,'HECVAT - Full'!A$24:B$312,2,FALSE)</f>
        <v>Have you had a significant breach in the last 5 years?</v>
      </c>
      <c r="C42" s="245" t="s">
        <v>2705</v>
      </c>
      <c r="D42" s="249" t="s">
        <v>2706</v>
      </c>
    </row>
    <row r="43" spans="1:4" ht="123.95" customHeight="1" x14ac:dyDescent="0.2">
      <c r="A43" s="242" t="str">
        <f>'HECVAT - Full'!A43</f>
        <v>COMP-05</v>
      </c>
      <c r="B43" s="242" t="str">
        <f>VLOOKUP(A43,'HECVAT - Full'!A$24:B$312,2,FALSE)</f>
        <v>Do you have a dedicated Information Security staff or office?</v>
      </c>
      <c r="C43" s="245" t="s">
        <v>2707</v>
      </c>
      <c r="D43" s="249" t="s">
        <v>2708</v>
      </c>
    </row>
    <row r="44" spans="1:4" ht="111.95" customHeight="1" x14ac:dyDescent="0.2">
      <c r="A44" s="242" t="str">
        <f>'HECVAT - Full'!A44</f>
        <v>COMP-06</v>
      </c>
      <c r="B44" s="242" t="str">
        <f>VLOOKUP(A44,'HECVAT - Full'!A$24:B$312,2,FALSE)</f>
        <v>Do you have a dedicated Software and System Development team(s)? (e.g. Customer Support, Implementation, Product Management, etc.)</v>
      </c>
      <c r="C44" s="245" t="s">
        <v>2709</v>
      </c>
      <c r="D44" s="250" t="s">
        <v>2710</v>
      </c>
    </row>
    <row r="45" spans="1:4" ht="111.95" customHeight="1" x14ac:dyDescent="0.2">
      <c r="A45" s="242" t="str">
        <f>'HECVAT - Full'!A45</f>
        <v>COMP-07</v>
      </c>
      <c r="B45" s="242" t="str">
        <f>VLOOKUP(A45,'HECVAT - Full'!A$24:B$312,2,FALSE)</f>
        <v>Use this area to share information about your environment that will assist those who are assessing your company data security program.</v>
      </c>
      <c r="C45" s="275" t="s">
        <v>3009</v>
      </c>
      <c r="D45" s="245" t="s">
        <v>2711</v>
      </c>
    </row>
    <row r="46" spans="1:4" ht="36" customHeight="1" x14ac:dyDescent="0.2">
      <c r="A46" s="335" t="str">
        <f>IF($C$26="No","Third Parties - Optional based on QUALIFIER response.","Third Parties")</f>
        <v>Third Parties</v>
      </c>
      <c r="B46" s="335"/>
      <c r="C46" s="240" t="str">
        <f>$C$22</f>
        <v>Reason for Question</v>
      </c>
      <c r="D46" s="240" t="str">
        <f>$D$22</f>
        <v>Follow-up Inquiries/Responses</v>
      </c>
    </row>
    <row r="47" spans="1:4" ht="96" customHeight="1" x14ac:dyDescent="0.2">
      <c r="A47" s="242" t="str">
        <f>'HECVAT - Full'!A47</f>
        <v>THRD-01</v>
      </c>
      <c r="B47" s="242" t="str">
        <f>VLOOKUP(A47,'HECVAT - Full'!A$24:B$312,2,FALSE)</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C47" s="271" t="s">
        <v>3010</v>
      </c>
      <c r="D47" s="243" t="s">
        <v>2712</v>
      </c>
    </row>
    <row r="48" spans="1:4" ht="80.099999999999994" customHeight="1" x14ac:dyDescent="0.2">
      <c r="A48" s="242" t="str">
        <f>'HECVAT - Full'!A48</f>
        <v>THRD-02</v>
      </c>
      <c r="B48" s="242" t="str">
        <f>VLOOKUP(A48,'HECVAT - Full'!A$24:B$312,2,FALSE)</f>
        <v>Provide a brief description for why each of these third parties will have access to institution data.</v>
      </c>
      <c r="C48" s="243" t="s">
        <v>2713</v>
      </c>
      <c r="D48" s="243" t="s">
        <v>2712</v>
      </c>
    </row>
    <row r="49" spans="1:255" ht="80.099999999999994" customHeight="1" x14ac:dyDescent="0.2">
      <c r="A49" s="242" t="str">
        <f>'HECVAT - Full'!A49</f>
        <v>THRD-03</v>
      </c>
      <c r="B49" s="242" t="str">
        <f>VLOOKUP(A49,'HECVAT - Full'!A$24:B$312,2,FALSE)</f>
        <v>What legal agreements (i.e. contracts) do you have in place with these third parties that address liability in the event of a data breach?</v>
      </c>
      <c r="C49" s="243" t="s">
        <v>2714</v>
      </c>
      <c r="D49" s="243" t="s">
        <v>2715</v>
      </c>
    </row>
    <row r="50" spans="1:255" ht="80.099999999999994" customHeight="1" x14ac:dyDescent="0.2">
      <c r="A50" s="242" t="str">
        <f>'HECVAT - Full'!A50</f>
        <v>THRD-04</v>
      </c>
      <c r="B50" s="242" t="str">
        <f>VLOOKUP(A50,'HECVAT - Full'!A$24:B$312,2,FALSE)</f>
        <v>Describe or provide references to your third party management strategy or provide additional information that may help analysts better understand your environment and how it relates to third-party solutions.</v>
      </c>
      <c r="C50" s="243" t="s">
        <v>2716</v>
      </c>
      <c r="D50" s="243" t="s">
        <v>2717</v>
      </c>
    </row>
    <row r="51" spans="1:255" ht="36" customHeight="1" x14ac:dyDescent="0.2">
      <c r="A51" s="335" t="str">
        <f>IF($C$30="","Consulting",IF($C$30="Yes","Consulting - All questions after this section are OPTIONAL.","Consulting - Optional based on QUALIFIER response."))</f>
        <v>Consulting - Optional based on QUALIFIER response.</v>
      </c>
      <c r="B51" s="335"/>
      <c r="C51" s="240" t="str">
        <f>$C$22</f>
        <v>Reason for Question</v>
      </c>
      <c r="D51" s="240" t="str">
        <f>$D$22</f>
        <v>Follow-up Inquiries/Responses</v>
      </c>
    </row>
    <row r="52" spans="1:255" ht="142.5" x14ac:dyDescent="0.2">
      <c r="A52" s="242" t="str">
        <f>'HECVAT - Full'!A52</f>
        <v>CONS-01</v>
      </c>
      <c r="B52" s="242" t="str">
        <f>VLOOKUP(A52,'HECVAT - Full'!A$24:B$312,2,FALSE)</f>
        <v>Will the consulting take place on-premises?</v>
      </c>
      <c r="C52" s="276" t="s">
        <v>3011</v>
      </c>
      <c r="D52" s="252" t="s">
        <v>2718</v>
      </c>
    </row>
    <row r="53" spans="1:255" ht="185.25" x14ac:dyDescent="0.2">
      <c r="A53" s="242" t="str">
        <f>'HECVAT - Full'!A53</f>
        <v>CONS-02</v>
      </c>
      <c r="B53" s="242" t="str">
        <f>VLOOKUP(A53,'HECVAT - Full'!A$24:B$312,2,FALSE)</f>
        <v>Will the consultant require access to Institution's network resources?</v>
      </c>
      <c r="C53" s="251" t="s">
        <v>2719</v>
      </c>
      <c r="D53" s="252" t="s">
        <v>2720</v>
      </c>
    </row>
    <row r="54" spans="1:255" ht="128.25" x14ac:dyDescent="0.2">
      <c r="A54" s="242" t="str">
        <f>'HECVAT - Full'!A54</f>
        <v>CONS-03</v>
      </c>
      <c r="B54" s="242" t="str">
        <f>VLOOKUP(A54,'HECVAT - Full'!A$24:B$312,2,FALSE)</f>
        <v>Will the consultant require access to hardware in the Institution's data centers?</v>
      </c>
      <c r="C54" s="251" t="s">
        <v>2721</v>
      </c>
      <c r="D54" s="252" t="s">
        <v>2722</v>
      </c>
    </row>
    <row r="55" spans="1:255" ht="114" x14ac:dyDescent="0.2">
      <c r="A55" s="242" t="str">
        <f>'HECVAT - Full'!A55</f>
        <v>CONS-04</v>
      </c>
      <c r="B55" s="242" t="str">
        <f>VLOOKUP(A55,'HECVAT - Full'!A$24:B$312,2,FALSE)</f>
        <v>Will the consultant require an account within the Institution's domain (@*.edu)?</v>
      </c>
      <c r="C55" s="251" t="s">
        <v>2723</v>
      </c>
      <c r="D55" s="252" t="s">
        <v>2724</v>
      </c>
    </row>
    <row r="56" spans="1:255" ht="142.5" x14ac:dyDescent="0.2">
      <c r="A56" s="242" t="str">
        <f>'HECVAT - Full'!A56</f>
        <v>CONS-05</v>
      </c>
      <c r="B56" s="242" t="str">
        <f>VLOOKUP(A56,'HECVAT - Full'!A$24:B$312,2,FALSE)</f>
        <v>Has the consultant received training on [sensitive, HIPAA, PCI, etc.] data handling?</v>
      </c>
      <c r="C56" s="251" t="s">
        <v>2725</v>
      </c>
      <c r="D56" s="252" t="s">
        <v>2726</v>
      </c>
    </row>
    <row r="57" spans="1:255" ht="156.75" x14ac:dyDescent="0.2">
      <c r="A57" s="242" t="str">
        <f>'HECVAT - Full'!A57</f>
        <v>CONS-06</v>
      </c>
      <c r="B57" s="242" t="str">
        <f>VLOOKUP(A57,'HECVAT - Full'!A$24:B$312,2,FALSE)</f>
        <v>Will any data be transferred to the consultant's possession?</v>
      </c>
      <c r="C57" s="276" t="s">
        <v>3012</v>
      </c>
      <c r="D57" s="277" t="s">
        <v>3013</v>
      </c>
    </row>
    <row r="58" spans="1:255" s="1" customFormat="1" ht="57" x14ac:dyDescent="0.2">
      <c r="A58" s="242" t="str">
        <f>'HECVAT - Full'!A58</f>
        <v>CONS-07</v>
      </c>
      <c r="B58" s="242" t="str">
        <f>VLOOKUP(A58,'HECVAT - Full'!A$24:B$312,2,FALSE)</f>
        <v>Is it encrypted (at rest) while in the consultant's possession?</v>
      </c>
      <c r="C58" s="245" t="s">
        <v>2727</v>
      </c>
      <c r="D58" s="250" t="s">
        <v>2728</v>
      </c>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row>
    <row r="59" spans="1:255" ht="99.75" x14ac:dyDescent="0.2">
      <c r="A59" s="242" t="str">
        <f>'HECVAT - Full'!A59</f>
        <v>CONS-08</v>
      </c>
      <c r="B59" s="242" t="str">
        <f>VLOOKUP(A59,'HECVAT - Full'!A$24:B$312,2,FALSE)</f>
        <v>Will the consultant need remote access to the Institution's network or systems?</v>
      </c>
      <c r="C59" s="245" t="s">
        <v>2729</v>
      </c>
      <c r="D59" s="249" t="s">
        <v>2730</v>
      </c>
    </row>
    <row r="60" spans="1:255" s="1" customFormat="1" ht="114" x14ac:dyDescent="0.2">
      <c r="A60" s="242" t="str">
        <f>'HECVAT - Full'!A60</f>
        <v>CONS-09</v>
      </c>
      <c r="B60" s="242" t="str">
        <f>VLOOKUP(A60,'HECVAT - Full'!A$24:B$312,2,FALSE)</f>
        <v>Can we restrict that access based on source IP address?</v>
      </c>
      <c r="C60" s="251" t="s">
        <v>2731</v>
      </c>
      <c r="D60" s="252" t="s">
        <v>2732</v>
      </c>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row>
    <row r="61" spans="1:255" ht="36" customHeight="1" x14ac:dyDescent="0.2">
      <c r="A61" s="335" t="str">
        <f>IF($C$30="","Application/Service Security",IF($C$30="Yes","App/Service Security - Optional based on QUALIFIER response.","Application/Service Security"))</f>
        <v>Application/Service Security</v>
      </c>
      <c r="B61" s="335"/>
      <c r="C61" s="240" t="str">
        <f>$C$22</f>
        <v>Reason for Question</v>
      </c>
      <c r="D61" s="240" t="str">
        <f>$D$22</f>
        <v>Follow-up Inquiries/Responses</v>
      </c>
    </row>
    <row r="62" spans="1:255" ht="114" x14ac:dyDescent="0.2">
      <c r="A62" s="242" t="str">
        <f>'HECVAT - Full'!A62</f>
        <v>APPL-01</v>
      </c>
      <c r="B62" s="242" t="str">
        <f>VLOOKUP(A62,'HECVAT - Full'!A$24:B$312,2,FALSE)</f>
        <v>Do you support role-based access control (RBAC) for end-users?</v>
      </c>
      <c r="C62" s="275" t="s">
        <v>3014</v>
      </c>
      <c r="D62" s="248" t="s">
        <v>2733</v>
      </c>
    </row>
    <row r="63" spans="1:255" ht="111.95" customHeight="1" x14ac:dyDescent="0.2">
      <c r="A63" s="242" t="str">
        <f>'HECVAT - Full'!A63</f>
        <v>APPL-02</v>
      </c>
      <c r="B63" s="242" t="str">
        <f>VLOOKUP(A63,'HECVAT - Full'!A$24:B$312,2,FALSE)</f>
        <v>Do you support role-based access control (RBAC) for system administrators?</v>
      </c>
      <c r="C63" s="275" t="s">
        <v>3064</v>
      </c>
      <c r="D63" s="248" t="s">
        <v>2734</v>
      </c>
    </row>
    <row r="64" spans="1:255" ht="111.95" customHeight="1" x14ac:dyDescent="0.2">
      <c r="A64" s="242" t="str">
        <f>'HECVAT - Full'!A64</f>
        <v>APPL-03</v>
      </c>
      <c r="B64" s="242" t="str">
        <f>VLOOKUP(A64,'HECVAT - Full'!A$24:B$312,2,FALSE)</f>
        <v>Can employees access customer data remotely?</v>
      </c>
      <c r="C64" s="245" t="s">
        <v>2729</v>
      </c>
      <c r="D64" s="249" t="s">
        <v>2730</v>
      </c>
    </row>
    <row r="65" spans="1:255" ht="111.95" customHeight="1" x14ac:dyDescent="0.2">
      <c r="A65" s="242" t="str">
        <f>'HECVAT - Full'!A65</f>
        <v>APPL-04</v>
      </c>
      <c r="B65" s="242" t="str">
        <f>VLOOKUP(A65,'HECVAT - Full'!A$24:B$312,2,FALSE)</f>
        <v>Can you provide overall system and/or application architecture diagrams including a full description of the data communications architecture for all components of the system?</v>
      </c>
      <c r="C65" s="245" t="s">
        <v>2735</v>
      </c>
      <c r="D65" s="278" t="s">
        <v>3015</v>
      </c>
    </row>
    <row r="66" spans="1:255" ht="111.95" customHeight="1" x14ac:dyDescent="0.2">
      <c r="A66" s="242" t="str">
        <f>'HECVAT - Full'!A66</f>
        <v>APPL-05</v>
      </c>
      <c r="B66" s="242" t="str">
        <f>VLOOKUP(A66,'HECVAT - Full'!A$24:B$312,2,FALSE)</f>
        <v xml:space="preserve">Does the system provide data input validation and error messages? </v>
      </c>
      <c r="C66" s="245" t="s">
        <v>2736</v>
      </c>
      <c r="D66" s="250" t="s">
        <v>2737</v>
      </c>
    </row>
    <row r="67" spans="1:255" ht="135.94999999999999" customHeight="1" x14ac:dyDescent="0.2">
      <c r="A67" s="242" t="str">
        <f>'HECVAT - Full'!A67</f>
        <v>APPL-06</v>
      </c>
      <c r="B67" s="242" t="str">
        <f>VLOOKUP(A67,'HECVAT - Full'!A$24:B$312,2,FALSE)</f>
        <v xml:space="preserve">Do you employ a single-tenant environment? </v>
      </c>
      <c r="C67" s="245" t="s">
        <v>2738</v>
      </c>
      <c r="D67" s="279" t="s">
        <v>3016</v>
      </c>
    </row>
    <row r="68" spans="1:255" s="1" customFormat="1" ht="91.5" customHeight="1" x14ac:dyDescent="0.2">
      <c r="A68" s="242" t="str">
        <f>'HECVAT - Full'!A68</f>
        <v>APPL-07</v>
      </c>
      <c r="B68" s="242" t="str">
        <f>VLOOKUP(A68,'HECVAT - Full'!A$24:B$312,2,FALSE)</f>
        <v>What operating system(s) is/are leveraged by the system(s)/application(s) that will have access to institution's data?</v>
      </c>
      <c r="C68" s="243" t="s">
        <v>2739</v>
      </c>
      <c r="D68" s="243" t="s">
        <v>2740</v>
      </c>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row>
    <row r="69" spans="1:255" ht="84" customHeight="1" x14ac:dyDescent="0.2">
      <c r="A69" s="242" t="str">
        <f>'HECVAT - Full'!A69</f>
        <v>APPL-08</v>
      </c>
      <c r="B69" s="242" t="str">
        <f>VLOOKUP(A69,'HECVAT - Full'!A$24:B$312,2,FALSE)</f>
        <v>Have you or any third party you contract with that may have access or allow access to the institution's data experienced a breach?</v>
      </c>
      <c r="C69" s="245" t="s">
        <v>2705</v>
      </c>
      <c r="D69" s="249" t="s">
        <v>2706</v>
      </c>
    </row>
    <row r="70" spans="1:255" ht="114" x14ac:dyDescent="0.2">
      <c r="A70" s="242" t="str">
        <f>'HECVAT - Full'!A70</f>
        <v>APPL-09</v>
      </c>
      <c r="B70" s="242" t="str">
        <f>VLOOKUP(A70,'HECVAT - Full'!A$24:B$312,2,FALSE)</f>
        <v xml:space="preserve">Describe or provide a reference to additional software/products necessary to implement a functional system on either the backend or user-interface side of the system. </v>
      </c>
      <c r="C70" s="280" t="s">
        <v>3056</v>
      </c>
      <c r="D70" s="243" t="s">
        <v>2741</v>
      </c>
    </row>
    <row r="71" spans="1:255" ht="99.75" x14ac:dyDescent="0.2">
      <c r="A71" s="242" t="str">
        <f>'HECVAT - Full'!A71</f>
        <v>APPL-10</v>
      </c>
      <c r="B71" s="242" t="str">
        <f>VLOOKUP(A71,'HECVAT - Full'!A$24:B$312,2,FALSE)</f>
        <v xml:space="preserve">Describe or provide a reference to the overall system and/or application architecture(s), including appropriate diagrams. Include a full description of the data communications architecture for all components of the system. </v>
      </c>
      <c r="C71" s="243" t="s">
        <v>2742</v>
      </c>
      <c r="D71" s="280" t="s">
        <v>3057</v>
      </c>
    </row>
    <row r="72" spans="1:255" ht="67.5" customHeight="1" x14ac:dyDescent="0.2">
      <c r="A72" s="242" t="str">
        <f>'HECVAT - Full'!A72</f>
        <v>APPL-11</v>
      </c>
      <c r="B72" s="242" t="str">
        <f>VLOOKUP(A72,'HECVAT - Full'!A$24:B$312,2,FALSE)</f>
        <v>Are databases used in the system segregated from front-end systems? (e.g. web and application servers)</v>
      </c>
      <c r="C72" s="243" t="s">
        <v>2743</v>
      </c>
      <c r="D72" s="253" t="s">
        <v>2744</v>
      </c>
    </row>
    <row r="73" spans="1:255" ht="114.75" customHeight="1" x14ac:dyDescent="0.2">
      <c r="A73" s="242" t="str">
        <f>'HECVAT - Full'!A73</f>
        <v>APPL-12</v>
      </c>
      <c r="B73" s="242" t="str">
        <f>VLOOKUP(A73,'HECVAT - Full'!A$24:B$312,2,FALSE)</f>
        <v xml:space="preserve">Describe or provide a reference to all web-enabled features and functionality of the system (i.e. accessed via a web-based interface). </v>
      </c>
      <c r="C73" s="280" t="s">
        <v>3058</v>
      </c>
      <c r="D73" s="243" t="s">
        <v>2745</v>
      </c>
    </row>
    <row r="74" spans="1:255" ht="64.5" customHeight="1" x14ac:dyDescent="0.2">
      <c r="A74" s="242" t="str">
        <f>'HECVAT - Full'!A74</f>
        <v>APPL-13</v>
      </c>
      <c r="B74" s="242" t="str">
        <f>VLOOKUP(A74,'HECVAT - Full'!A$24:B$312,2,FALSE)</f>
        <v>Are there any OS and/or web-browser combinations that are not currently supported?</v>
      </c>
      <c r="C74" s="271" t="s">
        <v>3017</v>
      </c>
      <c r="D74" s="253" t="s">
        <v>2746</v>
      </c>
    </row>
    <row r="75" spans="1:255" ht="63" customHeight="1" x14ac:dyDescent="0.2">
      <c r="A75" s="242" t="str">
        <f>'HECVAT - Full'!A75</f>
        <v>APPL-14</v>
      </c>
      <c r="B75" s="242" t="str">
        <f>VLOOKUP(A75,'HECVAT - Full'!A$24:B$312,2,FALSE)</f>
        <v xml:space="preserve">Can your system take advantage of mobile and/or GPS enabled mobile devices?  </v>
      </c>
      <c r="C75" s="243" t="s">
        <v>2747</v>
      </c>
      <c r="D75" s="253" t="s">
        <v>2748</v>
      </c>
    </row>
    <row r="76" spans="1:255" ht="128.25" x14ac:dyDescent="0.2">
      <c r="A76" s="242" t="str">
        <f>'HECVAT - Full'!A76</f>
        <v>APPL-15</v>
      </c>
      <c r="B76" s="242" t="str">
        <f>VLOOKUP(A76,'HECVAT - Full'!A$24:B$312,2,FALSE)</f>
        <v>Describe or provide a reference to the facilities available in the system to provide separation of duties between security administration and system administration functions.</v>
      </c>
      <c r="C76" s="275" t="s">
        <v>3059</v>
      </c>
      <c r="D76" s="248" t="s">
        <v>2734</v>
      </c>
    </row>
    <row r="77" spans="1:255" ht="99.75" x14ac:dyDescent="0.2">
      <c r="A77" s="242" t="str">
        <f>'HECVAT - Full'!A77</f>
        <v>APPL-16</v>
      </c>
      <c r="B77" s="242" t="str">
        <f>VLOOKUP(A77,'HECVAT - Full'!A$24:B$312,2,FALSE)</f>
        <v>Describe or provide a reference that details how administrator access is handled (e.g. provisioning, principle of least privilege, deprovisioning, etc.)</v>
      </c>
      <c r="C77" s="243" t="s">
        <v>2749</v>
      </c>
      <c r="D77" s="253" t="s">
        <v>2750</v>
      </c>
    </row>
    <row r="78" spans="1:255" ht="65.099999999999994" customHeight="1" x14ac:dyDescent="0.2">
      <c r="A78" s="242" t="str">
        <f>'HECVAT - Full'!A78</f>
        <v>APPL-17</v>
      </c>
      <c r="B78" s="242" t="str">
        <f>VLOOKUP(A78,'HECVAT - Full'!A$24:B$312,2,FALSE)</f>
        <v>Describe or provide references explaining how tertiary services are redundant (i.e. DNS, ISP, etc.).</v>
      </c>
      <c r="C78" s="243" t="s">
        <v>2751</v>
      </c>
      <c r="D78" s="243" t="s">
        <v>2752</v>
      </c>
    </row>
    <row r="79" spans="1:255" ht="36" customHeight="1" x14ac:dyDescent="0.2">
      <c r="A79" s="335" t="str">
        <f>IF($C$30="","Authentication, Authorization, and Accounting",IF($C$30="Yes","AAA - Optional based on QUALIFIER response.","Authentication, Authorization, and Accounting"))</f>
        <v>Authentication, Authorization, and Accounting</v>
      </c>
      <c r="B79" s="335"/>
      <c r="C79" s="240" t="str">
        <f>$C$22</f>
        <v>Reason for Question</v>
      </c>
      <c r="D79" s="240" t="str">
        <f>$D$22</f>
        <v>Follow-up Inquiries/Responses</v>
      </c>
    </row>
    <row r="80" spans="1:255" ht="111.95" customHeight="1" x14ac:dyDescent="0.2">
      <c r="A80" s="242" t="str">
        <f>'HECVAT - Full'!A80</f>
        <v>AAAI-01</v>
      </c>
      <c r="B80" s="242" t="str">
        <f>VLOOKUP(A80,'HECVAT - Full'!A$24:B$312,2,FALSE)</f>
        <v>Can you enforce password/passphrase aging requirements?</v>
      </c>
      <c r="C80" s="245" t="s">
        <v>2753</v>
      </c>
      <c r="D80" s="250" t="s">
        <v>2754</v>
      </c>
    </row>
    <row r="81" spans="1:4" ht="57" x14ac:dyDescent="0.2">
      <c r="A81" s="242" t="str">
        <f>'HECVAT - Full'!A81</f>
        <v>AAAI-02</v>
      </c>
      <c r="B81" s="242" t="str">
        <f>VLOOKUP(A81,'HECVAT - Full'!A$24:B$312,2,FALSE)</f>
        <v>Can you enforce password/passphrase complexity requirements [provided by the institution]?</v>
      </c>
      <c r="C81" s="243" t="s">
        <v>2755</v>
      </c>
      <c r="D81" s="253" t="s">
        <v>2756</v>
      </c>
    </row>
    <row r="82" spans="1:4" ht="57" x14ac:dyDescent="0.2">
      <c r="A82" s="242" t="str">
        <f>'HECVAT - Full'!A82</f>
        <v>AAAI-03</v>
      </c>
      <c r="B82" s="242" t="str">
        <f>VLOOKUP(A82,'HECVAT - Full'!A$24:B$312,2,FALSE)</f>
        <v>Does the system have password complexity or length limitations and/or restrictions?</v>
      </c>
      <c r="C82" s="243" t="s">
        <v>2755</v>
      </c>
      <c r="D82" s="253" t="s">
        <v>2757</v>
      </c>
    </row>
    <row r="83" spans="1:4" ht="57" x14ac:dyDescent="0.2">
      <c r="A83" s="242" t="str">
        <f>'HECVAT - Full'!A83</f>
        <v>AAAI-04</v>
      </c>
      <c r="B83" s="242" t="str">
        <f>VLOOKUP(A83,'HECVAT - Full'!A$24:B$312,2,FALSE)</f>
        <v>Do you have documented password/passphrase reset procedures that are currently implemented in the system and/or customer support?</v>
      </c>
      <c r="C83" s="243" t="s">
        <v>2758</v>
      </c>
      <c r="D83" s="254" t="s">
        <v>2759</v>
      </c>
    </row>
    <row r="84" spans="1:4" ht="111.95" customHeight="1" x14ac:dyDescent="0.2">
      <c r="A84" s="242" t="str">
        <f>'HECVAT - Full'!A84</f>
        <v>AAAI-05</v>
      </c>
      <c r="B84" s="242" t="str">
        <f>VLOOKUP(A84,'HECVAT - Full'!A$24:B$312,2,FALSE)</f>
        <v>Does your web-based interface support authentication, including standards-based single-sign-on? (e.g. InCommon)</v>
      </c>
      <c r="C84" s="275" t="s">
        <v>3018</v>
      </c>
      <c r="D84" s="245" t="s">
        <v>2760</v>
      </c>
    </row>
    <row r="85" spans="1:4" ht="71.25" x14ac:dyDescent="0.2">
      <c r="A85" s="242" t="str">
        <f>'HECVAT - Full'!A85</f>
        <v>AAAI-06</v>
      </c>
      <c r="B85" s="242" t="str">
        <f>VLOOKUP(A85,'HECVAT - Full'!A$24:B$312,2,FALSE)</f>
        <v>Are there any passwords/passphrases hard coded into your systems or products?</v>
      </c>
      <c r="C85" s="243" t="s">
        <v>2761</v>
      </c>
      <c r="D85" s="253" t="s">
        <v>2762</v>
      </c>
    </row>
    <row r="86" spans="1:4" ht="71.25" x14ac:dyDescent="0.2">
      <c r="A86" s="242" t="str">
        <f>'HECVAT - Full'!A86</f>
        <v>AAAI-07</v>
      </c>
      <c r="B86" s="242" t="str">
        <f>VLOOKUP(A86,'HECVAT - Full'!A$24:B$312,2,FALSE)</f>
        <v>Are user account passwords/passphrases visible in administration modules?</v>
      </c>
      <c r="C86" s="243" t="s">
        <v>2763</v>
      </c>
      <c r="D86" s="253" t="s">
        <v>2764</v>
      </c>
    </row>
    <row r="87" spans="1:4" ht="42.75" x14ac:dyDescent="0.2">
      <c r="A87" s="242" t="str">
        <f>'HECVAT - Full'!A87</f>
        <v>AAAI-08</v>
      </c>
      <c r="B87" s="242" t="str">
        <f>VLOOKUP(A87,'HECVAT - Full'!A$24:B$312,2,FALSE)</f>
        <v>Are user account passwords/passphrases stored encrypted?</v>
      </c>
      <c r="C87" s="243" t="s">
        <v>2765</v>
      </c>
      <c r="D87" s="31" t="s">
        <v>3019</v>
      </c>
    </row>
    <row r="88" spans="1:4" ht="62.25" customHeight="1" x14ac:dyDescent="0.2">
      <c r="A88" s="242" t="str">
        <f>'HECVAT - Full'!A88</f>
        <v>AAAI-09</v>
      </c>
      <c r="B88" s="242" t="str">
        <f>VLOOKUP(A88,'HECVAT - Full'!A$24:B$312,2,FALSE)</f>
        <v>Does your application and/or user-frontend/portal support multi-factor authentication? (e.g. Duo, Google Authenticator, OTP, etc.)</v>
      </c>
      <c r="C88" s="243" t="s">
        <v>2766</v>
      </c>
      <c r="D88" s="253" t="s">
        <v>2767</v>
      </c>
    </row>
    <row r="89" spans="1:4" ht="84" customHeight="1" x14ac:dyDescent="0.2">
      <c r="A89" s="242" t="str">
        <f>'HECVAT - Full'!A89</f>
        <v>AAAI-10</v>
      </c>
      <c r="B89" s="242" t="str">
        <f>VLOOKUP(A89,'HECVAT - Full'!A$24:B$312,2,FALSE)</f>
        <v>Does your application support integration with other authentication and authorization systems?  List which ones (such as Active Directory, Kerberos and what version) in Additional Info?</v>
      </c>
      <c r="C89" s="275" t="s">
        <v>3018</v>
      </c>
      <c r="D89" s="245" t="s">
        <v>2768</v>
      </c>
    </row>
    <row r="90" spans="1:4" ht="85.5" x14ac:dyDescent="0.2">
      <c r="A90" s="242" t="str">
        <f>'HECVAT - Full'!A90</f>
        <v>AAAI-11</v>
      </c>
      <c r="B90" s="242" t="str">
        <f>VLOOKUP(A90,'HECVAT - Full'!A$24:B$312,2,FALSE)</f>
        <v>Will any external authentication or authorization system be utilized by an application with access to the institution's data?</v>
      </c>
      <c r="C90" s="253" t="s">
        <v>2769</v>
      </c>
      <c r="D90" s="253" t="s">
        <v>2770</v>
      </c>
    </row>
    <row r="91" spans="1:4" ht="96" customHeight="1" x14ac:dyDescent="0.2">
      <c r="A91" s="242" t="str">
        <f>'HECVAT - Full'!A91</f>
        <v>AAAI-12</v>
      </c>
      <c r="B91" s="242" t="str">
        <f>VLOOKUP(A91,'HECVAT - Full'!A$24:B$312,2,FALSE)</f>
        <v>Does the system (servers/infrastructure) support external authentication services (e.g. Active Directory, LDAP) in place of local authentication?</v>
      </c>
      <c r="C91" s="275" t="s">
        <v>3020</v>
      </c>
      <c r="D91" s="279" t="s">
        <v>3060</v>
      </c>
    </row>
    <row r="92" spans="1:4" ht="63.75" customHeight="1" x14ac:dyDescent="0.2">
      <c r="A92" s="242" t="str">
        <f>'HECVAT - Full'!A92</f>
        <v>AAAI-13</v>
      </c>
      <c r="B92" s="242" t="str">
        <f>VLOOKUP(A92,'HECVAT - Full'!A$24:B$312,2,FALSE)</f>
        <v>Does the system operate in a mixed authentication mode (i.e. external and local authentication)?</v>
      </c>
      <c r="C92" s="253" t="s">
        <v>2771</v>
      </c>
      <c r="D92" s="253" t="s">
        <v>2772</v>
      </c>
    </row>
    <row r="93" spans="1:4" ht="63" customHeight="1" x14ac:dyDescent="0.2">
      <c r="A93" s="242" t="str">
        <f>'HECVAT - Full'!A93</f>
        <v>AAAI-14</v>
      </c>
      <c r="B93" s="242" t="str">
        <f>VLOOKUP(A93,'HECVAT - Full'!A$24:B$312,2,FALSE)</f>
        <v>Will any external authentication or authorization system be utilized by a system with access to institution data?</v>
      </c>
      <c r="C93" s="253" t="s">
        <v>2771</v>
      </c>
      <c r="D93" s="253" t="s">
        <v>2772</v>
      </c>
    </row>
    <row r="94" spans="1:4" ht="96" customHeight="1" x14ac:dyDescent="0.2">
      <c r="A94" s="242" t="str">
        <f>'HECVAT - Full'!A94</f>
        <v>AAAI-15</v>
      </c>
      <c r="B94" s="242" t="str">
        <f>VLOOKUP(A94,'HECVAT - Full'!A$24:B$312,2,FALSE)</f>
        <v>Are audit logs available that include AT LEAST all of the following; login, logout, actions performed, and source IP address?</v>
      </c>
      <c r="C94" s="245" t="s">
        <v>2773</v>
      </c>
      <c r="D94" s="249" t="s">
        <v>2774</v>
      </c>
    </row>
    <row r="95" spans="1:4" ht="128.25" x14ac:dyDescent="0.2">
      <c r="A95" s="242" t="str">
        <f>'HECVAT - Full'!A95</f>
        <v>AAAI-16</v>
      </c>
      <c r="B95" s="242" t="str">
        <f>VLOOKUP(A95,'HECVAT - Full'!A$24:B$312,2,FALSE)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95" s="275" t="s">
        <v>3061</v>
      </c>
      <c r="D95" s="249" t="s">
        <v>2774</v>
      </c>
    </row>
    <row r="96" spans="1:4" ht="89.25" customHeight="1" x14ac:dyDescent="0.2">
      <c r="A96" s="242" t="str">
        <f>'HECVAT - Full'!A96</f>
        <v>AAAI-17</v>
      </c>
      <c r="B96" s="242" t="str">
        <f>VLOOKUP(A96,'HECVAT - Full'!A$24:B$312,2,FALSE)</f>
        <v>Describe or provide a reference to the retention period for those logs, how logs are protected, and whether they are accessible to the customer (and if so, how).</v>
      </c>
      <c r="C96" s="243" t="s">
        <v>2775</v>
      </c>
      <c r="D96" s="250" t="s">
        <v>2776</v>
      </c>
    </row>
    <row r="97" spans="1:4" ht="36" customHeight="1" x14ac:dyDescent="0.2">
      <c r="A97" s="335" t="str">
        <f>IF(OR($C$27="No",$C$30="Yes"),"BCP - Respond to as many questions below as possible.","Business Continuity Plan")</f>
        <v>Business Continuity Plan</v>
      </c>
      <c r="B97" s="335"/>
      <c r="C97" s="240" t="str">
        <f>$C$22</f>
        <v>Reason for Question</v>
      </c>
      <c r="D97" s="240" t="str">
        <f>$D$22</f>
        <v>Follow-up Inquiries/Responses</v>
      </c>
    </row>
    <row r="98" spans="1:4" ht="114" x14ac:dyDescent="0.2">
      <c r="A98" s="242" t="str">
        <f>'HECVAT - Full'!A98</f>
        <v>BCPL-01</v>
      </c>
      <c r="B98" s="242" t="str">
        <f>VLOOKUP(A98,'HECVAT - Full'!A$24:B$312,2,FALSE)</f>
        <v>Describe or provide a reference to your Business Continuity Plan (BCP).</v>
      </c>
      <c r="C98" s="275" t="s">
        <v>3021</v>
      </c>
      <c r="D98" s="249" t="s">
        <v>2777</v>
      </c>
    </row>
    <row r="99" spans="1:4" ht="47.1" customHeight="1" x14ac:dyDescent="0.2">
      <c r="A99" s="242" t="str">
        <f>'HECVAT - Full'!A99</f>
        <v>BCPL-02</v>
      </c>
      <c r="B99" s="242" t="str">
        <f>VLOOKUP(A99,'HECVAT - Full'!A$24:B$312,2,FALSE)</f>
        <v>May the Institution review your BCP and supporting documentation?</v>
      </c>
      <c r="C99" s="271" t="s">
        <v>3022</v>
      </c>
      <c r="D99" s="253" t="s">
        <v>2778</v>
      </c>
    </row>
    <row r="100" spans="1:4" ht="57" x14ac:dyDescent="0.2">
      <c r="A100" s="242" t="str">
        <f>'HECVAT - Full'!A100</f>
        <v>BCPL-03</v>
      </c>
      <c r="B100" s="242" t="str">
        <f>VLOOKUP(A100,'HECVAT - Full'!A$24:B$312,2,FALSE)</f>
        <v>Is an owner assigned who is responsible for the maintenance and review of the Business Continuity Plan?</v>
      </c>
      <c r="C100" s="271" t="s">
        <v>3023</v>
      </c>
      <c r="D100" s="250" t="s">
        <v>2779</v>
      </c>
    </row>
    <row r="101" spans="1:4" ht="71.25" x14ac:dyDescent="0.2">
      <c r="A101" s="242" t="str">
        <f>'HECVAT - Full'!A101</f>
        <v>BCPL-04</v>
      </c>
      <c r="B101" s="242" t="str">
        <f>VLOOKUP(A101,'HECVAT - Full'!A$24:B$312,2,FALSE)</f>
        <v>Is there a defined problem/issue escalation plan in your BCP for impacted clients?</v>
      </c>
      <c r="C101" s="245" t="s">
        <v>2780</v>
      </c>
      <c r="D101" s="249" t="s">
        <v>2781</v>
      </c>
    </row>
    <row r="102" spans="1:4" ht="63.95" customHeight="1" x14ac:dyDescent="0.2">
      <c r="A102" s="242" t="str">
        <f>'HECVAT - Full'!A102</f>
        <v>BCPL-05</v>
      </c>
      <c r="B102" s="242" t="str">
        <f>VLOOKUP(A102,'HECVAT - Full'!A$24:B$312,2,FALSE)</f>
        <v>Is there a documented communication plan in your BCP for impacted clients?</v>
      </c>
      <c r="C102" s="245" t="s">
        <v>2780</v>
      </c>
      <c r="D102" s="249" t="s">
        <v>2781</v>
      </c>
    </row>
    <row r="103" spans="1:4" ht="96" customHeight="1" x14ac:dyDescent="0.2">
      <c r="A103" s="242" t="str">
        <f>'HECVAT - Full'!A103</f>
        <v>BCPL-06</v>
      </c>
      <c r="B103" s="242" t="str">
        <f>VLOOKUP(A103,'HECVAT - Full'!A$24:B$312,2,FALSE)</f>
        <v xml:space="preserve">Are all components of the BCP reviewed at least annually and updated as needed to reflect change? </v>
      </c>
      <c r="C103" s="245" t="s">
        <v>2782</v>
      </c>
      <c r="D103" s="249" t="s">
        <v>2783</v>
      </c>
    </row>
    <row r="104" spans="1:4" ht="57" x14ac:dyDescent="0.2">
      <c r="A104" s="242" t="str">
        <f>'HECVAT - Full'!A104</f>
        <v>BCPL-07</v>
      </c>
      <c r="B104" s="242" t="str">
        <f>VLOOKUP(A104,'HECVAT - Full'!A$24:B$312,2,FALSE)</f>
        <v xml:space="preserve">Has your BCP been tested in the last year? </v>
      </c>
      <c r="C104" s="275" t="s">
        <v>3024</v>
      </c>
      <c r="D104" s="249" t="s">
        <v>2783</v>
      </c>
    </row>
    <row r="105" spans="1:4" ht="71.25" x14ac:dyDescent="0.2">
      <c r="A105" s="242" t="str">
        <f>'HECVAT - Full'!A105</f>
        <v>BCPL-08</v>
      </c>
      <c r="B105" s="242" t="str">
        <f>VLOOKUP(A105,'HECVAT - Full'!A$24:B$312,2,FALSE)</f>
        <v>Does your organization conduct training and awareness activities to validate its employees understanding of their roles and responsibilities during a crisis?</v>
      </c>
      <c r="C105" s="271" t="s">
        <v>3025</v>
      </c>
      <c r="D105" s="253" t="s">
        <v>2784</v>
      </c>
    </row>
    <row r="106" spans="1:4" ht="99.75" x14ac:dyDescent="0.2">
      <c r="A106" s="242" t="str">
        <f>'HECVAT - Full'!A106</f>
        <v>BCPL-09</v>
      </c>
      <c r="B106" s="242" t="str">
        <f>VLOOKUP(A106,'HECVAT - Full'!A$24:B$312,2,FALSE)</f>
        <v>Are specific crisis management roles and responsibilities defined and documented?</v>
      </c>
      <c r="C106" s="243" t="s">
        <v>2785</v>
      </c>
      <c r="D106" s="253" t="s">
        <v>2786</v>
      </c>
    </row>
    <row r="107" spans="1:4" ht="85.5" x14ac:dyDescent="0.2">
      <c r="A107" s="242" t="str">
        <f>'HECVAT - Full'!A107</f>
        <v>BCPL-10</v>
      </c>
      <c r="B107" s="242" t="str">
        <f>VLOOKUP(A107,'HECVAT - Full'!A$24:B$312,2,FALSE)</f>
        <v>Does your organization have an alternative business site or a contracted Business Recovery provider?</v>
      </c>
      <c r="C107" s="243" t="s">
        <v>2787</v>
      </c>
      <c r="D107" s="253" t="s">
        <v>2788</v>
      </c>
    </row>
    <row r="108" spans="1:4" ht="71.25" x14ac:dyDescent="0.2">
      <c r="A108" s="242" t="str">
        <f>'HECVAT - Full'!A108</f>
        <v>BCPL-11</v>
      </c>
      <c r="B108" s="242" t="str">
        <f>VLOOKUP(A108,'HECVAT - Full'!A$24:B$312,2,FALSE)</f>
        <v>Does your organization conduct an annual test of relocating to an alternate site for business recovery purposes?</v>
      </c>
      <c r="C108" s="275" t="s">
        <v>3026</v>
      </c>
      <c r="D108" s="249" t="s">
        <v>2783</v>
      </c>
    </row>
    <row r="109" spans="1:4" ht="99.75" x14ac:dyDescent="0.2">
      <c r="A109" s="242" t="str">
        <f>'HECVAT - Full'!A109</f>
        <v>BCPL-12</v>
      </c>
      <c r="B109" s="242" t="str">
        <f>VLOOKUP(A109,'HECVAT - Full'!A$24:B$312,2,FALSE)</f>
        <v>Is this product a core service of your organization, and as such, the top priority during business continuity planning?</v>
      </c>
      <c r="C109" s="243" t="s">
        <v>2789</v>
      </c>
      <c r="D109" s="253" t="s">
        <v>2790</v>
      </c>
    </row>
    <row r="110" spans="1:4" ht="36" customHeight="1" x14ac:dyDescent="0.2">
      <c r="A110" s="335" t="str">
        <f>IF($C$30="","Change Management",IF($C$30="Yes","Change Management - Optional based on QUALIFIER response.","Change Management"))</f>
        <v>Change Management</v>
      </c>
      <c r="B110" s="335"/>
      <c r="C110" s="240" t="str">
        <f>$C$22</f>
        <v>Reason for Question</v>
      </c>
      <c r="D110" s="240" t="str">
        <f>$D$22</f>
        <v>Follow-up Inquiries/Responses</v>
      </c>
    </row>
    <row r="111" spans="1:4" ht="71.25" x14ac:dyDescent="0.2">
      <c r="A111" s="242" t="str">
        <f>'HECVAT - Full'!A111</f>
        <v>CHNG-01</v>
      </c>
      <c r="B111" s="242" t="str">
        <f>VLOOKUP(A111,'HECVAT - Full'!A$24:B$312,2,FALSE)</f>
        <v xml:space="preserve">Do you have a documented and currently followed change management process (CMP)? </v>
      </c>
      <c r="C111" s="245" t="s">
        <v>2791</v>
      </c>
      <c r="D111" s="249" t="s">
        <v>2792</v>
      </c>
    </row>
    <row r="112" spans="1:4" ht="80.099999999999994" customHeight="1" x14ac:dyDescent="0.2">
      <c r="A112" s="242" t="str">
        <f>'HECVAT - Full'!A112</f>
        <v>CHNG-02</v>
      </c>
      <c r="B112" s="242" t="str">
        <f>VLOOKUP(A112,'HECVAT - Full'!A$24:B$312,2,FALSE)</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C112" s="243" t="s">
        <v>2793</v>
      </c>
      <c r="D112" s="243" t="s">
        <v>2794</v>
      </c>
    </row>
    <row r="113" spans="1:255" ht="72" customHeight="1" x14ac:dyDescent="0.2">
      <c r="A113" s="242" t="str">
        <f>'HECVAT - Full'!A113</f>
        <v>CHNG-03</v>
      </c>
      <c r="B113" s="242" t="str">
        <f>VLOOKUP(A113,'HECVAT - Full'!A$24:B$312,2,FALSE)</f>
        <v>Will the Institution be notified of major changes to your environment that could impact the Institution's security posture?</v>
      </c>
      <c r="C113" s="245" t="s">
        <v>2795</v>
      </c>
      <c r="D113" s="249" t="s">
        <v>2781</v>
      </c>
    </row>
    <row r="114" spans="1:255" ht="114" x14ac:dyDescent="0.2">
      <c r="A114" s="242" t="str">
        <f>'HECVAT - Full'!A114</f>
        <v>CHNG-04</v>
      </c>
      <c r="B114" s="242" t="str">
        <f>VLOOKUP(A114,'HECVAT - Full'!A$24:B$312,2,FALSE)</f>
        <v>Do clients have the option to not participate in or postpone an upgrade to a new release?</v>
      </c>
      <c r="C114" s="271" t="s">
        <v>3027</v>
      </c>
      <c r="D114" s="243" t="s">
        <v>2796</v>
      </c>
    </row>
    <row r="115" spans="1:255" ht="64.349999999999994" customHeight="1" x14ac:dyDescent="0.2">
      <c r="A115" s="242" t="str">
        <f>'HECVAT - Full'!A115</f>
        <v>CHNG-05</v>
      </c>
      <c r="B115" s="242" t="str">
        <f>VLOOKUP(A115,'HECVAT - Full'!A$24:B$312,2,FALSE)</f>
        <v>Describe or provide a reference to your solution support strategy in relation to maintaining software currency. (i.e. how many concurrent versions are you willing to run and support?)</v>
      </c>
      <c r="C115" s="243" t="s">
        <v>2797</v>
      </c>
      <c r="D115" s="243" t="s">
        <v>2798</v>
      </c>
    </row>
    <row r="116" spans="1:255" ht="79.5" customHeight="1" x14ac:dyDescent="0.2">
      <c r="A116" s="242" t="str">
        <f>'HECVAT - Full'!A116</f>
        <v>CHNG-06</v>
      </c>
      <c r="B116" s="242" t="str">
        <f>VLOOKUP(A116,'HECVAT - Full'!A$24:B$312,2,FALSE)</f>
        <v>Identify the most current version of the software. Detail the percentage of live customers that are utilizing the proposed version of the software as well as each version of the software currently in use.</v>
      </c>
      <c r="C116" s="243" t="s">
        <v>2799</v>
      </c>
      <c r="D116" s="243" t="s">
        <v>2798</v>
      </c>
    </row>
    <row r="117" spans="1:255" ht="92.25" customHeight="1" x14ac:dyDescent="0.2">
      <c r="A117" s="242" t="str">
        <f>'HECVAT - Full'!A117</f>
        <v>CHNG-07</v>
      </c>
      <c r="B117" s="242" t="str">
        <f>VLOOKUP(A117,'HECVAT - Full'!A$24:B$312,2,FALSE)</f>
        <v>Does the system support client customizations from one release to another?</v>
      </c>
      <c r="C117" s="243" t="s">
        <v>2800</v>
      </c>
      <c r="D117" s="271" t="s">
        <v>3028</v>
      </c>
    </row>
    <row r="118" spans="1:255" ht="64.349999999999994" customHeight="1" x14ac:dyDescent="0.2">
      <c r="A118" s="242" t="str">
        <f>'HECVAT - Full'!A118</f>
        <v>CHNG-08</v>
      </c>
      <c r="B118" s="242" t="str">
        <f>VLOOKUP(A118,'HECVAT - Full'!A$24:B$312,2,FALSE)</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C118" s="243" t="s">
        <v>2801</v>
      </c>
      <c r="D118" s="243" t="s">
        <v>2802</v>
      </c>
    </row>
    <row r="119" spans="1:255" ht="64.349999999999994" customHeight="1" x14ac:dyDescent="0.2">
      <c r="A119" s="242" t="str">
        <f>'HECVAT - Full'!A119</f>
        <v>CHNG-09</v>
      </c>
      <c r="B119" s="242" t="str">
        <f>VLOOKUP(A119,'HECVAT - Full'!A$24:B$312,2,FALSE)</f>
        <v>Do you have a release schedule for product updates?</v>
      </c>
      <c r="C119" s="243" t="s">
        <v>2803</v>
      </c>
      <c r="D119" s="243" t="s">
        <v>2804</v>
      </c>
    </row>
    <row r="120" spans="1:255" ht="64.349999999999994" customHeight="1" x14ac:dyDescent="0.2">
      <c r="A120" s="242" t="str">
        <f>'HECVAT - Full'!A120</f>
        <v>CHNG-10</v>
      </c>
      <c r="B120" s="242" t="str">
        <f>VLOOKUP(A120,'HECVAT - Full'!A$24:B$312,2,FALSE)</f>
        <v>Do you have a technology roadmap, for the next 2 years, for enhancements and bug fixes for the product/service being assessed?</v>
      </c>
      <c r="C120" s="243" t="s">
        <v>2805</v>
      </c>
      <c r="D120" s="243" t="s">
        <v>2806</v>
      </c>
    </row>
    <row r="121" spans="1:255" ht="114" x14ac:dyDescent="0.2">
      <c r="A121" s="242" t="str">
        <f>'HECVAT - Full'!A121</f>
        <v>CHNG-11</v>
      </c>
      <c r="B121" s="242" t="str">
        <f>VLOOKUP(A121,'HECVAT - Full'!A$24:B$312,2,FALSE)</f>
        <v>Is Institution involvement (i.e. technically or organizationally) required during product updates?</v>
      </c>
      <c r="C121" s="271" t="s">
        <v>3029</v>
      </c>
      <c r="D121" s="243" t="s">
        <v>2807</v>
      </c>
    </row>
    <row r="122" spans="1:255" ht="64.349999999999994" customHeight="1" x14ac:dyDescent="0.2">
      <c r="A122" s="242" t="str">
        <f>'HECVAT - Full'!A122</f>
        <v>CHNG-12</v>
      </c>
      <c r="B122" s="242" t="str">
        <f>VLOOKUP(A122,'HECVAT - Full'!A$24:B$312,2,FALSE)</f>
        <v>Do you have policy and procedure, currently implemented, managing how critical patches are applied to all systems and applications?</v>
      </c>
      <c r="C122" s="243" t="s">
        <v>2808</v>
      </c>
      <c r="D122" s="243" t="s">
        <v>2809</v>
      </c>
    </row>
    <row r="123" spans="1:255" ht="96" customHeight="1" x14ac:dyDescent="0.2">
      <c r="A123" s="242" t="str">
        <f>'HECVAT - Full'!A123</f>
        <v>CHNG-13</v>
      </c>
      <c r="B123" s="242" t="str">
        <f>VLOOKUP(A123,'HECVAT - Full'!A$24:B$312,2,FALSE)</f>
        <v>Do you have policy and procedure, currently implemented, guiding how security risks are mitigated until patches can be applied?</v>
      </c>
      <c r="C123" s="275" t="s">
        <v>3030</v>
      </c>
      <c r="D123" s="249" t="s">
        <v>2810</v>
      </c>
    </row>
    <row r="124" spans="1:255" ht="73.5" customHeight="1" x14ac:dyDescent="0.2">
      <c r="A124" s="242" t="str">
        <f>'HECVAT - Full'!A124</f>
        <v>CHNG-14</v>
      </c>
      <c r="B124" s="242" t="str">
        <f>VLOOKUP(A124,'HECVAT - Full'!A$24:B$312,2,FALSE)</f>
        <v>Are upgrades or system changes installed during off-peak hours or in a manner that does not impact the customer?</v>
      </c>
      <c r="C124" s="243" t="s">
        <v>2811</v>
      </c>
      <c r="D124" s="243" t="s">
        <v>2794</v>
      </c>
    </row>
    <row r="125" spans="1:255" ht="80.099999999999994" customHeight="1" x14ac:dyDescent="0.2">
      <c r="A125" s="242" t="str">
        <f>'HECVAT - Full'!A125</f>
        <v>CHNG-15</v>
      </c>
      <c r="B125" s="242" t="str">
        <f>VLOOKUP(A125,'HECVAT - Full'!A$24:B$312,2,FALSE)</f>
        <v>Do procedures exist to provide that emergency changes are documented and authorized (including after the fact approval)?</v>
      </c>
      <c r="C125" s="245" t="s">
        <v>2812</v>
      </c>
      <c r="D125" s="245" t="s">
        <v>2813</v>
      </c>
    </row>
    <row r="126" spans="1:255" ht="36" customHeight="1" x14ac:dyDescent="0.2">
      <c r="A126" s="335" t="str">
        <f>IF($C$30="","Data",IF($C$30="Yes","Data - Optional based on QUALIFIER response.","Data"))</f>
        <v>Data</v>
      </c>
      <c r="B126" s="335"/>
      <c r="C126" s="240" t="str">
        <f>$C$22</f>
        <v>Reason for Question</v>
      </c>
      <c r="D126" s="240" t="str">
        <f>$D$22</f>
        <v>Follow-up Inquiries/Responses</v>
      </c>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6"/>
      <c r="AN126" s="136"/>
      <c r="AO126" s="136"/>
      <c r="AP126" s="136"/>
      <c r="AQ126" s="136"/>
      <c r="AR126" s="136"/>
      <c r="AS126" s="136"/>
      <c r="AT126" s="136"/>
      <c r="AU126" s="136"/>
      <c r="AV126" s="136"/>
      <c r="AW126" s="136"/>
      <c r="AX126" s="136"/>
      <c r="AY126" s="136"/>
      <c r="AZ126" s="136"/>
      <c r="BA126" s="136"/>
      <c r="BB126" s="136"/>
      <c r="BC126" s="136"/>
      <c r="BD126" s="136"/>
      <c r="BE126" s="136"/>
      <c r="BF126" s="136"/>
      <c r="BG126" s="136"/>
      <c r="BH126" s="136"/>
      <c r="BI126" s="136"/>
      <c r="BJ126" s="136"/>
      <c r="BK126" s="136"/>
      <c r="BL126" s="136"/>
      <c r="BM126" s="136"/>
      <c r="BN126" s="136"/>
      <c r="BO126" s="136"/>
      <c r="BP126" s="136"/>
      <c r="BQ126" s="136"/>
      <c r="BR126" s="136"/>
      <c r="BS126" s="136"/>
      <c r="BT126" s="136"/>
      <c r="BU126" s="136"/>
      <c r="BV126" s="136"/>
      <c r="BW126" s="136"/>
      <c r="BX126" s="136"/>
      <c r="BY126" s="136"/>
      <c r="BZ126" s="136"/>
      <c r="CA126" s="136"/>
      <c r="CB126" s="136"/>
      <c r="CC126" s="136"/>
      <c r="CD126" s="136"/>
      <c r="CE126" s="136"/>
      <c r="CF126" s="136"/>
      <c r="CG126" s="136"/>
      <c r="CH126" s="136"/>
      <c r="CI126" s="136"/>
      <c r="CJ126" s="136"/>
      <c r="CK126" s="136"/>
      <c r="CL126" s="136"/>
      <c r="CM126" s="136"/>
      <c r="CN126" s="136"/>
      <c r="CO126" s="136"/>
      <c r="CP126" s="136"/>
      <c r="CQ126" s="136"/>
      <c r="CR126" s="136"/>
      <c r="CS126" s="136"/>
      <c r="CT126" s="136"/>
      <c r="CU126" s="136"/>
      <c r="CV126" s="136"/>
      <c r="CW126" s="136"/>
      <c r="CX126" s="136"/>
      <c r="CY126" s="136"/>
      <c r="CZ126" s="136"/>
      <c r="DA126" s="136"/>
      <c r="DB126" s="136"/>
      <c r="DC126" s="136"/>
      <c r="DD126" s="136"/>
      <c r="DE126" s="136"/>
      <c r="DF126" s="136"/>
      <c r="DG126" s="136"/>
      <c r="DH126" s="136"/>
      <c r="DI126" s="136"/>
      <c r="DJ126" s="136"/>
      <c r="DK126" s="136"/>
      <c r="DL126" s="136"/>
      <c r="DM126" s="136"/>
      <c r="DN126" s="136"/>
      <c r="DO126" s="136"/>
      <c r="DP126" s="136"/>
      <c r="DQ126" s="136"/>
      <c r="DR126" s="136"/>
      <c r="DS126" s="136"/>
      <c r="DT126" s="136"/>
      <c r="DU126" s="136"/>
      <c r="DV126" s="136"/>
      <c r="DW126" s="136"/>
      <c r="DX126" s="136"/>
      <c r="DY126" s="136"/>
      <c r="DZ126" s="136"/>
      <c r="EA126" s="136"/>
      <c r="EB126" s="136"/>
      <c r="EC126" s="136"/>
      <c r="ED126" s="136"/>
      <c r="EE126" s="136"/>
      <c r="EF126" s="136"/>
      <c r="EG126" s="136"/>
      <c r="EH126" s="136"/>
      <c r="EI126" s="136"/>
      <c r="EJ126" s="136"/>
      <c r="EK126" s="136"/>
      <c r="EL126" s="136"/>
      <c r="EM126" s="136"/>
      <c r="EN126" s="136"/>
      <c r="EO126" s="136"/>
      <c r="EP126" s="136"/>
      <c r="EQ126" s="136"/>
      <c r="ER126" s="136"/>
      <c r="ES126" s="136"/>
      <c r="ET126" s="136"/>
      <c r="EU126" s="136"/>
      <c r="EV126" s="136"/>
      <c r="EW126" s="136"/>
      <c r="EX126" s="136"/>
      <c r="EY126" s="136"/>
      <c r="EZ126" s="136"/>
      <c r="FA126" s="136"/>
      <c r="FB126" s="136"/>
      <c r="FC126" s="136"/>
      <c r="FD126" s="136"/>
      <c r="FE126" s="136"/>
      <c r="FF126" s="136"/>
      <c r="FG126" s="136"/>
      <c r="FH126" s="136"/>
      <c r="FI126" s="136"/>
      <c r="FJ126" s="136"/>
      <c r="FK126" s="136"/>
      <c r="FL126" s="136"/>
      <c r="FM126" s="136"/>
      <c r="FN126" s="136"/>
      <c r="FO126" s="136"/>
      <c r="FP126" s="136"/>
      <c r="FQ126" s="136"/>
      <c r="FR126" s="136"/>
      <c r="FS126" s="136"/>
      <c r="FT126" s="136"/>
      <c r="FU126" s="136"/>
      <c r="FV126" s="136"/>
      <c r="FW126" s="136"/>
      <c r="FX126" s="136"/>
      <c r="FY126" s="136"/>
      <c r="FZ126" s="136"/>
      <c r="GA126" s="136"/>
      <c r="GB126" s="136"/>
      <c r="GC126" s="136"/>
      <c r="GD126" s="136"/>
      <c r="GE126" s="136"/>
      <c r="GF126" s="136"/>
      <c r="GG126" s="136"/>
      <c r="GH126" s="136"/>
      <c r="GI126" s="136"/>
      <c r="GJ126" s="136"/>
      <c r="GK126" s="136"/>
      <c r="GL126" s="136"/>
      <c r="GM126" s="136"/>
      <c r="GN126" s="136"/>
      <c r="GO126" s="136"/>
      <c r="GP126" s="136"/>
      <c r="GQ126" s="136"/>
      <c r="GR126" s="136"/>
      <c r="GS126" s="136"/>
      <c r="GT126" s="136"/>
      <c r="GU126" s="136"/>
      <c r="GV126" s="136"/>
      <c r="GW126" s="136"/>
      <c r="GX126" s="136"/>
      <c r="GY126" s="136"/>
      <c r="GZ126" s="136"/>
      <c r="HA126" s="136"/>
      <c r="HB126" s="136"/>
      <c r="HC126" s="136"/>
      <c r="HD126" s="136"/>
      <c r="HE126" s="136"/>
      <c r="HF126" s="136"/>
      <c r="HG126" s="136"/>
      <c r="HH126" s="136"/>
      <c r="HI126" s="136"/>
      <c r="HJ126" s="136"/>
      <c r="HK126" s="136"/>
      <c r="HL126" s="136"/>
      <c r="HM126" s="136"/>
      <c r="HN126" s="136"/>
      <c r="HO126" s="136"/>
      <c r="HP126" s="136"/>
      <c r="HQ126" s="136"/>
      <c r="HR126" s="136"/>
      <c r="HS126" s="136"/>
      <c r="HT126" s="136"/>
      <c r="HU126" s="136"/>
      <c r="HV126" s="136"/>
      <c r="HW126" s="136"/>
      <c r="HX126" s="136"/>
      <c r="HY126" s="136"/>
      <c r="HZ126" s="136"/>
      <c r="IA126" s="136"/>
      <c r="IB126" s="136"/>
      <c r="IC126" s="136"/>
      <c r="ID126" s="136"/>
      <c r="IE126" s="136"/>
      <c r="IF126" s="136"/>
      <c r="IG126" s="136"/>
      <c r="IH126" s="136"/>
      <c r="II126" s="136"/>
      <c r="IJ126" s="136"/>
      <c r="IK126" s="136"/>
      <c r="IL126" s="136"/>
      <c r="IM126" s="136"/>
      <c r="IN126" s="136"/>
      <c r="IO126" s="136"/>
      <c r="IP126" s="136"/>
      <c r="IQ126" s="136"/>
      <c r="IR126" s="136"/>
      <c r="IS126" s="136"/>
      <c r="IT126" s="136"/>
      <c r="IU126" s="136"/>
    </row>
    <row r="127" spans="1:255" ht="128.25" x14ac:dyDescent="0.2">
      <c r="A127" s="242" t="str">
        <f>'HECVAT - Full'!A127</f>
        <v>DATA-01</v>
      </c>
      <c r="B127" s="242" t="str">
        <f>VLOOKUP(A127,'HECVAT - Full'!A$24:B$312,2,FALSE)</f>
        <v>Do you physically and logically separate Institution's data from that of other customers?</v>
      </c>
      <c r="C127" s="245" t="s">
        <v>2738</v>
      </c>
      <c r="D127" s="250" t="s">
        <v>2814</v>
      </c>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6"/>
      <c r="AN127" s="136"/>
      <c r="AO127" s="136"/>
      <c r="AP127" s="136"/>
      <c r="AQ127" s="136"/>
      <c r="AR127" s="136"/>
      <c r="AS127" s="136"/>
      <c r="AT127" s="136"/>
      <c r="AU127" s="136"/>
      <c r="AV127" s="136"/>
      <c r="AW127" s="136"/>
      <c r="AX127" s="136"/>
      <c r="AY127" s="136"/>
      <c r="AZ127" s="136"/>
      <c r="BA127" s="136"/>
      <c r="BB127" s="136"/>
      <c r="BC127" s="136"/>
      <c r="BD127" s="136"/>
      <c r="BE127" s="136"/>
      <c r="BF127" s="136"/>
      <c r="BG127" s="136"/>
      <c r="BH127" s="136"/>
      <c r="BI127" s="136"/>
      <c r="BJ127" s="136"/>
      <c r="BK127" s="136"/>
      <c r="BL127" s="136"/>
      <c r="BM127" s="136"/>
      <c r="BN127" s="136"/>
      <c r="BO127" s="136"/>
      <c r="BP127" s="136"/>
      <c r="BQ127" s="136"/>
      <c r="BR127" s="136"/>
      <c r="BS127" s="136"/>
      <c r="BT127" s="136"/>
      <c r="BU127" s="136"/>
      <c r="BV127" s="136"/>
      <c r="BW127" s="136"/>
      <c r="BX127" s="136"/>
      <c r="BY127" s="136"/>
      <c r="BZ127" s="136"/>
      <c r="CA127" s="136"/>
      <c r="CB127" s="136"/>
      <c r="CC127" s="136"/>
      <c r="CD127" s="136"/>
      <c r="CE127" s="136"/>
      <c r="CF127" s="136"/>
      <c r="CG127" s="136"/>
      <c r="CH127" s="136"/>
      <c r="CI127" s="136"/>
      <c r="CJ127" s="136"/>
      <c r="CK127" s="136"/>
      <c r="CL127" s="136"/>
      <c r="CM127" s="136"/>
      <c r="CN127" s="136"/>
      <c r="CO127" s="136"/>
      <c r="CP127" s="136"/>
      <c r="CQ127" s="136"/>
      <c r="CR127" s="136"/>
      <c r="CS127" s="136"/>
      <c r="CT127" s="136"/>
      <c r="CU127" s="136"/>
      <c r="CV127" s="136"/>
      <c r="CW127" s="136"/>
      <c r="CX127" s="136"/>
      <c r="CY127" s="136"/>
      <c r="CZ127" s="136"/>
      <c r="DA127" s="136"/>
      <c r="DB127" s="136"/>
      <c r="DC127" s="136"/>
      <c r="DD127" s="136"/>
      <c r="DE127" s="136"/>
      <c r="DF127" s="136"/>
      <c r="DG127" s="136"/>
      <c r="DH127" s="136"/>
      <c r="DI127" s="136"/>
      <c r="DJ127" s="136"/>
      <c r="DK127" s="136"/>
      <c r="DL127" s="136"/>
      <c r="DM127" s="136"/>
      <c r="DN127" s="136"/>
      <c r="DO127" s="136"/>
      <c r="DP127" s="136"/>
      <c r="DQ127" s="136"/>
      <c r="DR127" s="136"/>
      <c r="DS127" s="136"/>
      <c r="DT127" s="136"/>
      <c r="DU127" s="136"/>
      <c r="DV127" s="136"/>
      <c r="DW127" s="136"/>
      <c r="DX127" s="136"/>
      <c r="DY127" s="136"/>
      <c r="DZ127" s="136"/>
      <c r="EA127" s="136"/>
      <c r="EB127" s="136"/>
      <c r="EC127" s="136"/>
      <c r="ED127" s="136"/>
      <c r="EE127" s="136"/>
      <c r="EF127" s="136"/>
      <c r="EG127" s="136"/>
      <c r="EH127" s="136"/>
      <c r="EI127" s="136"/>
      <c r="EJ127" s="136"/>
      <c r="EK127" s="136"/>
      <c r="EL127" s="136"/>
      <c r="EM127" s="136"/>
      <c r="EN127" s="136"/>
      <c r="EO127" s="136"/>
      <c r="EP127" s="136"/>
      <c r="EQ127" s="136"/>
      <c r="ER127" s="136"/>
      <c r="ES127" s="136"/>
      <c r="ET127" s="136"/>
      <c r="EU127" s="136"/>
      <c r="EV127" s="136"/>
      <c r="EW127" s="136"/>
      <c r="EX127" s="136"/>
      <c r="EY127" s="136"/>
      <c r="EZ127" s="136"/>
      <c r="FA127" s="136"/>
      <c r="FB127" s="136"/>
      <c r="FC127" s="136"/>
      <c r="FD127" s="136"/>
      <c r="FE127" s="136"/>
      <c r="FF127" s="136"/>
      <c r="FG127" s="136"/>
      <c r="FH127" s="136"/>
      <c r="FI127" s="136"/>
      <c r="FJ127" s="136"/>
      <c r="FK127" s="136"/>
      <c r="FL127" s="136"/>
      <c r="FM127" s="136"/>
      <c r="FN127" s="136"/>
      <c r="FO127" s="136"/>
      <c r="FP127" s="136"/>
      <c r="FQ127" s="136"/>
      <c r="FR127" s="136"/>
      <c r="FS127" s="136"/>
      <c r="FT127" s="136"/>
      <c r="FU127" s="136"/>
      <c r="FV127" s="136"/>
      <c r="FW127" s="136"/>
      <c r="FX127" s="136"/>
      <c r="FY127" s="136"/>
      <c r="FZ127" s="136"/>
      <c r="GA127" s="136"/>
      <c r="GB127" s="136"/>
      <c r="GC127" s="136"/>
      <c r="GD127" s="136"/>
      <c r="GE127" s="136"/>
      <c r="GF127" s="136"/>
      <c r="GG127" s="136"/>
      <c r="GH127" s="136"/>
      <c r="GI127" s="136"/>
      <c r="GJ127" s="136"/>
      <c r="GK127" s="136"/>
      <c r="GL127" s="136"/>
      <c r="GM127" s="136"/>
      <c r="GN127" s="136"/>
      <c r="GO127" s="136"/>
      <c r="GP127" s="136"/>
      <c r="GQ127" s="136"/>
      <c r="GR127" s="136"/>
      <c r="GS127" s="136"/>
      <c r="GT127" s="136"/>
      <c r="GU127" s="136"/>
      <c r="GV127" s="136"/>
      <c r="GW127" s="136"/>
      <c r="GX127" s="136"/>
      <c r="GY127" s="136"/>
      <c r="GZ127" s="136"/>
      <c r="HA127" s="136"/>
      <c r="HB127" s="136"/>
      <c r="HC127" s="136"/>
      <c r="HD127" s="136"/>
      <c r="HE127" s="136"/>
      <c r="HF127" s="136"/>
      <c r="HG127" s="136"/>
      <c r="HH127" s="136"/>
      <c r="HI127" s="136"/>
      <c r="HJ127" s="136"/>
      <c r="HK127" s="136"/>
      <c r="HL127" s="136"/>
      <c r="HM127" s="136"/>
      <c r="HN127" s="136"/>
      <c r="HO127" s="136"/>
      <c r="HP127" s="136"/>
      <c r="HQ127" s="136"/>
      <c r="HR127" s="136"/>
      <c r="HS127" s="136"/>
      <c r="HT127" s="136"/>
      <c r="HU127" s="136"/>
      <c r="HV127" s="136"/>
      <c r="HW127" s="136"/>
      <c r="HX127" s="136"/>
      <c r="HY127" s="136"/>
      <c r="HZ127" s="136"/>
      <c r="IA127" s="136"/>
      <c r="IB127" s="136"/>
      <c r="IC127" s="136"/>
      <c r="ID127" s="136"/>
      <c r="IE127" s="136"/>
      <c r="IF127" s="136"/>
      <c r="IG127" s="136"/>
      <c r="IH127" s="136"/>
      <c r="II127" s="136"/>
      <c r="IJ127" s="136"/>
      <c r="IK127" s="136"/>
      <c r="IL127" s="136"/>
      <c r="IM127" s="136"/>
      <c r="IN127" s="136"/>
      <c r="IO127" s="136"/>
      <c r="IP127" s="136"/>
      <c r="IQ127" s="136"/>
      <c r="IR127" s="136"/>
      <c r="IS127" s="136"/>
      <c r="IT127" s="136"/>
      <c r="IU127" s="136"/>
    </row>
    <row r="128" spans="1:255" ht="74.25" customHeight="1" x14ac:dyDescent="0.2">
      <c r="A128" s="242" t="str">
        <f>'HECVAT - Full'!A128</f>
        <v>DATA-02</v>
      </c>
      <c r="B128" s="242" t="str">
        <f>VLOOKUP(A128,'HECVAT - Full'!A$24:B$312,2,FALSE)</f>
        <v>Will Institution's data be stored on any devices (database servers, file servers, SAN, NAS, …) configured with non-RFC 1918/4193 (i.e. publicly routable) IP addresses?</v>
      </c>
      <c r="C128" s="255" t="s">
        <v>2815</v>
      </c>
      <c r="D128" s="256" t="s">
        <v>2816</v>
      </c>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6"/>
      <c r="AN128" s="136"/>
      <c r="AO128" s="136"/>
      <c r="AP128" s="136"/>
      <c r="AQ128" s="136"/>
      <c r="AR128" s="136"/>
      <c r="AS128" s="136"/>
      <c r="AT128" s="136"/>
      <c r="AU128" s="136"/>
      <c r="AV128" s="136"/>
      <c r="AW128" s="136"/>
      <c r="AX128" s="136"/>
      <c r="AY128" s="136"/>
      <c r="AZ128" s="136"/>
      <c r="BA128" s="136"/>
      <c r="BB128" s="136"/>
      <c r="BC128" s="136"/>
      <c r="BD128" s="136"/>
      <c r="BE128" s="136"/>
      <c r="BF128" s="136"/>
      <c r="BG128" s="136"/>
      <c r="BH128" s="136"/>
      <c r="BI128" s="136"/>
      <c r="BJ128" s="136"/>
      <c r="BK128" s="136"/>
      <c r="BL128" s="136"/>
      <c r="BM128" s="136"/>
      <c r="BN128" s="136"/>
      <c r="BO128" s="136"/>
      <c r="BP128" s="136"/>
      <c r="BQ128" s="136"/>
      <c r="BR128" s="136"/>
      <c r="BS128" s="136"/>
      <c r="BT128" s="136"/>
      <c r="BU128" s="136"/>
      <c r="BV128" s="136"/>
      <c r="BW128" s="136"/>
      <c r="BX128" s="136"/>
      <c r="BY128" s="136"/>
      <c r="BZ128" s="136"/>
      <c r="CA128" s="136"/>
      <c r="CB128" s="136"/>
      <c r="CC128" s="136"/>
      <c r="CD128" s="136"/>
      <c r="CE128" s="136"/>
      <c r="CF128" s="136"/>
      <c r="CG128" s="136"/>
      <c r="CH128" s="136"/>
      <c r="CI128" s="136"/>
      <c r="CJ128" s="136"/>
      <c r="CK128" s="136"/>
      <c r="CL128" s="136"/>
      <c r="CM128" s="136"/>
      <c r="CN128" s="136"/>
      <c r="CO128" s="136"/>
      <c r="CP128" s="136"/>
      <c r="CQ128" s="136"/>
      <c r="CR128" s="136"/>
      <c r="CS128" s="136"/>
      <c r="CT128" s="136"/>
      <c r="CU128" s="136"/>
      <c r="CV128" s="136"/>
      <c r="CW128" s="136"/>
      <c r="CX128" s="136"/>
      <c r="CY128" s="136"/>
      <c r="CZ128" s="136"/>
      <c r="DA128" s="136"/>
      <c r="DB128" s="136"/>
      <c r="DC128" s="136"/>
      <c r="DD128" s="136"/>
      <c r="DE128" s="136"/>
      <c r="DF128" s="136"/>
      <c r="DG128" s="136"/>
      <c r="DH128" s="136"/>
      <c r="DI128" s="136"/>
      <c r="DJ128" s="136"/>
      <c r="DK128" s="136"/>
      <c r="DL128" s="136"/>
      <c r="DM128" s="136"/>
      <c r="DN128" s="136"/>
      <c r="DO128" s="136"/>
      <c r="DP128" s="136"/>
      <c r="DQ128" s="136"/>
      <c r="DR128" s="136"/>
      <c r="DS128" s="136"/>
      <c r="DT128" s="136"/>
      <c r="DU128" s="136"/>
      <c r="DV128" s="136"/>
      <c r="DW128" s="136"/>
      <c r="DX128" s="136"/>
      <c r="DY128" s="136"/>
      <c r="DZ128" s="136"/>
      <c r="EA128" s="136"/>
      <c r="EB128" s="136"/>
      <c r="EC128" s="136"/>
      <c r="ED128" s="136"/>
      <c r="EE128" s="136"/>
      <c r="EF128" s="136"/>
      <c r="EG128" s="136"/>
      <c r="EH128" s="136"/>
      <c r="EI128" s="136"/>
      <c r="EJ128" s="136"/>
      <c r="EK128" s="136"/>
      <c r="EL128" s="136"/>
      <c r="EM128" s="136"/>
      <c r="EN128" s="136"/>
      <c r="EO128" s="136"/>
      <c r="EP128" s="136"/>
      <c r="EQ128" s="136"/>
      <c r="ER128" s="136"/>
      <c r="ES128" s="136"/>
      <c r="ET128" s="136"/>
      <c r="EU128" s="136"/>
      <c r="EV128" s="136"/>
      <c r="EW128" s="136"/>
      <c r="EX128" s="136"/>
      <c r="EY128" s="136"/>
      <c r="EZ128" s="136"/>
      <c r="FA128" s="136"/>
      <c r="FB128" s="136"/>
      <c r="FC128" s="136"/>
      <c r="FD128" s="136"/>
      <c r="FE128" s="136"/>
      <c r="FF128" s="136"/>
      <c r="FG128" s="136"/>
      <c r="FH128" s="136"/>
      <c r="FI128" s="136"/>
      <c r="FJ128" s="136"/>
      <c r="FK128" s="136"/>
      <c r="FL128" s="136"/>
      <c r="FM128" s="136"/>
      <c r="FN128" s="136"/>
      <c r="FO128" s="136"/>
      <c r="FP128" s="136"/>
      <c r="FQ128" s="136"/>
      <c r="FR128" s="136"/>
      <c r="FS128" s="136"/>
      <c r="FT128" s="136"/>
      <c r="FU128" s="136"/>
      <c r="FV128" s="136"/>
      <c r="FW128" s="136"/>
      <c r="FX128" s="136"/>
      <c r="FY128" s="136"/>
      <c r="FZ128" s="136"/>
      <c r="GA128" s="136"/>
      <c r="GB128" s="136"/>
      <c r="GC128" s="136"/>
      <c r="GD128" s="136"/>
      <c r="GE128" s="136"/>
      <c r="GF128" s="136"/>
      <c r="GG128" s="136"/>
      <c r="GH128" s="136"/>
      <c r="GI128" s="136"/>
      <c r="GJ128" s="136"/>
      <c r="GK128" s="136"/>
      <c r="GL128" s="136"/>
      <c r="GM128" s="136"/>
      <c r="GN128" s="136"/>
      <c r="GO128" s="136"/>
      <c r="GP128" s="136"/>
      <c r="GQ128" s="136"/>
      <c r="GR128" s="136"/>
      <c r="GS128" s="136"/>
      <c r="GT128" s="136"/>
      <c r="GU128" s="136"/>
      <c r="GV128" s="136"/>
      <c r="GW128" s="136"/>
      <c r="GX128" s="136"/>
      <c r="GY128" s="136"/>
      <c r="GZ128" s="136"/>
      <c r="HA128" s="136"/>
      <c r="HB128" s="136"/>
      <c r="HC128" s="136"/>
      <c r="HD128" s="136"/>
      <c r="HE128" s="136"/>
      <c r="HF128" s="136"/>
      <c r="HG128" s="136"/>
      <c r="HH128" s="136"/>
      <c r="HI128" s="136"/>
      <c r="HJ128" s="136"/>
      <c r="HK128" s="136"/>
      <c r="HL128" s="136"/>
      <c r="HM128" s="136"/>
      <c r="HN128" s="136"/>
      <c r="HO128" s="136"/>
      <c r="HP128" s="136"/>
      <c r="HQ128" s="136"/>
      <c r="HR128" s="136"/>
      <c r="HS128" s="136"/>
      <c r="HT128" s="136"/>
      <c r="HU128" s="136"/>
      <c r="HV128" s="136"/>
      <c r="HW128" s="136"/>
      <c r="HX128" s="136"/>
      <c r="HY128" s="136"/>
      <c r="HZ128" s="136"/>
      <c r="IA128" s="136"/>
      <c r="IB128" s="136"/>
      <c r="IC128" s="136"/>
      <c r="ID128" s="136"/>
      <c r="IE128" s="136"/>
      <c r="IF128" s="136"/>
      <c r="IG128" s="136"/>
      <c r="IH128" s="136"/>
      <c r="II128" s="136"/>
      <c r="IJ128" s="136"/>
      <c r="IK128" s="136"/>
      <c r="IL128" s="136"/>
      <c r="IM128" s="136"/>
      <c r="IN128" s="136"/>
      <c r="IO128" s="136"/>
      <c r="IP128" s="136"/>
      <c r="IQ128" s="136"/>
      <c r="IR128" s="136"/>
      <c r="IS128" s="136"/>
      <c r="IT128" s="136"/>
      <c r="IU128" s="136"/>
    </row>
    <row r="129" spans="1:255" ht="68.099999999999994" customHeight="1" x14ac:dyDescent="0.2">
      <c r="A129" s="242" t="str">
        <f>'HECVAT - Full'!A129</f>
        <v>DATA-03</v>
      </c>
      <c r="B129" s="242" t="str">
        <f>VLOOKUP(A129,'HECVAT - Full'!A$24:B$312,2,FALSE)</f>
        <v>Is sensitive data encrypted in transport? (e.g. system-to-client)</v>
      </c>
      <c r="C129" s="245" t="s">
        <v>2817</v>
      </c>
      <c r="D129" s="250" t="s">
        <v>2818</v>
      </c>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6"/>
      <c r="AN129" s="136"/>
      <c r="AO129" s="136"/>
      <c r="AP129" s="136"/>
      <c r="AQ129" s="136"/>
      <c r="AR129" s="136"/>
      <c r="AS129" s="136"/>
      <c r="AT129" s="136"/>
      <c r="AU129" s="136"/>
      <c r="AV129" s="136"/>
      <c r="AW129" s="136"/>
      <c r="AX129" s="136"/>
      <c r="AY129" s="136"/>
      <c r="AZ129" s="136"/>
      <c r="BA129" s="136"/>
      <c r="BB129" s="136"/>
      <c r="BC129" s="136"/>
      <c r="BD129" s="136"/>
      <c r="BE129" s="136"/>
      <c r="BF129" s="136"/>
      <c r="BG129" s="136"/>
      <c r="BH129" s="136"/>
      <c r="BI129" s="136"/>
      <c r="BJ129" s="136"/>
      <c r="BK129" s="136"/>
      <c r="BL129" s="136"/>
      <c r="BM129" s="136"/>
      <c r="BN129" s="136"/>
      <c r="BO129" s="136"/>
      <c r="BP129" s="136"/>
      <c r="BQ129" s="136"/>
      <c r="BR129" s="136"/>
      <c r="BS129" s="136"/>
      <c r="BT129" s="136"/>
      <c r="BU129" s="136"/>
      <c r="BV129" s="136"/>
      <c r="BW129" s="136"/>
      <c r="BX129" s="136"/>
      <c r="BY129" s="136"/>
      <c r="BZ129" s="136"/>
      <c r="CA129" s="136"/>
      <c r="CB129" s="136"/>
      <c r="CC129" s="136"/>
      <c r="CD129" s="136"/>
      <c r="CE129" s="136"/>
      <c r="CF129" s="136"/>
      <c r="CG129" s="136"/>
      <c r="CH129" s="136"/>
      <c r="CI129" s="136"/>
      <c r="CJ129" s="136"/>
      <c r="CK129" s="136"/>
      <c r="CL129" s="136"/>
      <c r="CM129" s="136"/>
      <c r="CN129" s="136"/>
      <c r="CO129" s="136"/>
      <c r="CP129" s="136"/>
      <c r="CQ129" s="136"/>
      <c r="CR129" s="136"/>
      <c r="CS129" s="136"/>
      <c r="CT129" s="136"/>
      <c r="CU129" s="136"/>
      <c r="CV129" s="136"/>
      <c r="CW129" s="136"/>
      <c r="CX129" s="136"/>
      <c r="CY129" s="136"/>
      <c r="CZ129" s="136"/>
      <c r="DA129" s="136"/>
      <c r="DB129" s="136"/>
      <c r="DC129" s="136"/>
      <c r="DD129" s="136"/>
      <c r="DE129" s="136"/>
      <c r="DF129" s="136"/>
      <c r="DG129" s="136"/>
      <c r="DH129" s="136"/>
      <c r="DI129" s="136"/>
      <c r="DJ129" s="136"/>
      <c r="DK129" s="136"/>
      <c r="DL129" s="136"/>
      <c r="DM129" s="136"/>
      <c r="DN129" s="136"/>
      <c r="DO129" s="136"/>
      <c r="DP129" s="136"/>
      <c r="DQ129" s="136"/>
      <c r="DR129" s="136"/>
      <c r="DS129" s="136"/>
      <c r="DT129" s="136"/>
      <c r="DU129" s="136"/>
      <c r="DV129" s="136"/>
      <c r="DW129" s="136"/>
      <c r="DX129" s="136"/>
      <c r="DY129" s="136"/>
      <c r="DZ129" s="136"/>
      <c r="EA129" s="136"/>
      <c r="EB129" s="136"/>
      <c r="EC129" s="136"/>
      <c r="ED129" s="136"/>
      <c r="EE129" s="136"/>
      <c r="EF129" s="136"/>
      <c r="EG129" s="136"/>
      <c r="EH129" s="136"/>
      <c r="EI129" s="136"/>
      <c r="EJ129" s="136"/>
      <c r="EK129" s="136"/>
      <c r="EL129" s="136"/>
      <c r="EM129" s="136"/>
      <c r="EN129" s="136"/>
      <c r="EO129" s="136"/>
      <c r="EP129" s="136"/>
      <c r="EQ129" s="136"/>
      <c r="ER129" s="136"/>
      <c r="ES129" s="136"/>
      <c r="ET129" s="136"/>
      <c r="EU129" s="136"/>
      <c r="EV129" s="136"/>
      <c r="EW129" s="136"/>
      <c r="EX129" s="136"/>
      <c r="EY129" s="136"/>
      <c r="EZ129" s="136"/>
      <c r="FA129" s="136"/>
      <c r="FB129" s="136"/>
      <c r="FC129" s="136"/>
      <c r="FD129" s="136"/>
      <c r="FE129" s="136"/>
      <c r="FF129" s="136"/>
      <c r="FG129" s="136"/>
      <c r="FH129" s="136"/>
      <c r="FI129" s="136"/>
      <c r="FJ129" s="136"/>
      <c r="FK129" s="136"/>
      <c r="FL129" s="136"/>
      <c r="FM129" s="136"/>
      <c r="FN129" s="136"/>
      <c r="FO129" s="136"/>
      <c r="FP129" s="136"/>
      <c r="FQ129" s="136"/>
      <c r="FR129" s="136"/>
      <c r="FS129" s="136"/>
      <c r="FT129" s="136"/>
      <c r="FU129" s="136"/>
      <c r="FV129" s="136"/>
      <c r="FW129" s="136"/>
      <c r="FX129" s="136"/>
      <c r="FY129" s="136"/>
      <c r="FZ129" s="136"/>
      <c r="GA129" s="136"/>
      <c r="GB129" s="136"/>
      <c r="GC129" s="136"/>
      <c r="GD129" s="136"/>
      <c r="GE129" s="136"/>
      <c r="GF129" s="136"/>
      <c r="GG129" s="136"/>
      <c r="GH129" s="136"/>
      <c r="GI129" s="136"/>
      <c r="GJ129" s="136"/>
      <c r="GK129" s="136"/>
      <c r="GL129" s="136"/>
      <c r="GM129" s="136"/>
      <c r="GN129" s="136"/>
      <c r="GO129" s="136"/>
      <c r="GP129" s="136"/>
      <c r="GQ129" s="136"/>
      <c r="GR129" s="136"/>
      <c r="GS129" s="136"/>
      <c r="GT129" s="136"/>
      <c r="GU129" s="136"/>
      <c r="GV129" s="136"/>
      <c r="GW129" s="136"/>
      <c r="GX129" s="136"/>
      <c r="GY129" s="136"/>
      <c r="GZ129" s="136"/>
      <c r="HA129" s="136"/>
      <c r="HB129" s="136"/>
      <c r="HC129" s="136"/>
      <c r="HD129" s="136"/>
      <c r="HE129" s="136"/>
      <c r="HF129" s="136"/>
      <c r="HG129" s="136"/>
      <c r="HH129" s="136"/>
      <c r="HI129" s="136"/>
      <c r="HJ129" s="136"/>
      <c r="HK129" s="136"/>
      <c r="HL129" s="136"/>
      <c r="HM129" s="136"/>
      <c r="HN129" s="136"/>
      <c r="HO129" s="136"/>
      <c r="HP129" s="136"/>
      <c r="HQ129" s="136"/>
      <c r="HR129" s="136"/>
      <c r="HS129" s="136"/>
      <c r="HT129" s="136"/>
      <c r="HU129" s="136"/>
      <c r="HV129" s="136"/>
      <c r="HW129" s="136"/>
      <c r="HX129" s="136"/>
      <c r="HY129" s="136"/>
      <c r="HZ129" s="136"/>
      <c r="IA129" s="136"/>
      <c r="IB129" s="136"/>
      <c r="IC129" s="136"/>
      <c r="ID129" s="136"/>
      <c r="IE129" s="136"/>
      <c r="IF129" s="136"/>
      <c r="IG129" s="136"/>
      <c r="IH129" s="136"/>
      <c r="II129" s="136"/>
      <c r="IJ129" s="136"/>
      <c r="IK129" s="136"/>
      <c r="IL129" s="136"/>
      <c r="IM129" s="136"/>
      <c r="IN129" s="136"/>
      <c r="IO129" s="136"/>
      <c r="IP129" s="136"/>
      <c r="IQ129" s="136"/>
      <c r="IR129" s="136"/>
      <c r="IS129" s="136"/>
      <c r="IT129" s="136"/>
      <c r="IU129" s="136"/>
    </row>
    <row r="130" spans="1:255" ht="68.099999999999994" customHeight="1" x14ac:dyDescent="0.2">
      <c r="A130" s="242" t="str">
        <f>'HECVAT - Full'!A130</f>
        <v>DATA-04</v>
      </c>
      <c r="B130" s="242" t="str">
        <f>VLOOKUP(A130,'HECVAT - Full'!A$24:B$312,2,FALSE)</f>
        <v>Is sensitive data encrypted in storage (e.g. disk encryption, at-rest)?</v>
      </c>
      <c r="C130" s="245" t="s">
        <v>2727</v>
      </c>
      <c r="D130" s="250" t="s">
        <v>2819</v>
      </c>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c r="AT130" s="136"/>
      <c r="AU130" s="136"/>
      <c r="AV130" s="136"/>
      <c r="AW130" s="136"/>
      <c r="AX130" s="136"/>
      <c r="AY130" s="136"/>
      <c r="AZ130" s="136"/>
      <c r="BA130" s="136"/>
      <c r="BB130" s="136"/>
      <c r="BC130" s="136"/>
      <c r="BD130" s="136"/>
      <c r="BE130" s="136"/>
      <c r="BF130" s="136"/>
      <c r="BG130" s="136"/>
      <c r="BH130" s="136"/>
      <c r="BI130" s="136"/>
      <c r="BJ130" s="136"/>
      <c r="BK130" s="136"/>
      <c r="BL130" s="136"/>
      <c r="BM130" s="136"/>
      <c r="BN130" s="136"/>
      <c r="BO130" s="136"/>
      <c r="BP130" s="136"/>
      <c r="BQ130" s="136"/>
      <c r="BR130" s="136"/>
      <c r="BS130" s="136"/>
      <c r="BT130" s="136"/>
      <c r="BU130" s="136"/>
      <c r="BV130" s="136"/>
      <c r="BW130" s="136"/>
      <c r="BX130" s="136"/>
      <c r="BY130" s="136"/>
      <c r="BZ130" s="136"/>
      <c r="CA130" s="136"/>
      <c r="CB130" s="136"/>
      <c r="CC130" s="136"/>
      <c r="CD130" s="136"/>
      <c r="CE130" s="136"/>
      <c r="CF130" s="136"/>
      <c r="CG130" s="136"/>
      <c r="CH130" s="136"/>
      <c r="CI130" s="136"/>
      <c r="CJ130" s="136"/>
      <c r="CK130" s="136"/>
      <c r="CL130" s="136"/>
      <c r="CM130" s="136"/>
      <c r="CN130" s="136"/>
      <c r="CO130" s="136"/>
      <c r="CP130" s="136"/>
      <c r="CQ130" s="136"/>
      <c r="CR130" s="136"/>
      <c r="CS130" s="136"/>
      <c r="CT130" s="136"/>
      <c r="CU130" s="136"/>
      <c r="CV130" s="136"/>
      <c r="CW130" s="136"/>
      <c r="CX130" s="136"/>
      <c r="CY130" s="136"/>
      <c r="CZ130" s="136"/>
      <c r="DA130" s="136"/>
      <c r="DB130" s="136"/>
      <c r="DC130" s="136"/>
      <c r="DD130" s="136"/>
      <c r="DE130" s="136"/>
      <c r="DF130" s="136"/>
      <c r="DG130" s="136"/>
      <c r="DH130" s="136"/>
      <c r="DI130" s="136"/>
      <c r="DJ130" s="136"/>
      <c r="DK130" s="136"/>
      <c r="DL130" s="136"/>
      <c r="DM130" s="136"/>
      <c r="DN130" s="136"/>
      <c r="DO130" s="136"/>
      <c r="DP130" s="136"/>
      <c r="DQ130" s="136"/>
      <c r="DR130" s="136"/>
      <c r="DS130" s="136"/>
      <c r="DT130" s="136"/>
      <c r="DU130" s="136"/>
      <c r="DV130" s="136"/>
      <c r="DW130" s="136"/>
      <c r="DX130" s="136"/>
      <c r="DY130" s="136"/>
      <c r="DZ130" s="136"/>
      <c r="EA130" s="136"/>
      <c r="EB130" s="136"/>
      <c r="EC130" s="136"/>
      <c r="ED130" s="136"/>
      <c r="EE130" s="136"/>
      <c r="EF130" s="136"/>
      <c r="EG130" s="136"/>
      <c r="EH130" s="136"/>
      <c r="EI130" s="136"/>
      <c r="EJ130" s="136"/>
      <c r="EK130" s="136"/>
      <c r="EL130" s="136"/>
      <c r="EM130" s="136"/>
      <c r="EN130" s="136"/>
      <c r="EO130" s="136"/>
      <c r="EP130" s="136"/>
      <c r="EQ130" s="136"/>
      <c r="ER130" s="136"/>
      <c r="ES130" s="136"/>
      <c r="ET130" s="136"/>
      <c r="EU130" s="136"/>
      <c r="EV130" s="136"/>
      <c r="EW130" s="136"/>
      <c r="EX130" s="136"/>
      <c r="EY130" s="136"/>
      <c r="EZ130" s="136"/>
      <c r="FA130" s="136"/>
      <c r="FB130" s="136"/>
      <c r="FC130" s="136"/>
      <c r="FD130" s="136"/>
      <c r="FE130" s="136"/>
      <c r="FF130" s="136"/>
      <c r="FG130" s="136"/>
      <c r="FH130" s="136"/>
      <c r="FI130" s="136"/>
      <c r="FJ130" s="136"/>
      <c r="FK130" s="136"/>
      <c r="FL130" s="136"/>
      <c r="FM130" s="136"/>
      <c r="FN130" s="136"/>
      <c r="FO130" s="136"/>
      <c r="FP130" s="136"/>
      <c r="FQ130" s="136"/>
      <c r="FR130" s="136"/>
      <c r="FS130" s="136"/>
      <c r="FT130" s="136"/>
      <c r="FU130" s="136"/>
      <c r="FV130" s="136"/>
      <c r="FW130" s="136"/>
      <c r="FX130" s="136"/>
      <c r="FY130" s="136"/>
      <c r="FZ130" s="136"/>
      <c r="GA130" s="136"/>
      <c r="GB130" s="136"/>
      <c r="GC130" s="136"/>
      <c r="GD130" s="136"/>
      <c r="GE130" s="136"/>
      <c r="GF130" s="136"/>
      <c r="GG130" s="136"/>
      <c r="GH130" s="136"/>
      <c r="GI130" s="136"/>
      <c r="GJ130" s="136"/>
      <c r="GK130" s="136"/>
      <c r="GL130" s="136"/>
      <c r="GM130" s="136"/>
      <c r="GN130" s="136"/>
      <c r="GO130" s="136"/>
      <c r="GP130" s="136"/>
      <c r="GQ130" s="136"/>
      <c r="GR130" s="136"/>
      <c r="GS130" s="136"/>
      <c r="GT130" s="136"/>
      <c r="GU130" s="136"/>
      <c r="GV130" s="136"/>
      <c r="GW130" s="136"/>
      <c r="GX130" s="136"/>
      <c r="GY130" s="136"/>
      <c r="GZ130" s="136"/>
      <c r="HA130" s="136"/>
      <c r="HB130" s="136"/>
      <c r="HC130" s="136"/>
      <c r="HD130" s="136"/>
      <c r="HE130" s="136"/>
      <c r="HF130" s="136"/>
      <c r="HG130" s="136"/>
      <c r="HH130" s="136"/>
      <c r="HI130" s="136"/>
      <c r="HJ130" s="136"/>
      <c r="HK130" s="136"/>
      <c r="HL130" s="136"/>
      <c r="HM130" s="136"/>
      <c r="HN130" s="136"/>
      <c r="HO130" s="136"/>
      <c r="HP130" s="136"/>
      <c r="HQ130" s="136"/>
      <c r="HR130" s="136"/>
      <c r="HS130" s="136"/>
      <c r="HT130" s="136"/>
      <c r="HU130" s="136"/>
      <c r="HV130" s="136"/>
      <c r="HW130" s="136"/>
      <c r="HX130" s="136"/>
      <c r="HY130" s="136"/>
      <c r="HZ130" s="136"/>
      <c r="IA130" s="136"/>
      <c r="IB130" s="136"/>
      <c r="IC130" s="136"/>
      <c r="ID130" s="136"/>
      <c r="IE130" s="136"/>
      <c r="IF130" s="136"/>
      <c r="IG130" s="136"/>
      <c r="IH130" s="136"/>
      <c r="II130" s="136"/>
      <c r="IJ130" s="136"/>
      <c r="IK130" s="136"/>
      <c r="IL130" s="136"/>
      <c r="IM130" s="136"/>
      <c r="IN130" s="136"/>
      <c r="IO130" s="136"/>
      <c r="IP130" s="136"/>
      <c r="IQ130" s="136"/>
      <c r="IR130" s="136"/>
      <c r="IS130" s="136"/>
      <c r="IT130" s="136"/>
      <c r="IU130" s="136"/>
    </row>
    <row r="131" spans="1:255" ht="85.5" x14ac:dyDescent="0.2">
      <c r="A131" s="242" t="str">
        <f>'HECVAT - Full'!A131</f>
        <v>DATA-05</v>
      </c>
      <c r="B131" s="242" t="str">
        <f>VLOOKUP(A131,'HECVAT - Full'!A$24:B$312,2,FALSE)</f>
        <v>Do you employ or allow any cryptographic modules that do not conform to the Federal Information Processing Standards (FIPS PUB 140-2)?</v>
      </c>
      <c r="C131" s="243" t="s">
        <v>2820</v>
      </c>
      <c r="D131" s="253" t="s">
        <v>2821</v>
      </c>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6"/>
      <c r="AN131" s="136"/>
      <c r="AO131" s="136"/>
      <c r="AP131" s="136"/>
      <c r="AQ131" s="136"/>
      <c r="AR131" s="136"/>
      <c r="AS131" s="136"/>
      <c r="AT131" s="136"/>
      <c r="AU131" s="136"/>
      <c r="AV131" s="136"/>
      <c r="AW131" s="136"/>
      <c r="AX131" s="136"/>
      <c r="AY131" s="136"/>
      <c r="AZ131" s="136"/>
      <c r="BA131" s="136"/>
      <c r="BB131" s="136"/>
      <c r="BC131" s="136"/>
      <c r="BD131" s="136"/>
      <c r="BE131" s="136"/>
      <c r="BF131" s="136"/>
      <c r="BG131" s="136"/>
      <c r="BH131" s="136"/>
      <c r="BI131" s="136"/>
      <c r="BJ131" s="136"/>
      <c r="BK131" s="136"/>
      <c r="BL131" s="136"/>
      <c r="BM131" s="136"/>
      <c r="BN131" s="136"/>
      <c r="BO131" s="136"/>
      <c r="BP131" s="136"/>
      <c r="BQ131" s="136"/>
      <c r="BR131" s="136"/>
      <c r="BS131" s="136"/>
      <c r="BT131" s="136"/>
      <c r="BU131" s="136"/>
      <c r="BV131" s="136"/>
      <c r="BW131" s="136"/>
      <c r="BX131" s="136"/>
      <c r="BY131" s="136"/>
      <c r="BZ131" s="136"/>
      <c r="CA131" s="136"/>
      <c r="CB131" s="136"/>
      <c r="CC131" s="136"/>
      <c r="CD131" s="136"/>
      <c r="CE131" s="136"/>
      <c r="CF131" s="136"/>
      <c r="CG131" s="136"/>
      <c r="CH131" s="136"/>
      <c r="CI131" s="136"/>
      <c r="CJ131" s="136"/>
      <c r="CK131" s="136"/>
      <c r="CL131" s="136"/>
      <c r="CM131" s="136"/>
      <c r="CN131" s="136"/>
      <c r="CO131" s="136"/>
      <c r="CP131" s="136"/>
      <c r="CQ131" s="136"/>
      <c r="CR131" s="136"/>
      <c r="CS131" s="136"/>
      <c r="CT131" s="136"/>
      <c r="CU131" s="136"/>
      <c r="CV131" s="136"/>
      <c r="CW131" s="136"/>
      <c r="CX131" s="136"/>
      <c r="CY131" s="136"/>
      <c r="CZ131" s="136"/>
      <c r="DA131" s="136"/>
      <c r="DB131" s="136"/>
      <c r="DC131" s="136"/>
      <c r="DD131" s="136"/>
      <c r="DE131" s="136"/>
      <c r="DF131" s="136"/>
      <c r="DG131" s="136"/>
      <c r="DH131" s="136"/>
      <c r="DI131" s="136"/>
      <c r="DJ131" s="136"/>
      <c r="DK131" s="136"/>
      <c r="DL131" s="136"/>
      <c r="DM131" s="136"/>
      <c r="DN131" s="136"/>
      <c r="DO131" s="136"/>
      <c r="DP131" s="136"/>
      <c r="DQ131" s="136"/>
      <c r="DR131" s="136"/>
      <c r="DS131" s="136"/>
      <c r="DT131" s="136"/>
      <c r="DU131" s="136"/>
      <c r="DV131" s="136"/>
      <c r="DW131" s="136"/>
      <c r="DX131" s="136"/>
      <c r="DY131" s="136"/>
      <c r="DZ131" s="136"/>
      <c r="EA131" s="136"/>
      <c r="EB131" s="136"/>
      <c r="EC131" s="136"/>
      <c r="ED131" s="136"/>
      <c r="EE131" s="136"/>
      <c r="EF131" s="136"/>
      <c r="EG131" s="136"/>
      <c r="EH131" s="136"/>
      <c r="EI131" s="136"/>
      <c r="EJ131" s="136"/>
      <c r="EK131" s="136"/>
      <c r="EL131" s="136"/>
      <c r="EM131" s="136"/>
      <c r="EN131" s="136"/>
      <c r="EO131" s="136"/>
      <c r="EP131" s="136"/>
      <c r="EQ131" s="136"/>
      <c r="ER131" s="136"/>
      <c r="ES131" s="136"/>
      <c r="ET131" s="136"/>
      <c r="EU131" s="136"/>
      <c r="EV131" s="136"/>
      <c r="EW131" s="136"/>
      <c r="EX131" s="136"/>
      <c r="EY131" s="136"/>
      <c r="EZ131" s="136"/>
      <c r="FA131" s="136"/>
      <c r="FB131" s="136"/>
      <c r="FC131" s="136"/>
      <c r="FD131" s="136"/>
      <c r="FE131" s="136"/>
      <c r="FF131" s="136"/>
      <c r="FG131" s="136"/>
      <c r="FH131" s="136"/>
      <c r="FI131" s="136"/>
      <c r="FJ131" s="136"/>
      <c r="FK131" s="136"/>
      <c r="FL131" s="136"/>
      <c r="FM131" s="136"/>
      <c r="FN131" s="136"/>
      <c r="FO131" s="136"/>
      <c r="FP131" s="136"/>
      <c r="FQ131" s="136"/>
      <c r="FR131" s="136"/>
      <c r="FS131" s="136"/>
      <c r="FT131" s="136"/>
      <c r="FU131" s="136"/>
      <c r="FV131" s="136"/>
      <c r="FW131" s="136"/>
      <c r="FX131" s="136"/>
      <c r="FY131" s="136"/>
      <c r="FZ131" s="136"/>
      <c r="GA131" s="136"/>
      <c r="GB131" s="136"/>
      <c r="GC131" s="136"/>
      <c r="GD131" s="136"/>
      <c r="GE131" s="136"/>
      <c r="GF131" s="136"/>
      <c r="GG131" s="136"/>
      <c r="GH131" s="136"/>
      <c r="GI131" s="136"/>
      <c r="GJ131" s="136"/>
      <c r="GK131" s="136"/>
      <c r="GL131" s="136"/>
      <c r="GM131" s="136"/>
      <c r="GN131" s="136"/>
      <c r="GO131" s="136"/>
      <c r="GP131" s="136"/>
      <c r="GQ131" s="136"/>
      <c r="GR131" s="136"/>
      <c r="GS131" s="136"/>
      <c r="GT131" s="136"/>
      <c r="GU131" s="136"/>
      <c r="GV131" s="136"/>
      <c r="GW131" s="136"/>
      <c r="GX131" s="136"/>
      <c r="GY131" s="136"/>
      <c r="GZ131" s="136"/>
      <c r="HA131" s="136"/>
      <c r="HB131" s="136"/>
      <c r="HC131" s="136"/>
      <c r="HD131" s="136"/>
      <c r="HE131" s="136"/>
      <c r="HF131" s="136"/>
      <c r="HG131" s="136"/>
      <c r="HH131" s="136"/>
      <c r="HI131" s="136"/>
      <c r="HJ131" s="136"/>
      <c r="HK131" s="136"/>
      <c r="HL131" s="136"/>
      <c r="HM131" s="136"/>
      <c r="HN131" s="136"/>
      <c r="HO131" s="136"/>
      <c r="HP131" s="136"/>
      <c r="HQ131" s="136"/>
      <c r="HR131" s="136"/>
      <c r="HS131" s="136"/>
      <c r="HT131" s="136"/>
      <c r="HU131" s="136"/>
      <c r="HV131" s="136"/>
      <c r="HW131" s="136"/>
      <c r="HX131" s="136"/>
      <c r="HY131" s="136"/>
      <c r="HZ131" s="136"/>
      <c r="IA131" s="136"/>
      <c r="IB131" s="136"/>
      <c r="IC131" s="136"/>
      <c r="ID131" s="136"/>
      <c r="IE131" s="136"/>
      <c r="IF131" s="136"/>
      <c r="IG131" s="136"/>
      <c r="IH131" s="136"/>
      <c r="II131" s="136"/>
      <c r="IJ131" s="136"/>
      <c r="IK131" s="136"/>
      <c r="IL131" s="136"/>
      <c r="IM131" s="136"/>
      <c r="IN131" s="136"/>
      <c r="IO131" s="136"/>
      <c r="IP131" s="136"/>
      <c r="IQ131" s="136"/>
      <c r="IR131" s="136"/>
      <c r="IS131" s="136"/>
      <c r="IT131" s="136"/>
      <c r="IU131" s="136"/>
    </row>
    <row r="132" spans="1:255" ht="99.75" x14ac:dyDescent="0.2">
      <c r="A132" s="242" t="str">
        <f>'HECVAT - Full'!A132</f>
        <v>DATA-06</v>
      </c>
      <c r="B132" s="242" t="str">
        <f>VLOOKUP(A132,'HECVAT - Full'!A$24:B$312,2,FALSE)</f>
        <v>Does your system employ encryption technologies when transmitting sensitive information over TCP/IP networks (e.g., SSH, SSL/TLS, VPN)? (e.g. system-to-system and system-to-client)</v>
      </c>
      <c r="C132" s="255" t="s">
        <v>2822</v>
      </c>
      <c r="D132" s="256" t="s">
        <v>2823</v>
      </c>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6"/>
      <c r="AO132" s="136"/>
      <c r="AP132" s="136"/>
      <c r="AQ132" s="136"/>
      <c r="AR132" s="136"/>
      <c r="AS132" s="136"/>
      <c r="AT132" s="136"/>
      <c r="AU132" s="136"/>
      <c r="AV132" s="136"/>
      <c r="AW132" s="136"/>
      <c r="AX132" s="136"/>
      <c r="AY132" s="136"/>
      <c r="AZ132" s="136"/>
      <c r="BA132" s="136"/>
      <c r="BB132" s="136"/>
      <c r="BC132" s="136"/>
      <c r="BD132" s="136"/>
      <c r="BE132" s="136"/>
      <c r="BF132" s="136"/>
      <c r="BG132" s="136"/>
      <c r="BH132" s="136"/>
      <c r="BI132" s="136"/>
      <c r="BJ132" s="136"/>
      <c r="BK132" s="136"/>
      <c r="BL132" s="136"/>
      <c r="BM132" s="136"/>
      <c r="BN132" s="136"/>
      <c r="BO132" s="136"/>
      <c r="BP132" s="136"/>
      <c r="BQ132" s="136"/>
      <c r="BR132" s="136"/>
      <c r="BS132" s="136"/>
      <c r="BT132" s="136"/>
      <c r="BU132" s="136"/>
      <c r="BV132" s="136"/>
      <c r="BW132" s="136"/>
      <c r="BX132" s="136"/>
      <c r="BY132" s="136"/>
      <c r="BZ132" s="136"/>
      <c r="CA132" s="136"/>
      <c r="CB132" s="136"/>
      <c r="CC132" s="136"/>
      <c r="CD132" s="136"/>
      <c r="CE132" s="136"/>
      <c r="CF132" s="136"/>
      <c r="CG132" s="136"/>
      <c r="CH132" s="136"/>
      <c r="CI132" s="136"/>
      <c r="CJ132" s="136"/>
      <c r="CK132" s="136"/>
      <c r="CL132" s="136"/>
      <c r="CM132" s="136"/>
      <c r="CN132" s="136"/>
      <c r="CO132" s="136"/>
      <c r="CP132" s="136"/>
      <c r="CQ132" s="136"/>
      <c r="CR132" s="136"/>
      <c r="CS132" s="136"/>
      <c r="CT132" s="136"/>
      <c r="CU132" s="136"/>
      <c r="CV132" s="136"/>
      <c r="CW132" s="136"/>
      <c r="CX132" s="136"/>
      <c r="CY132" s="136"/>
      <c r="CZ132" s="136"/>
      <c r="DA132" s="136"/>
      <c r="DB132" s="136"/>
      <c r="DC132" s="136"/>
      <c r="DD132" s="136"/>
      <c r="DE132" s="136"/>
      <c r="DF132" s="136"/>
      <c r="DG132" s="136"/>
      <c r="DH132" s="136"/>
      <c r="DI132" s="136"/>
      <c r="DJ132" s="136"/>
      <c r="DK132" s="136"/>
      <c r="DL132" s="136"/>
      <c r="DM132" s="136"/>
      <c r="DN132" s="136"/>
      <c r="DO132" s="136"/>
      <c r="DP132" s="136"/>
      <c r="DQ132" s="136"/>
      <c r="DR132" s="136"/>
      <c r="DS132" s="136"/>
      <c r="DT132" s="136"/>
      <c r="DU132" s="136"/>
      <c r="DV132" s="136"/>
      <c r="DW132" s="136"/>
      <c r="DX132" s="136"/>
      <c r="DY132" s="136"/>
      <c r="DZ132" s="136"/>
      <c r="EA132" s="136"/>
      <c r="EB132" s="136"/>
      <c r="EC132" s="136"/>
      <c r="ED132" s="136"/>
      <c r="EE132" s="136"/>
      <c r="EF132" s="136"/>
      <c r="EG132" s="136"/>
      <c r="EH132" s="136"/>
      <c r="EI132" s="136"/>
      <c r="EJ132" s="136"/>
      <c r="EK132" s="136"/>
      <c r="EL132" s="136"/>
      <c r="EM132" s="136"/>
      <c r="EN132" s="136"/>
      <c r="EO132" s="136"/>
      <c r="EP132" s="136"/>
      <c r="EQ132" s="136"/>
      <c r="ER132" s="136"/>
      <c r="ES132" s="136"/>
      <c r="ET132" s="136"/>
      <c r="EU132" s="136"/>
      <c r="EV132" s="136"/>
      <c r="EW132" s="136"/>
      <c r="EX132" s="136"/>
      <c r="EY132" s="136"/>
      <c r="EZ132" s="136"/>
      <c r="FA132" s="136"/>
      <c r="FB132" s="136"/>
      <c r="FC132" s="136"/>
      <c r="FD132" s="136"/>
      <c r="FE132" s="136"/>
      <c r="FF132" s="136"/>
      <c r="FG132" s="136"/>
      <c r="FH132" s="136"/>
      <c r="FI132" s="136"/>
      <c r="FJ132" s="136"/>
      <c r="FK132" s="136"/>
      <c r="FL132" s="136"/>
      <c r="FM132" s="136"/>
      <c r="FN132" s="136"/>
      <c r="FO132" s="136"/>
      <c r="FP132" s="136"/>
      <c r="FQ132" s="136"/>
      <c r="FR132" s="136"/>
      <c r="FS132" s="136"/>
      <c r="FT132" s="136"/>
      <c r="FU132" s="136"/>
      <c r="FV132" s="136"/>
      <c r="FW132" s="136"/>
      <c r="FX132" s="136"/>
      <c r="FY132" s="136"/>
      <c r="FZ132" s="136"/>
      <c r="GA132" s="136"/>
      <c r="GB132" s="136"/>
      <c r="GC132" s="136"/>
      <c r="GD132" s="136"/>
      <c r="GE132" s="136"/>
      <c r="GF132" s="136"/>
      <c r="GG132" s="136"/>
      <c r="GH132" s="136"/>
      <c r="GI132" s="136"/>
      <c r="GJ132" s="136"/>
      <c r="GK132" s="136"/>
      <c r="GL132" s="136"/>
      <c r="GM132" s="136"/>
      <c r="GN132" s="136"/>
      <c r="GO132" s="136"/>
      <c r="GP132" s="136"/>
      <c r="GQ132" s="136"/>
      <c r="GR132" s="136"/>
      <c r="GS132" s="136"/>
      <c r="GT132" s="136"/>
      <c r="GU132" s="136"/>
      <c r="GV132" s="136"/>
      <c r="GW132" s="136"/>
      <c r="GX132" s="136"/>
      <c r="GY132" s="136"/>
      <c r="GZ132" s="136"/>
      <c r="HA132" s="136"/>
      <c r="HB132" s="136"/>
      <c r="HC132" s="136"/>
      <c r="HD132" s="136"/>
      <c r="HE132" s="136"/>
      <c r="HF132" s="136"/>
      <c r="HG132" s="136"/>
      <c r="HH132" s="136"/>
      <c r="HI132" s="136"/>
      <c r="HJ132" s="136"/>
      <c r="HK132" s="136"/>
      <c r="HL132" s="136"/>
      <c r="HM132" s="136"/>
      <c r="HN132" s="136"/>
      <c r="HO132" s="136"/>
      <c r="HP132" s="136"/>
      <c r="HQ132" s="136"/>
      <c r="HR132" s="136"/>
      <c r="HS132" s="136"/>
      <c r="HT132" s="136"/>
      <c r="HU132" s="136"/>
      <c r="HV132" s="136"/>
      <c r="HW132" s="136"/>
      <c r="HX132" s="136"/>
      <c r="HY132" s="136"/>
      <c r="HZ132" s="136"/>
      <c r="IA132" s="136"/>
      <c r="IB132" s="136"/>
      <c r="IC132" s="136"/>
      <c r="ID132" s="136"/>
      <c r="IE132" s="136"/>
      <c r="IF132" s="136"/>
      <c r="IG132" s="136"/>
      <c r="IH132" s="136"/>
      <c r="II132" s="136"/>
      <c r="IJ132" s="136"/>
      <c r="IK132" s="136"/>
      <c r="IL132" s="136"/>
      <c r="IM132" s="136"/>
      <c r="IN132" s="136"/>
      <c r="IO132" s="136"/>
      <c r="IP132" s="136"/>
      <c r="IQ132" s="136"/>
      <c r="IR132" s="136"/>
      <c r="IS132" s="136"/>
      <c r="IT132" s="136"/>
      <c r="IU132" s="136"/>
    </row>
    <row r="133" spans="1:255" ht="85.5" x14ac:dyDescent="0.2">
      <c r="A133" s="242" t="str">
        <f>'HECVAT - Full'!A133</f>
        <v>DATA-07</v>
      </c>
      <c r="B133" s="242" t="str">
        <f>VLOOKUP(A133,'HECVAT - Full'!A$24:B$312,2,FALSE)</f>
        <v>List all locations (i.e. city + datacenter name) where the institution's data will be stored?</v>
      </c>
      <c r="C133" s="245" t="s">
        <v>2824</v>
      </c>
      <c r="D133" s="250" t="s">
        <v>2825</v>
      </c>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6"/>
      <c r="AU133" s="136"/>
      <c r="AV133" s="136"/>
      <c r="AW133" s="136"/>
      <c r="AX133" s="136"/>
      <c r="AY133" s="136"/>
      <c r="AZ133" s="136"/>
      <c r="BA133" s="136"/>
      <c r="BB133" s="136"/>
      <c r="BC133" s="136"/>
      <c r="BD133" s="136"/>
      <c r="BE133" s="136"/>
      <c r="BF133" s="136"/>
      <c r="BG133" s="136"/>
      <c r="BH133" s="136"/>
      <c r="BI133" s="136"/>
      <c r="BJ133" s="136"/>
      <c r="BK133" s="136"/>
      <c r="BL133" s="136"/>
      <c r="BM133" s="136"/>
      <c r="BN133" s="136"/>
      <c r="BO133" s="136"/>
      <c r="BP133" s="136"/>
      <c r="BQ133" s="136"/>
      <c r="BR133" s="136"/>
      <c r="BS133" s="136"/>
      <c r="BT133" s="136"/>
      <c r="BU133" s="136"/>
      <c r="BV133" s="136"/>
      <c r="BW133" s="136"/>
      <c r="BX133" s="136"/>
      <c r="BY133" s="136"/>
      <c r="BZ133" s="136"/>
      <c r="CA133" s="136"/>
      <c r="CB133" s="136"/>
      <c r="CC133" s="136"/>
      <c r="CD133" s="136"/>
      <c r="CE133" s="136"/>
      <c r="CF133" s="136"/>
      <c r="CG133" s="136"/>
      <c r="CH133" s="136"/>
      <c r="CI133" s="136"/>
      <c r="CJ133" s="136"/>
      <c r="CK133" s="136"/>
      <c r="CL133" s="136"/>
      <c r="CM133" s="136"/>
      <c r="CN133" s="136"/>
      <c r="CO133" s="136"/>
      <c r="CP133" s="136"/>
      <c r="CQ133" s="136"/>
      <c r="CR133" s="136"/>
      <c r="CS133" s="136"/>
      <c r="CT133" s="136"/>
      <c r="CU133" s="136"/>
      <c r="CV133" s="136"/>
      <c r="CW133" s="136"/>
      <c r="CX133" s="136"/>
      <c r="CY133" s="136"/>
      <c r="CZ133" s="136"/>
      <c r="DA133" s="136"/>
      <c r="DB133" s="136"/>
      <c r="DC133" s="136"/>
      <c r="DD133" s="136"/>
      <c r="DE133" s="136"/>
      <c r="DF133" s="136"/>
      <c r="DG133" s="136"/>
      <c r="DH133" s="136"/>
      <c r="DI133" s="136"/>
      <c r="DJ133" s="136"/>
      <c r="DK133" s="136"/>
      <c r="DL133" s="136"/>
      <c r="DM133" s="136"/>
      <c r="DN133" s="136"/>
      <c r="DO133" s="136"/>
      <c r="DP133" s="136"/>
      <c r="DQ133" s="136"/>
      <c r="DR133" s="136"/>
      <c r="DS133" s="136"/>
      <c r="DT133" s="136"/>
      <c r="DU133" s="136"/>
      <c r="DV133" s="136"/>
      <c r="DW133" s="136"/>
      <c r="DX133" s="136"/>
      <c r="DY133" s="136"/>
      <c r="DZ133" s="136"/>
      <c r="EA133" s="136"/>
      <c r="EB133" s="136"/>
      <c r="EC133" s="136"/>
      <c r="ED133" s="136"/>
      <c r="EE133" s="136"/>
      <c r="EF133" s="136"/>
      <c r="EG133" s="136"/>
      <c r="EH133" s="136"/>
      <c r="EI133" s="136"/>
      <c r="EJ133" s="136"/>
      <c r="EK133" s="136"/>
      <c r="EL133" s="136"/>
      <c r="EM133" s="136"/>
      <c r="EN133" s="136"/>
      <c r="EO133" s="136"/>
      <c r="EP133" s="136"/>
      <c r="EQ133" s="136"/>
      <c r="ER133" s="136"/>
      <c r="ES133" s="136"/>
      <c r="ET133" s="136"/>
      <c r="EU133" s="136"/>
      <c r="EV133" s="136"/>
      <c r="EW133" s="136"/>
      <c r="EX133" s="136"/>
      <c r="EY133" s="136"/>
      <c r="EZ133" s="136"/>
      <c r="FA133" s="136"/>
      <c r="FB133" s="136"/>
      <c r="FC133" s="136"/>
      <c r="FD133" s="136"/>
      <c r="FE133" s="136"/>
      <c r="FF133" s="136"/>
      <c r="FG133" s="136"/>
      <c r="FH133" s="136"/>
      <c r="FI133" s="136"/>
      <c r="FJ133" s="136"/>
      <c r="FK133" s="136"/>
      <c r="FL133" s="136"/>
      <c r="FM133" s="136"/>
      <c r="FN133" s="136"/>
      <c r="FO133" s="136"/>
      <c r="FP133" s="136"/>
      <c r="FQ133" s="136"/>
      <c r="FR133" s="136"/>
      <c r="FS133" s="136"/>
      <c r="FT133" s="136"/>
      <c r="FU133" s="136"/>
      <c r="FV133" s="136"/>
      <c r="FW133" s="136"/>
      <c r="FX133" s="136"/>
      <c r="FY133" s="136"/>
      <c r="FZ133" s="136"/>
      <c r="GA133" s="136"/>
      <c r="GB133" s="136"/>
      <c r="GC133" s="136"/>
      <c r="GD133" s="136"/>
      <c r="GE133" s="136"/>
      <c r="GF133" s="136"/>
      <c r="GG133" s="136"/>
      <c r="GH133" s="136"/>
      <c r="GI133" s="136"/>
      <c r="GJ133" s="136"/>
      <c r="GK133" s="136"/>
      <c r="GL133" s="136"/>
      <c r="GM133" s="136"/>
      <c r="GN133" s="136"/>
      <c r="GO133" s="136"/>
      <c r="GP133" s="136"/>
      <c r="GQ133" s="136"/>
      <c r="GR133" s="136"/>
      <c r="GS133" s="136"/>
      <c r="GT133" s="136"/>
      <c r="GU133" s="136"/>
      <c r="GV133" s="136"/>
      <c r="GW133" s="136"/>
      <c r="GX133" s="136"/>
      <c r="GY133" s="136"/>
      <c r="GZ133" s="136"/>
      <c r="HA133" s="136"/>
      <c r="HB133" s="136"/>
      <c r="HC133" s="136"/>
      <c r="HD133" s="136"/>
      <c r="HE133" s="136"/>
      <c r="HF133" s="136"/>
      <c r="HG133" s="136"/>
      <c r="HH133" s="136"/>
      <c r="HI133" s="136"/>
      <c r="HJ133" s="136"/>
      <c r="HK133" s="136"/>
      <c r="HL133" s="136"/>
      <c r="HM133" s="136"/>
      <c r="HN133" s="136"/>
      <c r="HO133" s="136"/>
      <c r="HP133" s="136"/>
      <c r="HQ133" s="136"/>
      <c r="HR133" s="136"/>
      <c r="HS133" s="136"/>
      <c r="HT133" s="136"/>
      <c r="HU133" s="136"/>
      <c r="HV133" s="136"/>
      <c r="HW133" s="136"/>
      <c r="HX133" s="136"/>
      <c r="HY133" s="136"/>
      <c r="HZ133" s="136"/>
      <c r="IA133" s="136"/>
      <c r="IB133" s="136"/>
      <c r="IC133" s="136"/>
      <c r="ID133" s="136"/>
      <c r="IE133" s="136"/>
      <c r="IF133" s="136"/>
      <c r="IG133" s="136"/>
      <c r="IH133" s="136"/>
      <c r="II133" s="136"/>
      <c r="IJ133" s="136"/>
      <c r="IK133" s="136"/>
      <c r="IL133" s="136"/>
      <c r="IM133" s="136"/>
      <c r="IN133" s="136"/>
      <c r="IO133" s="136"/>
      <c r="IP133" s="136"/>
      <c r="IQ133" s="136"/>
      <c r="IR133" s="136"/>
      <c r="IS133" s="136"/>
      <c r="IT133" s="136"/>
      <c r="IU133" s="136"/>
    </row>
    <row r="134" spans="1:255" ht="76.5" customHeight="1" x14ac:dyDescent="0.2">
      <c r="A134" s="242" t="str">
        <f>'HECVAT - Full'!A134</f>
        <v>DATA-08</v>
      </c>
      <c r="B134" s="242" t="str">
        <f>VLOOKUP(A134,'HECVAT - Full'!A$24:B$312,2,FALSE)</f>
        <v>At the completion of this contract, will data be returned to the institution?</v>
      </c>
      <c r="C134" s="272" t="s">
        <v>3031</v>
      </c>
      <c r="D134" s="256" t="s">
        <v>2826</v>
      </c>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6"/>
      <c r="AU134" s="136"/>
      <c r="AV134" s="136"/>
      <c r="AW134" s="136"/>
      <c r="AX134" s="136"/>
      <c r="AY134" s="136"/>
      <c r="AZ134" s="136"/>
      <c r="BA134" s="136"/>
      <c r="BB134" s="136"/>
      <c r="BC134" s="136"/>
      <c r="BD134" s="136"/>
      <c r="BE134" s="136"/>
      <c r="BF134" s="136"/>
      <c r="BG134" s="136"/>
      <c r="BH134" s="136"/>
      <c r="BI134" s="136"/>
      <c r="BJ134" s="136"/>
      <c r="BK134" s="136"/>
      <c r="BL134" s="136"/>
      <c r="BM134" s="136"/>
      <c r="BN134" s="136"/>
      <c r="BO134" s="136"/>
      <c r="BP134" s="136"/>
      <c r="BQ134" s="136"/>
      <c r="BR134" s="136"/>
      <c r="BS134" s="136"/>
      <c r="BT134" s="136"/>
      <c r="BU134" s="136"/>
      <c r="BV134" s="136"/>
      <c r="BW134" s="136"/>
      <c r="BX134" s="136"/>
      <c r="BY134" s="136"/>
      <c r="BZ134" s="136"/>
      <c r="CA134" s="136"/>
      <c r="CB134" s="136"/>
      <c r="CC134" s="136"/>
      <c r="CD134" s="136"/>
      <c r="CE134" s="136"/>
      <c r="CF134" s="136"/>
      <c r="CG134" s="136"/>
      <c r="CH134" s="136"/>
      <c r="CI134" s="136"/>
      <c r="CJ134" s="136"/>
      <c r="CK134" s="136"/>
      <c r="CL134" s="136"/>
      <c r="CM134" s="136"/>
      <c r="CN134" s="136"/>
      <c r="CO134" s="136"/>
      <c r="CP134" s="136"/>
      <c r="CQ134" s="136"/>
      <c r="CR134" s="136"/>
      <c r="CS134" s="136"/>
      <c r="CT134" s="136"/>
      <c r="CU134" s="136"/>
      <c r="CV134" s="136"/>
      <c r="CW134" s="136"/>
      <c r="CX134" s="136"/>
      <c r="CY134" s="136"/>
      <c r="CZ134" s="136"/>
      <c r="DA134" s="136"/>
      <c r="DB134" s="136"/>
      <c r="DC134" s="136"/>
      <c r="DD134" s="136"/>
      <c r="DE134" s="136"/>
      <c r="DF134" s="136"/>
      <c r="DG134" s="136"/>
      <c r="DH134" s="136"/>
      <c r="DI134" s="136"/>
      <c r="DJ134" s="136"/>
      <c r="DK134" s="136"/>
      <c r="DL134" s="136"/>
      <c r="DM134" s="136"/>
      <c r="DN134" s="136"/>
      <c r="DO134" s="136"/>
      <c r="DP134" s="136"/>
      <c r="DQ134" s="136"/>
      <c r="DR134" s="136"/>
      <c r="DS134" s="136"/>
      <c r="DT134" s="136"/>
      <c r="DU134" s="136"/>
      <c r="DV134" s="136"/>
      <c r="DW134" s="136"/>
      <c r="DX134" s="136"/>
      <c r="DY134" s="136"/>
      <c r="DZ134" s="136"/>
      <c r="EA134" s="136"/>
      <c r="EB134" s="136"/>
      <c r="EC134" s="136"/>
      <c r="ED134" s="136"/>
      <c r="EE134" s="136"/>
      <c r="EF134" s="136"/>
      <c r="EG134" s="136"/>
      <c r="EH134" s="136"/>
      <c r="EI134" s="136"/>
      <c r="EJ134" s="136"/>
      <c r="EK134" s="136"/>
      <c r="EL134" s="136"/>
      <c r="EM134" s="136"/>
      <c r="EN134" s="136"/>
      <c r="EO134" s="136"/>
      <c r="EP134" s="136"/>
      <c r="EQ134" s="136"/>
      <c r="ER134" s="136"/>
      <c r="ES134" s="136"/>
      <c r="ET134" s="136"/>
      <c r="EU134" s="136"/>
      <c r="EV134" s="136"/>
      <c r="EW134" s="136"/>
      <c r="EX134" s="136"/>
      <c r="EY134" s="136"/>
      <c r="EZ134" s="136"/>
      <c r="FA134" s="136"/>
      <c r="FB134" s="136"/>
      <c r="FC134" s="136"/>
      <c r="FD134" s="136"/>
      <c r="FE134" s="136"/>
      <c r="FF134" s="136"/>
      <c r="FG134" s="136"/>
      <c r="FH134" s="136"/>
      <c r="FI134" s="136"/>
      <c r="FJ134" s="136"/>
      <c r="FK134" s="136"/>
      <c r="FL134" s="136"/>
      <c r="FM134" s="136"/>
      <c r="FN134" s="136"/>
      <c r="FO134" s="136"/>
      <c r="FP134" s="136"/>
      <c r="FQ134" s="136"/>
      <c r="FR134" s="136"/>
      <c r="FS134" s="136"/>
      <c r="FT134" s="136"/>
      <c r="FU134" s="136"/>
      <c r="FV134" s="136"/>
      <c r="FW134" s="136"/>
      <c r="FX134" s="136"/>
      <c r="FY134" s="136"/>
      <c r="FZ134" s="136"/>
      <c r="GA134" s="136"/>
      <c r="GB134" s="136"/>
      <c r="GC134" s="136"/>
      <c r="GD134" s="136"/>
      <c r="GE134" s="136"/>
      <c r="GF134" s="136"/>
      <c r="GG134" s="136"/>
      <c r="GH134" s="136"/>
      <c r="GI134" s="136"/>
      <c r="GJ134" s="136"/>
      <c r="GK134" s="136"/>
      <c r="GL134" s="136"/>
      <c r="GM134" s="136"/>
      <c r="GN134" s="136"/>
      <c r="GO134" s="136"/>
      <c r="GP134" s="136"/>
      <c r="GQ134" s="136"/>
      <c r="GR134" s="136"/>
      <c r="GS134" s="136"/>
      <c r="GT134" s="136"/>
      <c r="GU134" s="136"/>
      <c r="GV134" s="136"/>
      <c r="GW134" s="136"/>
      <c r="GX134" s="136"/>
      <c r="GY134" s="136"/>
      <c r="GZ134" s="136"/>
      <c r="HA134" s="136"/>
      <c r="HB134" s="136"/>
      <c r="HC134" s="136"/>
      <c r="HD134" s="136"/>
      <c r="HE134" s="136"/>
      <c r="HF134" s="136"/>
      <c r="HG134" s="136"/>
      <c r="HH134" s="136"/>
      <c r="HI134" s="136"/>
      <c r="HJ134" s="136"/>
      <c r="HK134" s="136"/>
      <c r="HL134" s="136"/>
      <c r="HM134" s="136"/>
      <c r="HN134" s="136"/>
      <c r="HO134" s="136"/>
      <c r="HP134" s="136"/>
      <c r="HQ134" s="136"/>
      <c r="HR134" s="136"/>
      <c r="HS134" s="136"/>
      <c r="HT134" s="136"/>
      <c r="HU134" s="136"/>
      <c r="HV134" s="136"/>
      <c r="HW134" s="136"/>
      <c r="HX134" s="136"/>
      <c r="HY134" s="136"/>
      <c r="HZ134" s="136"/>
      <c r="IA134" s="136"/>
      <c r="IB134" s="136"/>
      <c r="IC134" s="136"/>
      <c r="ID134" s="136"/>
      <c r="IE134" s="136"/>
      <c r="IF134" s="136"/>
      <c r="IG134" s="136"/>
      <c r="IH134" s="136"/>
      <c r="II134" s="136"/>
      <c r="IJ134" s="136"/>
      <c r="IK134" s="136"/>
      <c r="IL134" s="136"/>
      <c r="IM134" s="136"/>
      <c r="IN134" s="136"/>
      <c r="IO134" s="136"/>
      <c r="IP134" s="136"/>
      <c r="IQ134" s="136"/>
      <c r="IR134" s="136"/>
      <c r="IS134" s="136"/>
      <c r="IT134" s="136"/>
      <c r="IU134" s="136"/>
    </row>
    <row r="135" spans="1:255" ht="71.25" x14ac:dyDescent="0.2">
      <c r="A135" s="242" t="str">
        <f>'HECVAT - Full'!A135</f>
        <v>DATA-09</v>
      </c>
      <c r="B135" s="242" t="str">
        <f>VLOOKUP(A135,'HECVAT - Full'!A$24:B$312,2,FALSE)</f>
        <v>Will the institution's data be available within the system for a period of time at the completion of this contract?</v>
      </c>
      <c r="C135" s="272" t="s">
        <v>3031</v>
      </c>
      <c r="D135" s="256" t="s">
        <v>2826</v>
      </c>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6"/>
      <c r="AU135" s="136"/>
      <c r="AV135" s="136"/>
      <c r="AW135" s="136"/>
      <c r="AX135" s="136"/>
      <c r="AY135" s="136"/>
      <c r="AZ135" s="136"/>
      <c r="BA135" s="136"/>
      <c r="BB135" s="136"/>
      <c r="BC135" s="136"/>
      <c r="BD135" s="136"/>
      <c r="BE135" s="136"/>
      <c r="BF135" s="136"/>
      <c r="BG135" s="136"/>
      <c r="BH135" s="136"/>
      <c r="BI135" s="136"/>
      <c r="BJ135" s="136"/>
      <c r="BK135" s="136"/>
      <c r="BL135" s="136"/>
      <c r="BM135" s="136"/>
      <c r="BN135" s="136"/>
      <c r="BO135" s="136"/>
      <c r="BP135" s="136"/>
      <c r="BQ135" s="136"/>
      <c r="BR135" s="136"/>
      <c r="BS135" s="136"/>
      <c r="BT135" s="136"/>
      <c r="BU135" s="136"/>
      <c r="BV135" s="136"/>
      <c r="BW135" s="136"/>
      <c r="BX135" s="136"/>
      <c r="BY135" s="136"/>
      <c r="BZ135" s="136"/>
      <c r="CA135" s="136"/>
      <c r="CB135" s="136"/>
      <c r="CC135" s="136"/>
      <c r="CD135" s="136"/>
      <c r="CE135" s="136"/>
      <c r="CF135" s="136"/>
      <c r="CG135" s="136"/>
      <c r="CH135" s="136"/>
      <c r="CI135" s="136"/>
      <c r="CJ135" s="136"/>
      <c r="CK135" s="136"/>
      <c r="CL135" s="136"/>
      <c r="CM135" s="136"/>
      <c r="CN135" s="136"/>
      <c r="CO135" s="136"/>
      <c r="CP135" s="136"/>
      <c r="CQ135" s="136"/>
      <c r="CR135" s="136"/>
      <c r="CS135" s="136"/>
      <c r="CT135" s="136"/>
      <c r="CU135" s="136"/>
      <c r="CV135" s="136"/>
      <c r="CW135" s="136"/>
      <c r="CX135" s="136"/>
      <c r="CY135" s="136"/>
      <c r="CZ135" s="136"/>
      <c r="DA135" s="136"/>
      <c r="DB135" s="136"/>
      <c r="DC135" s="136"/>
      <c r="DD135" s="136"/>
      <c r="DE135" s="136"/>
      <c r="DF135" s="136"/>
      <c r="DG135" s="136"/>
      <c r="DH135" s="136"/>
      <c r="DI135" s="136"/>
      <c r="DJ135" s="136"/>
      <c r="DK135" s="136"/>
      <c r="DL135" s="136"/>
      <c r="DM135" s="136"/>
      <c r="DN135" s="136"/>
      <c r="DO135" s="136"/>
      <c r="DP135" s="136"/>
      <c r="DQ135" s="136"/>
      <c r="DR135" s="136"/>
      <c r="DS135" s="136"/>
      <c r="DT135" s="136"/>
      <c r="DU135" s="136"/>
      <c r="DV135" s="136"/>
      <c r="DW135" s="136"/>
      <c r="DX135" s="136"/>
      <c r="DY135" s="136"/>
      <c r="DZ135" s="136"/>
      <c r="EA135" s="136"/>
      <c r="EB135" s="136"/>
      <c r="EC135" s="136"/>
      <c r="ED135" s="136"/>
      <c r="EE135" s="136"/>
      <c r="EF135" s="136"/>
      <c r="EG135" s="136"/>
      <c r="EH135" s="136"/>
      <c r="EI135" s="136"/>
      <c r="EJ135" s="136"/>
      <c r="EK135" s="136"/>
      <c r="EL135" s="136"/>
      <c r="EM135" s="136"/>
      <c r="EN135" s="136"/>
      <c r="EO135" s="136"/>
      <c r="EP135" s="136"/>
      <c r="EQ135" s="136"/>
      <c r="ER135" s="136"/>
      <c r="ES135" s="136"/>
      <c r="ET135" s="136"/>
      <c r="EU135" s="136"/>
      <c r="EV135" s="136"/>
      <c r="EW135" s="136"/>
      <c r="EX135" s="136"/>
      <c r="EY135" s="136"/>
      <c r="EZ135" s="136"/>
      <c r="FA135" s="136"/>
      <c r="FB135" s="136"/>
      <c r="FC135" s="136"/>
      <c r="FD135" s="136"/>
      <c r="FE135" s="136"/>
      <c r="FF135" s="136"/>
      <c r="FG135" s="136"/>
      <c r="FH135" s="136"/>
      <c r="FI135" s="136"/>
      <c r="FJ135" s="136"/>
      <c r="FK135" s="136"/>
      <c r="FL135" s="136"/>
      <c r="FM135" s="136"/>
      <c r="FN135" s="136"/>
      <c r="FO135" s="136"/>
      <c r="FP135" s="136"/>
      <c r="FQ135" s="136"/>
      <c r="FR135" s="136"/>
      <c r="FS135" s="136"/>
      <c r="FT135" s="136"/>
      <c r="FU135" s="136"/>
      <c r="FV135" s="136"/>
      <c r="FW135" s="136"/>
      <c r="FX135" s="136"/>
      <c r="FY135" s="136"/>
      <c r="FZ135" s="136"/>
      <c r="GA135" s="136"/>
      <c r="GB135" s="136"/>
      <c r="GC135" s="136"/>
      <c r="GD135" s="136"/>
      <c r="GE135" s="136"/>
      <c r="GF135" s="136"/>
      <c r="GG135" s="136"/>
      <c r="GH135" s="136"/>
      <c r="GI135" s="136"/>
      <c r="GJ135" s="136"/>
      <c r="GK135" s="136"/>
      <c r="GL135" s="136"/>
      <c r="GM135" s="136"/>
      <c r="GN135" s="136"/>
      <c r="GO135" s="136"/>
      <c r="GP135" s="136"/>
      <c r="GQ135" s="136"/>
      <c r="GR135" s="136"/>
      <c r="GS135" s="136"/>
      <c r="GT135" s="136"/>
      <c r="GU135" s="136"/>
      <c r="GV135" s="136"/>
      <c r="GW135" s="136"/>
      <c r="GX135" s="136"/>
      <c r="GY135" s="136"/>
      <c r="GZ135" s="136"/>
      <c r="HA135" s="136"/>
      <c r="HB135" s="136"/>
      <c r="HC135" s="136"/>
      <c r="HD135" s="136"/>
      <c r="HE135" s="136"/>
      <c r="HF135" s="136"/>
      <c r="HG135" s="136"/>
      <c r="HH135" s="136"/>
      <c r="HI135" s="136"/>
      <c r="HJ135" s="136"/>
      <c r="HK135" s="136"/>
      <c r="HL135" s="136"/>
      <c r="HM135" s="136"/>
      <c r="HN135" s="136"/>
      <c r="HO135" s="136"/>
      <c r="HP135" s="136"/>
      <c r="HQ135" s="136"/>
      <c r="HR135" s="136"/>
      <c r="HS135" s="136"/>
      <c r="HT135" s="136"/>
      <c r="HU135" s="136"/>
      <c r="HV135" s="136"/>
      <c r="HW135" s="136"/>
      <c r="HX135" s="136"/>
      <c r="HY135" s="136"/>
      <c r="HZ135" s="136"/>
      <c r="IA135" s="136"/>
      <c r="IB135" s="136"/>
      <c r="IC135" s="136"/>
      <c r="ID135" s="136"/>
      <c r="IE135" s="136"/>
      <c r="IF135" s="136"/>
      <c r="IG135" s="136"/>
      <c r="IH135" s="136"/>
      <c r="II135" s="136"/>
      <c r="IJ135" s="136"/>
      <c r="IK135" s="136"/>
      <c r="IL135" s="136"/>
      <c r="IM135" s="136"/>
      <c r="IN135" s="136"/>
      <c r="IO135" s="136"/>
      <c r="IP135" s="136"/>
      <c r="IQ135" s="136"/>
      <c r="IR135" s="136"/>
      <c r="IS135" s="136"/>
      <c r="IT135" s="136"/>
      <c r="IU135" s="136"/>
    </row>
    <row r="136" spans="1:255" ht="71.25" x14ac:dyDescent="0.2">
      <c r="A136" s="242" t="str">
        <f>'HECVAT - Full'!A136</f>
        <v>DATA-10</v>
      </c>
      <c r="B136" s="242" t="str">
        <f>VLOOKUP(A136,'HECVAT - Full'!A$24:B$312,2,FALSE)</f>
        <v>Can the institution extract a full backup of data?</v>
      </c>
      <c r="C136" s="272" t="s">
        <v>3032</v>
      </c>
      <c r="D136" s="256" t="s">
        <v>2826</v>
      </c>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6"/>
      <c r="AO136" s="136"/>
      <c r="AP136" s="136"/>
      <c r="AQ136" s="136"/>
      <c r="AR136" s="136"/>
      <c r="AS136" s="136"/>
      <c r="AT136" s="136"/>
      <c r="AU136" s="136"/>
      <c r="AV136" s="136"/>
      <c r="AW136" s="136"/>
      <c r="AX136" s="136"/>
      <c r="AY136" s="136"/>
      <c r="AZ136" s="136"/>
      <c r="BA136" s="136"/>
      <c r="BB136" s="136"/>
      <c r="BC136" s="136"/>
      <c r="BD136" s="136"/>
      <c r="BE136" s="136"/>
      <c r="BF136" s="136"/>
      <c r="BG136" s="136"/>
      <c r="BH136" s="136"/>
      <c r="BI136" s="136"/>
      <c r="BJ136" s="136"/>
      <c r="BK136" s="136"/>
      <c r="BL136" s="136"/>
      <c r="BM136" s="136"/>
      <c r="BN136" s="136"/>
      <c r="BO136" s="136"/>
      <c r="BP136" s="136"/>
      <c r="BQ136" s="136"/>
      <c r="BR136" s="136"/>
      <c r="BS136" s="136"/>
      <c r="BT136" s="136"/>
      <c r="BU136" s="136"/>
      <c r="BV136" s="136"/>
      <c r="BW136" s="136"/>
      <c r="BX136" s="136"/>
      <c r="BY136" s="136"/>
      <c r="BZ136" s="136"/>
      <c r="CA136" s="136"/>
      <c r="CB136" s="136"/>
      <c r="CC136" s="136"/>
      <c r="CD136" s="136"/>
      <c r="CE136" s="136"/>
      <c r="CF136" s="136"/>
      <c r="CG136" s="136"/>
      <c r="CH136" s="136"/>
      <c r="CI136" s="136"/>
      <c r="CJ136" s="136"/>
      <c r="CK136" s="136"/>
      <c r="CL136" s="136"/>
      <c r="CM136" s="136"/>
      <c r="CN136" s="136"/>
      <c r="CO136" s="136"/>
      <c r="CP136" s="136"/>
      <c r="CQ136" s="136"/>
      <c r="CR136" s="136"/>
      <c r="CS136" s="136"/>
      <c r="CT136" s="136"/>
      <c r="CU136" s="136"/>
      <c r="CV136" s="136"/>
      <c r="CW136" s="136"/>
      <c r="CX136" s="136"/>
      <c r="CY136" s="136"/>
      <c r="CZ136" s="136"/>
      <c r="DA136" s="136"/>
      <c r="DB136" s="136"/>
      <c r="DC136" s="136"/>
      <c r="DD136" s="136"/>
      <c r="DE136" s="136"/>
      <c r="DF136" s="136"/>
      <c r="DG136" s="136"/>
      <c r="DH136" s="136"/>
      <c r="DI136" s="136"/>
      <c r="DJ136" s="136"/>
      <c r="DK136" s="136"/>
      <c r="DL136" s="136"/>
      <c r="DM136" s="136"/>
      <c r="DN136" s="136"/>
      <c r="DO136" s="136"/>
      <c r="DP136" s="136"/>
      <c r="DQ136" s="136"/>
      <c r="DR136" s="136"/>
      <c r="DS136" s="136"/>
      <c r="DT136" s="136"/>
      <c r="DU136" s="136"/>
      <c r="DV136" s="136"/>
      <c r="DW136" s="136"/>
      <c r="DX136" s="136"/>
      <c r="DY136" s="136"/>
      <c r="DZ136" s="136"/>
      <c r="EA136" s="136"/>
      <c r="EB136" s="136"/>
      <c r="EC136" s="136"/>
      <c r="ED136" s="136"/>
      <c r="EE136" s="136"/>
      <c r="EF136" s="136"/>
      <c r="EG136" s="136"/>
      <c r="EH136" s="136"/>
      <c r="EI136" s="136"/>
      <c r="EJ136" s="136"/>
      <c r="EK136" s="136"/>
      <c r="EL136" s="136"/>
      <c r="EM136" s="136"/>
      <c r="EN136" s="136"/>
      <c r="EO136" s="136"/>
      <c r="EP136" s="136"/>
      <c r="EQ136" s="136"/>
      <c r="ER136" s="136"/>
      <c r="ES136" s="136"/>
      <c r="ET136" s="136"/>
      <c r="EU136" s="136"/>
      <c r="EV136" s="136"/>
      <c r="EW136" s="136"/>
      <c r="EX136" s="136"/>
      <c r="EY136" s="136"/>
      <c r="EZ136" s="136"/>
      <c r="FA136" s="136"/>
      <c r="FB136" s="136"/>
      <c r="FC136" s="136"/>
      <c r="FD136" s="136"/>
      <c r="FE136" s="136"/>
      <c r="FF136" s="136"/>
      <c r="FG136" s="136"/>
      <c r="FH136" s="136"/>
      <c r="FI136" s="136"/>
      <c r="FJ136" s="136"/>
      <c r="FK136" s="136"/>
      <c r="FL136" s="136"/>
      <c r="FM136" s="136"/>
      <c r="FN136" s="136"/>
      <c r="FO136" s="136"/>
      <c r="FP136" s="136"/>
      <c r="FQ136" s="136"/>
      <c r="FR136" s="136"/>
      <c r="FS136" s="136"/>
      <c r="FT136" s="136"/>
      <c r="FU136" s="136"/>
      <c r="FV136" s="136"/>
      <c r="FW136" s="136"/>
      <c r="FX136" s="136"/>
      <c r="FY136" s="136"/>
      <c r="FZ136" s="136"/>
      <c r="GA136" s="136"/>
      <c r="GB136" s="136"/>
      <c r="GC136" s="136"/>
      <c r="GD136" s="136"/>
      <c r="GE136" s="136"/>
      <c r="GF136" s="136"/>
      <c r="GG136" s="136"/>
      <c r="GH136" s="136"/>
      <c r="GI136" s="136"/>
      <c r="GJ136" s="136"/>
      <c r="GK136" s="136"/>
      <c r="GL136" s="136"/>
      <c r="GM136" s="136"/>
      <c r="GN136" s="136"/>
      <c r="GO136" s="136"/>
      <c r="GP136" s="136"/>
      <c r="GQ136" s="136"/>
      <c r="GR136" s="136"/>
      <c r="GS136" s="136"/>
      <c r="GT136" s="136"/>
      <c r="GU136" s="136"/>
      <c r="GV136" s="136"/>
      <c r="GW136" s="136"/>
      <c r="GX136" s="136"/>
      <c r="GY136" s="136"/>
      <c r="GZ136" s="136"/>
      <c r="HA136" s="136"/>
      <c r="HB136" s="136"/>
      <c r="HC136" s="136"/>
      <c r="HD136" s="136"/>
      <c r="HE136" s="136"/>
      <c r="HF136" s="136"/>
      <c r="HG136" s="136"/>
      <c r="HH136" s="136"/>
      <c r="HI136" s="136"/>
      <c r="HJ136" s="136"/>
      <c r="HK136" s="136"/>
      <c r="HL136" s="136"/>
      <c r="HM136" s="136"/>
      <c r="HN136" s="136"/>
      <c r="HO136" s="136"/>
      <c r="HP136" s="136"/>
      <c r="HQ136" s="136"/>
      <c r="HR136" s="136"/>
      <c r="HS136" s="136"/>
      <c r="HT136" s="136"/>
      <c r="HU136" s="136"/>
      <c r="HV136" s="136"/>
      <c r="HW136" s="136"/>
      <c r="HX136" s="136"/>
      <c r="HY136" s="136"/>
      <c r="HZ136" s="136"/>
      <c r="IA136" s="136"/>
      <c r="IB136" s="136"/>
      <c r="IC136" s="136"/>
      <c r="ID136" s="136"/>
      <c r="IE136" s="136"/>
      <c r="IF136" s="136"/>
      <c r="IG136" s="136"/>
      <c r="IH136" s="136"/>
      <c r="II136" s="136"/>
      <c r="IJ136" s="136"/>
      <c r="IK136" s="136"/>
      <c r="IL136" s="136"/>
      <c r="IM136" s="136"/>
      <c r="IN136" s="136"/>
      <c r="IO136" s="136"/>
      <c r="IP136" s="136"/>
      <c r="IQ136" s="136"/>
      <c r="IR136" s="136"/>
      <c r="IS136" s="136"/>
      <c r="IT136" s="136"/>
      <c r="IU136" s="136"/>
    </row>
    <row r="137" spans="1:255" ht="92.25" customHeight="1" x14ac:dyDescent="0.2">
      <c r="A137" s="242" t="str">
        <f>'HECVAT - Full'!A137</f>
        <v>DATA-11</v>
      </c>
      <c r="B137" s="242" t="str">
        <f>VLOOKUP(A137,'HECVAT - Full'!A$24:B$312,2,FALSE)</f>
        <v>Are ownership rights to all data, inputs, outputs, and metadata retained by the institution?</v>
      </c>
      <c r="C137" s="255" t="s">
        <v>2827</v>
      </c>
      <c r="D137" s="256" t="s">
        <v>2828</v>
      </c>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6"/>
      <c r="AO137" s="136"/>
      <c r="AP137" s="136"/>
      <c r="AQ137" s="136"/>
      <c r="AR137" s="136"/>
      <c r="AS137" s="136"/>
      <c r="AT137" s="136"/>
      <c r="AU137" s="136"/>
      <c r="AV137" s="136"/>
      <c r="AW137" s="136"/>
      <c r="AX137" s="136"/>
      <c r="AY137" s="136"/>
      <c r="AZ137" s="136"/>
      <c r="BA137" s="136"/>
      <c r="BB137" s="136"/>
      <c r="BC137" s="136"/>
      <c r="BD137" s="136"/>
      <c r="BE137" s="136"/>
      <c r="BF137" s="136"/>
      <c r="BG137" s="136"/>
      <c r="BH137" s="136"/>
      <c r="BI137" s="136"/>
      <c r="BJ137" s="136"/>
      <c r="BK137" s="136"/>
      <c r="BL137" s="136"/>
      <c r="BM137" s="136"/>
      <c r="BN137" s="136"/>
      <c r="BO137" s="136"/>
      <c r="BP137" s="136"/>
      <c r="BQ137" s="136"/>
      <c r="BR137" s="136"/>
      <c r="BS137" s="136"/>
      <c r="BT137" s="136"/>
      <c r="BU137" s="136"/>
      <c r="BV137" s="136"/>
      <c r="BW137" s="136"/>
      <c r="BX137" s="136"/>
      <c r="BY137" s="136"/>
      <c r="BZ137" s="136"/>
      <c r="CA137" s="136"/>
      <c r="CB137" s="136"/>
      <c r="CC137" s="136"/>
      <c r="CD137" s="136"/>
      <c r="CE137" s="136"/>
      <c r="CF137" s="136"/>
      <c r="CG137" s="136"/>
      <c r="CH137" s="136"/>
      <c r="CI137" s="136"/>
      <c r="CJ137" s="136"/>
      <c r="CK137" s="136"/>
      <c r="CL137" s="136"/>
      <c r="CM137" s="136"/>
      <c r="CN137" s="136"/>
      <c r="CO137" s="136"/>
      <c r="CP137" s="136"/>
      <c r="CQ137" s="136"/>
      <c r="CR137" s="136"/>
      <c r="CS137" s="136"/>
      <c r="CT137" s="136"/>
      <c r="CU137" s="136"/>
      <c r="CV137" s="136"/>
      <c r="CW137" s="136"/>
      <c r="CX137" s="136"/>
      <c r="CY137" s="136"/>
      <c r="CZ137" s="136"/>
      <c r="DA137" s="136"/>
      <c r="DB137" s="136"/>
      <c r="DC137" s="136"/>
      <c r="DD137" s="136"/>
      <c r="DE137" s="136"/>
      <c r="DF137" s="136"/>
      <c r="DG137" s="136"/>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row>
    <row r="138" spans="1:255" ht="63.75" customHeight="1" x14ac:dyDescent="0.2">
      <c r="A138" s="242" t="str">
        <f>'HECVAT - Full'!A138</f>
        <v>DATA-12</v>
      </c>
      <c r="B138" s="242" t="str">
        <f>VLOOKUP(A138,'HECVAT - Full'!A$24:B$312,2,FALSE)</f>
        <v>Are these rights retained even through a provider acquisition or bankruptcy event?</v>
      </c>
      <c r="C138" s="255" t="s">
        <v>2829</v>
      </c>
      <c r="D138" s="256" t="s">
        <v>2828</v>
      </c>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6"/>
      <c r="AO138" s="136"/>
      <c r="AP138" s="136"/>
      <c r="AQ138" s="136"/>
      <c r="AR138" s="136"/>
      <c r="AS138" s="136"/>
      <c r="AT138" s="136"/>
      <c r="AU138" s="136"/>
      <c r="AV138" s="136"/>
      <c r="AW138" s="136"/>
      <c r="AX138" s="136"/>
      <c r="AY138" s="136"/>
      <c r="AZ138" s="136"/>
      <c r="BA138" s="136"/>
      <c r="BB138" s="136"/>
      <c r="BC138" s="136"/>
      <c r="BD138" s="136"/>
      <c r="BE138" s="136"/>
      <c r="BF138" s="136"/>
      <c r="BG138" s="136"/>
      <c r="BH138" s="136"/>
      <c r="BI138" s="136"/>
      <c r="BJ138" s="136"/>
      <c r="BK138" s="136"/>
      <c r="BL138" s="136"/>
      <c r="BM138" s="136"/>
      <c r="BN138" s="136"/>
      <c r="BO138" s="136"/>
      <c r="BP138" s="136"/>
      <c r="BQ138" s="136"/>
      <c r="BR138" s="136"/>
      <c r="BS138" s="136"/>
      <c r="BT138" s="136"/>
      <c r="BU138" s="136"/>
      <c r="BV138" s="136"/>
      <c r="BW138" s="136"/>
      <c r="BX138" s="136"/>
      <c r="BY138" s="136"/>
      <c r="BZ138" s="136"/>
      <c r="CA138" s="136"/>
      <c r="CB138" s="136"/>
      <c r="CC138" s="136"/>
      <c r="CD138" s="136"/>
      <c r="CE138" s="136"/>
      <c r="CF138" s="136"/>
      <c r="CG138" s="136"/>
      <c r="CH138" s="136"/>
      <c r="CI138" s="136"/>
      <c r="CJ138" s="136"/>
      <c r="CK138" s="136"/>
      <c r="CL138" s="136"/>
      <c r="CM138" s="136"/>
      <c r="CN138" s="136"/>
      <c r="CO138" s="136"/>
      <c r="CP138" s="136"/>
      <c r="CQ138" s="136"/>
      <c r="CR138" s="136"/>
      <c r="CS138" s="136"/>
      <c r="CT138" s="136"/>
      <c r="CU138" s="136"/>
      <c r="CV138" s="136"/>
      <c r="CW138" s="136"/>
      <c r="CX138" s="136"/>
      <c r="CY138" s="136"/>
      <c r="CZ138" s="136"/>
      <c r="DA138" s="136"/>
      <c r="DB138" s="136"/>
      <c r="DC138" s="136"/>
      <c r="DD138" s="136"/>
      <c r="DE138" s="136"/>
      <c r="DF138" s="136"/>
      <c r="DG138" s="136"/>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row>
    <row r="139" spans="1:255" ht="64.5" customHeight="1" x14ac:dyDescent="0.2">
      <c r="A139" s="242" t="str">
        <f>'HECVAT - Full'!A139</f>
        <v>DATA-13</v>
      </c>
      <c r="B139" s="242" t="str">
        <f>VLOOKUP(A139,'HECVAT - Full'!A$24:B$312,2,FALSE)</f>
        <v>In the event of imminent bankruptcy, closing of business, or retirement of service, will you provide 90 days for customers to get their data out of the system and migrate applications?</v>
      </c>
      <c r="C139" s="255" t="s">
        <v>2829</v>
      </c>
      <c r="D139" s="256" t="s">
        <v>2828</v>
      </c>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36"/>
      <c r="AW139" s="136"/>
      <c r="AX139" s="136"/>
      <c r="AY139" s="136"/>
      <c r="AZ139" s="136"/>
      <c r="BA139" s="136"/>
      <c r="BB139" s="136"/>
      <c r="BC139" s="136"/>
      <c r="BD139" s="136"/>
      <c r="BE139" s="136"/>
      <c r="BF139" s="136"/>
      <c r="BG139" s="136"/>
      <c r="BH139" s="136"/>
      <c r="BI139" s="136"/>
      <c r="BJ139" s="136"/>
      <c r="BK139" s="136"/>
      <c r="BL139" s="136"/>
      <c r="BM139" s="136"/>
      <c r="BN139" s="136"/>
      <c r="BO139" s="136"/>
      <c r="BP139" s="136"/>
      <c r="BQ139" s="136"/>
      <c r="BR139" s="136"/>
      <c r="BS139" s="136"/>
      <c r="BT139" s="136"/>
      <c r="BU139" s="136"/>
      <c r="BV139" s="136"/>
      <c r="BW139" s="136"/>
      <c r="BX139" s="136"/>
      <c r="BY139" s="136"/>
      <c r="BZ139" s="136"/>
      <c r="CA139" s="136"/>
      <c r="CB139" s="136"/>
      <c r="CC139" s="136"/>
      <c r="CD139" s="136"/>
      <c r="CE139" s="136"/>
      <c r="CF139" s="136"/>
      <c r="CG139" s="136"/>
      <c r="CH139" s="136"/>
      <c r="CI139" s="136"/>
      <c r="CJ139" s="136"/>
      <c r="CK139" s="136"/>
      <c r="CL139" s="136"/>
      <c r="CM139" s="136"/>
      <c r="CN139" s="136"/>
      <c r="CO139" s="136"/>
      <c r="CP139" s="136"/>
      <c r="CQ139" s="136"/>
      <c r="CR139" s="136"/>
      <c r="CS139" s="136"/>
      <c r="CT139" s="136"/>
      <c r="CU139" s="136"/>
      <c r="CV139" s="136"/>
      <c r="CW139" s="136"/>
      <c r="CX139" s="136"/>
      <c r="CY139" s="136"/>
      <c r="CZ139" s="136"/>
      <c r="DA139" s="136"/>
      <c r="DB139" s="136"/>
      <c r="DC139" s="136"/>
      <c r="DD139" s="136"/>
      <c r="DE139" s="136"/>
      <c r="DF139" s="136"/>
      <c r="DG139" s="136"/>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row>
    <row r="140" spans="1:255" ht="63" customHeight="1" x14ac:dyDescent="0.2">
      <c r="A140" s="242" t="str">
        <f>'HECVAT - Full'!A140</f>
        <v>DATA-14</v>
      </c>
      <c r="B140" s="242" t="str">
        <f>VLOOKUP(A140,'HECVAT - Full'!A$24:B$312,2,FALSE)</f>
        <v xml:space="preserve">Describe or provide a reference to the backup processes for the servers on which the service and/or data resides. </v>
      </c>
      <c r="C140" s="255" t="s">
        <v>2830</v>
      </c>
      <c r="D140" s="256" t="s">
        <v>2831</v>
      </c>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6"/>
      <c r="AO140" s="136"/>
      <c r="AP140" s="136"/>
      <c r="AQ140" s="136"/>
      <c r="AR140" s="136"/>
      <c r="AS140" s="136"/>
      <c r="AT140" s="136"/>
      <c r="AU140" s="136"/>
      <c r="AV140" s="136"/>
      <c r="AW140" s="136"/>
      <c r="AX140" s="136"/>
      <c r="AY140" s="136"/>
      <c r="AZ140" s="136"/>
      <c r="BA140" s="136"/>
      <c r="BB140" s="136"/>
      <c r="BC140" s="136"/>
      <c r="BD140" s="136"/>
      <c r="BE140" s="136"/>
      <c r="BF140" s="136"/>
      <c r="BG140" s="136"/>
      <c r="BH140" s="136"/>
      <c r="BI140" s="136"/>
      <c r="BJ140" s="136"/>
      <c r="BK140" s="136"/>
      <c r="BL140" s="136"/>
      <c r="BM140" s="136"/>
      <c r="BN140" s="136"/>
      <c r="BO140" s="136"/>
      <c r="BP140" s="136"/>
      <c r="BQ140" s="136"/>
      <c r="BR140" s="136"/>
      <c r="BS140" s="136"/>
      <c r="BT140" s="136"/>
      <c r="BU140" s="136"/>
      <c r="BV140" s="136"/>
      <c r="BW140" s="136"/>
      <c r="BX140" s="136"/>
      <c r="BY140" s="136"/>
      <c r="BZ140" s="136"/>
      <c r="CA140" s="136"/>
      <c r="CB140" s="136"/>
      <c r="CC140" s="136"/>
      <c r="CD140" s="136"/>
      <c r="CE140" s="136"/>
      <c r="CF140" s="136"/>
      <c r="CG140" s="136"/>
      <c r="CH140" s="136"/>
      <c r="CI140" s="136"/>
      <c r="CJ140" s="136"/>
      <c r="CK140" s="136"/>
      <c r="CL140" s="136"/>
      <c r="CM140" s="136"/>
      <c r="CN140" s="136"/>
      <c r="CO140" s="136"/>
      <c r="CP140" s="136"/>
      <c r="CQ140" s="136"/>
      <c r="CR140" s="136"/>
      <c r="CS140" s="136"/>
      <c r="CT140" s="136"/>
      <c r="CU140" s="136"/>
      <c r="CV140" s="136"/>
      <c r="CW140" s="136"/>
      <c r="CX140" s="136"/>
      <c r="CY140" s="136"/>
      <c r="CZ140" s="136"/>
      <c r="DA140" s="136"/>
      <c r="DB140" s="136"/>
      <c r="DC140" s="136"/>
      <c r="DD140" s="136"/>
      <c r="DE140" s="136"/>
      <c r="DF140" s="136"/>
      <c r="DG140" s="136"/>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row>
    <row r="141" spans="1:255" ht="80.25" customHeight="1" x14ac:dyDescent="0.2">
      <c r="A141" s="242" t="str">
        <f>'HECVAT - Full'!A141</f>
        <v>DATA-15</v>
      </c>
      <c r="B141" s="242" t="str">
        <f>VLOOKUP(A141,'HECVAT - Full'!A$24:B$312,2,FALSE)</f>
        <v>Are backup copies made according to pre-defined schedules and securely stored and protected?</v>
      </c>
      <c r="C141" s="255" t="s">
        <v>2832</v>
      </c>
      <c r="D141" s="256" t="s">
        <v>2833</v>
      </c>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36"/>
      <c r="AW141" s="136"/>
      <c r="AX141" s="136"/>
      <c r="AY141" s="136"/>
      <c r="AZ141" s="136"/>
      <c r="BA141" s="136"/>
      <c r="BB141" s="136"/>
      <c r="BC141" s="136"/>
      <c r="BD141" s="136"/>
      <c r="BE141" s="136"/>
      <c r="BF141" s="136"/>
      <c r="BG141" s="136"/>
      <c r="BH141" s="136"/>
      <c r="BI141" s="136"/>
      <c r="BJ141" s="136"/>
      <c r="BK141" s="136"/>
      <c r="BL141" s="136"/>
      <c r="BM141" s="136"/>
      <c r="BN141" s="136"/>
      <c r="BO141" s="136"/>
      <c r="BP141" s="136"/>
      <c r="BQ141" s="136"/>
      <c r="BR141" s="136"/>
      <c r="BS141" s="136"/>
      <c r="BT141" s="136"/>
      <c r="BU141" s="136"/>
      <c r="BV141" s="136"/>
      <c r="BW141" s="136"/>
      <c r="BX141" s="136"/>
      <c r="BY141" s="136"/>
      <c r="BZ141" s="136"/>
      <c r="CA141" s="136"/>
      <c r="CB141" s="136"/>
      <c r="CC141" s="136"/>
      <c r="CD141" s="136"/>
      <c r="CE141" s="136"/>
      <c r="CF141" s="136"/>
      <c r="CG141" s="136"/>
      <c r="CH141" s="136"/>
      <c r="CI141" s="136"/>
      <c r="CJ141" s="136"/>
      <c r="CK141" s="136"/>
      <c r="CL141" s="136"/>
      <c r="CM141" s="136"/>
      <c r="CN141" s="136"/>
      <c r="CO141" s="136"/>
      <c r="CP141" s="136"/>
      <c r="CQ141" s="136"/>
      <c r="CR141" s="136"/>
      <c r="CS141" s="136"/>
      <c r="CT141" s="136"/>
      <c r="CU141" s="136"/>
      <c r="CV141" s="136"/>
      <c r="CW141" s="136"/>
      <c r="CX141" s="136"/>
      <c r="CY141" s="136"/>
      <c r="CZ141" s="136"/>
      <c r="DA141" s="136"/>
      <c r="DB141" s="136"/>
      <c r="DC141" s="136"/>
      <c r="DD141" s="136"/>
      <c r="DE141" s="136"/>
      <c r="DF141" s="136"/>
      <c r="DG141" s="136"/>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row>
    <row r="142" spans="1:255" ht="64.5" customHeight="1" x14ac:dyDescent="0.2">
      <c r="A142" s="242" t="str">
        <f>'HECVAT - Full'!A142</f>
        <v>DATA-16</v>
      </c>
      <c r="B142" s="242" t="str">
        <f>VLOOKUP(A142,'HECVAT - Full'!A$24:B$312,2,FALSE)</f>
        <v>How long are data backups stored?</v>
      </c>
      <c r="C142" s="255" t="s">
        <v>2834</v>
      </c>
      <c r="D142" s="256" t="s">
        <v>2835</v>
      </c>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6"/>
      <c r="AO142" s="136"/>
      <c r="AP142" s="136"/>
      <c r="AQ142" s="136"/>
      <c r="AR142" s="136"/>
      <c r="AS142" s="136"/>
      <c r="AT142" s="136"/>
      <c r="AU142" s="136"/>
      <c r="AV142" s="136"/>
      <c r="AW142" s="136"/>
      <c r="AX142" s="136"/>
      <c r="AY142" s="136"/>
      <c r="AZ142" s="136"/>
      <c r="BA142" s="136"/>
      <c r="BB142" s="136"/>
      <c r="BC142" s="136"/>
      <c r="BD142" s="136"/>
      <c r="BE142" s="136"/>
      <c r="BF142" s="136"/>
      <c r="BG142" s="136"/>
      <c r="BH142" s="136"/>
      <c r="BI142" s="136"/>
      <c r="BJ142" s="136"/>
      <c r="BK142" s="136"/>
      <c r="BL142" s="136"/>
      <c r="BM142" s="136"/>
      <c r="BN142" s="136"/>
      <c r="BO142" s="136"/>
      <c r="BP142" s="136"/>
      <c r="BQ142" s="136"/>
      <c r="BR142" s="136"/>
      <c r="BS142" s="136"/>
      <c r="BT142" s="136"/>
      <c r="BU142" s="136"/>
      <c r="BV142" s="136"/>
      <c r="BW142" s="136"/>
      <c r="BX142" s="136"/>
      <c r="BY142" s="136"/>
      <c r="BZ142" s="136"/>
      <c r="CA142" s="136"/>
      <c r="CB142" s="136"/>
      <c r="CC142" s="136"/>
      <c r="CD142" s="136"/>
      <c r="CE142" s="136"/>
      <c r="CF142" s="136"/>
      <c r="CG142" s="136"/>
      <c r="CH142" s="136"/>
      <c r="CI142" s="136"/>
      <c r="CJ142" s="136"/>
      <c r="CK142" s="136"/>
      <c r="CL142" s="136"/>
      <c r="CM142" s="136"/>
      <c r="CN142" s="136"/>
      <c r="CO142" s="136"/>
      <c r="CP142" s="136"/>
      <c r="CQ142" s="136"/>
      <c r="CR142" s="136"/>
      <c r="CS142" s="136"/>
      <c r="CT142" s="136"/>
      <c r="CU142" s="136"/>
      <c r="CV142" s="136"/>
      <c r="CW142" s="136"/>
      <c r="CX142" s="136"/>
      <c r="CY142" s="136"/>
      <c r="CZ142" s="136"/>
      <c r="DA142" s="136"/>
      <c r="DB142" s="136"/>
      <c r="DC142" s="136"/>
      <c r="DD142" s="136"/>
      <c r="DE142" s="136"/>
      <c r="DF142" s="136"/>
      <c r="DG142" s="136"/>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row>
    <row r="143" spans="1:255" ht="71.25" x14ac:dyDescent="0.2">
      <c r="A143" s="242" t="str">
        <f>'HECVAT - Full'!A143</f>
        <v>DATA-17</v>
      </c>
      <c r="B143" s="242" t="str">
        <f>VLOOKUP(A143,'HECVAT - Full'!A$24:B$312,2,FALSE)</f>
        <v>Are data backups encrypted?</v>
      </c>
      <c r="C143" s="245" t="s">
        <v>2836</v>
      </c>
      <c r="D143" s="250" t="s">
        <v>2837</v>
      </c>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6"/>
      <c r="AN143" s="136"/>
      <c r="AO143" s="136"/>
      <c r="AP143" s="136"/>
      <c r="AQ143" s="136"/>
      <c r="AR143" s="136"/>
      <c r="AS143" s="136"/>
      <c r="AT143" s="136"/>
      <c r="AU143" s="136"/>
      <c r="AV143" s="136"/>
      <c r="AW143" s="136"/>
      <c r="AX143" s="136"/>
      <c r="AY143" s="136"/>
      <c r="AZ143" s="136"/>
      <c r="BA143" s="136"/>
      <c r="BB143" s="136"/>
      <c r="BC143" s="136"/>
      <c r="BD143" s="136"/>
      <c r="BE143" s="136"/>
      <c r="BF143" s="136"/>
      <c r="BG143" s="136"/>
      <c r="BH143" s="136"/>
      <c r="BI143" s="136"/>
      <c r="BJ143" s="136"/>
      <c r="BK143" s="136"/>
      <c r="BL143" s="136"/>
      <c r="BM143" s="136"/>
      <c r="BN143" s="136"/>
      <c r="BO143" s="136"/>
      <c r="BP143" s="136"/>
      <c r="BQ143" s="136"/>
      <c r="BR143" s="136"/>
      <c r="BS143" s="136"/>
      <c r="BT143" s="136"/>
      <c r="BU143" s="136"/>
      <c r="BV143" s="136"/>
      <c r="BW143" s="136"/>
      <c r="BX143" s="136"/>
      <c r="BY143" s="136"/>
      <c r="BZ143" s="136"/>
      <c r="CA143" s="136"/>
      <c r="CB143" s="136"/>
      <c r="CC143" s="136"/>
      <c r="CD143" s="136"/>
      <c r="CE143" s="136"/>
      <c r="CF143" s="136"/>
      <c r="CG143" s="136"/>
      <c r="CH143" s="136"/>
      <c r="CI143" s="136"/>
      <c r="CJ143" s="136"/>
      <c r="CK143" s="136"/>
      <c r="CL143" s="136"/>
      <c r="CM143" s="136"/>
      <c r="CN143" s="136"/>
      <c r="CO143" s="136"/>
      <c r="CP143" s="136"/>
      <c r="CQ143" s="136"/>
      <c r="CR143" s="136"/>
      <c r="CS143" s="136"/>
      <c r="CT143" s="136"/>
      <c r="CU143" s="136"/>
      <c r="CV143" s="136"/>
      <c r="CW143" s="136"/>
      <c r="CX143" s="136"/>
      <c r="CY143" s="136"/>
      <c r="CZ143" s="136"/>
      <c r="DA143" s="136"/>
      <c r="DB143" s="136"/>
      <c r="DC143" s="136"/>
      <c r="DD143" s="136"/>
      <c r="DE143" s="136"/>
      <c r="DF143" s="136"/>
      <c r="DG143" s="136"/>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row>
    <row r="144" spans="1:255" ht="114" x14ac:dyDescent="0.2">
      <c r="A144" s="242" t="str">
        <f>'HECVAT - Full'!A144</f>
        <v>DATA-18</v>
      </c>
      <c r="B144" s="242" t="str">
        <f>VLOOKUP(A144,'HECVAT - Full'!A$24:B$312,2,FALSE)</f>
        <v>Do you have a cryptographic key management process (generation, exchange, storage, safeguards, use, vetting, and replacement), that is documented and currently implemented, for all system components? (e.g. database, system, web, etc.)</v>
      </c>
      <c r="C144" s="272" t="s">
        <v>3033</v>
      </c>
      <c r="D144" s="243" t="s">
        <v>2838</v>
      </c>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36"/>
      <c r="AY144" s="136"/>
      <c r="AZ144" s="136"/>
      <c r="BA144" s="136"/>
      <c r="BB144" s="136"/>
      <c r="BC144" s="136"/>
      <c r="BD144" s="136"/>
      <c r="BE144" s="136"/>
      <c r="BF144" s="136"/>
      <c r="BG144" s="136"/>
      <c r="BH144" s="136"/>
      <c r="BI144" s="136"/>
      <c r="BJ144" s="136"/>
      <c r="BK144" s="136"/>
      <c r="BL144" s="136"/>
      <c r="BM144" s="136"/>
      <c r="BN144" s="136"/>
      <c r="BO144" s="136"/>
      <c r="BP144" s="136"/>
      <c r="BQ144" s="136"/>
      <c r="BR144" s="136"/>
      <c r="BS144" s="136"/>
      <c r="BT144" s="136"/>
      <c r="BU144" s="136"/>
      <c r="BV144" s="136"/>
      <c r="BW144" s="136"/>
      <c r="BX144" s="136"/>
      <c r="BY144" s="136"/>
      <c r="BZ144" s="136"/>
      <c r="CA144" s="136"/>
      <c r="CB144" s="136"/>
      <c r="CC144" s="136"/>
      <c r="CD144" s="136"/>
      <c r="CE144" s="136"/>
      <c r="CF144" s="136"/>
      <c r="CG144" s="136"/>
      <c r="CH144" s="136"/>
      <c r="CI144" s="136"/>
      <c r="CJ144" s="136"/>
      <c r="CK144" s="136"/>
      <c r="CL144" s="136"/>
      <c r="CM144" s="136"/>
      <c r="CN144" s="136"/>
      <c r="CO144" s="136"/>
      <c r="CP144" s="136"/>
      <c r="CQ144" s="136"/>
      <c r="CR144" s="136"/>
      <c r="CS144" s="136"/>
      <c r="CT144" s="136"/>
      <c r="CU144" s="136"/>
      <c r="CV144" s="136"/>
      <c r="CW144" s="136"/>
      <c r="CX144" s="136"/>
      <c r="CY144" s="136"/>
      <c r="CZ144" s="136"/>
      <c r="DA144" s="136"/>
      <c r="DB144" s="136"/>
      <c r="DC144" s="136"/>
      <c r="DD144" s="136"/>
      <c r="DE144" s="136"/>
      <c r="DF144" s="136"/>
      <c r="DG144" s="136"/>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row>
    <row r="145" spans="1:255" ht="63.75" customHeight="1" x14ac:dyDescent="0.2">
      <c r="A145" s="242" t="str">
        <f>'HECVAT - Full'!A145</f>
        <v>DATA-19</v>
      </c>
      <c r="B145" s="242" t="str">
        <f>VLOOKUP(A145,'HECVAT - Full'!A$24:B$312,2,FALSE)</f>
        <v>Do current backups include all operating system software, utilities, security software, application software, and data files necessary for recovery?</v>
      </c>
      <c r="C145" s="255" t="s">
        <v>2839</v>
      </c>
      <c r="D145" s="250" t="s">
        <v>2840</v>
      </c>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6"/>
      <c r="AN145" s="136"/>
      <c r="AO145" s="136"/>
      <c r="AP145" s="136"/>
      <c r="AQ145" s="136"/>
      <c r="AR145" s="136"/>
      <c r="AS145" s="136"/>
      <c r="AT145" s="136"/>
      <c r="AU145" s="136"/>
      <c r="AV145" s="136"/>
      <c r="AW145" s="136"/>
      <c r="AX145" s="136"/>
      <c r="AY145" s="136"/>
      <c r="AZ145" s="136"/>
      <c r="BA145" s="136"/>
      <c r="BB145" s="136"/>
      <c r="BC145" s="136"/>
      <c r="BD145" s="136"/>
      <c r="BE145" s="136"/>
      <c r="BF145" s="136"/>
      <c r="BG145" s="136"/>
      <c r="BH145" s="136"/>
      <c r="BI145" s="136"/>
      <c r="BJ145" s="136"/>
      <c r="BK145" s="136"/>
      <c r="BL145" s="136"/>
      <c r="BM145" s="136"/>
      <c r="BN145" s="136"/>
      <c r="BO145" s="136"/>
      <c r="BP145" s="136"/>
      <c r="BQ145" s="136"/>
      <c r="BR145" s="136"/>
      <c r="BS145" s="136"/>
      <c r="BT145" s="136"/>
      <c r="BU145" s="136"/>
      <c r="BV145" s="136"/>
      <c r="BW145" s="136"/>
      <c r="BX145" s="136"/>
      <c r="BY145" s="136"/>
      <c r="BZ145" s="136"/>
      <c r="CA145" s="136"/>
      <c r="CB145" s="136"/>
      <c r="CC145" s="136"/>
      <c r="CD145" s="136"/>
      <c r="CE145" s="136"/>
      <c r="CF145" s="136"/>
      <c r="CG145" s="136"/>
      <c r="CH145" s="136"/>
      <c r="CI145" s="136"/>
      <c r="CJ145" s="136"/>
      <c r="CK145" s="136"/>
      <c r="CL145" s="136"/>
      <c r="CM145" s="136"/>
      <c r="CN145" s="136"/>
      <c r="CO145" s="136"/>
      <c r="CP145" s="136"/>
      <c r="CQ145" s="136"/>
      <c r="CR145" s="136"/>
      <c r="CS145" s="136"/>
      <c r="CT145" s="136"/>
      <c r="CU145" s="136"/>
      <c r="CV145" s="136"/>
      <c r="CW145" s="136"/>
      <c r="CX145" s="136"/>
      <c r="CY145" s="136"/>
      <c r="CZ145" s="136"/>
      <c r="DA145" s="136"/>
      <c r="DB145" s="136"/>
      <c r="DC145" s="136"/>
      <c r="DD145" s="136"/>
      <c r="DE145" s="136"/>
      <c r="DF145" s="136"/>
      <c r="DG145" s="136"/>
      <c r="DH145" s="136"/>
      <c r="DI145" s="136"/>
      <c r="DJ145" s="136"/>
      <c r="DK145" s="136"/>
      <c r="DL145" s="136"/>
      <c r="DM145" s="136"/>
      <c r="DN145" s="136"/>
      <c r="DO145" s="136"/>
      <c r="DP145" s="136"/>
      <c r="DQ145" s="136"/>
      <c r="DR145" s="136"/>
      <c r="DS145" s="136"/>
      <c r="DT145" s="136"/>
      <c r="DU145" s="136"/>
      <c r="DV145" s="136"/>
      <c r="DW145" s="136"/>
      <c r="DX145" s="136"/>
      <c r="DY145" s="136"/>
      <c r="DZ145" s="136"/>
      <c r="EA145" s="136"/>
      <c r="EB145" s="136"/>
      <c r="EC145" s="136"/>
      <c r="ED145" s="136"/>
      <c r="EE145" s="136"/>
      <c r="EF145" s="136"/>
      <c r="EG145" s="136"/>
      <c r="EH145" s="136"/>
      <c r="EI145" s="136"/>
      <c r="EJ145" s="136"/>
      <c r="EK145" s="136"/>
      <c r="EL145" s="136"/>
      <c r="EM145" s="136"/>
      <c r="EN145" s="136"/>
      <c r="EO145" s="136"/>
      <c r="EP145" s="136"/>
      <c r="EQ145" s="136"/>
      <c r="ER145" s="136"/>
      <c r="ES145" s="136"/>
      <c r="ET145" s="136"/>
      <c r="EU145" s="136"/>
      <c r="EV145" s="136"/>
      <c r="EW145" s="136"/>
      <c r="EX145" s="136"/>
      <c r="EY145" s="136"/>
      <c r="EZ145" s="136"/>
      <c r="FA145" s="136"/>
      <c r="FB145" s="136"/>
      <c r="FC145" s="136"/>
      <c r="FD145" s="136"/>
      <c r="FE145" s="136"/>
      <c r="FF145" s="136"/>
      <c r="FG145" s="136"/>
      <c r="FH145" s="136"/>
      <c r="FI145" s="136"/>
      <c r="FJ145" s="136"/>
      <c r="FK145" s="136"/>
      <c r="FL145" s="136"/>
      <c r="FM145" s="136"/>
      <c r="FN145" s="136"/>
      <c r="FO145" s="136"/>
      <c r="FP145" s="136"/>
      <c r="FQ145" s="136"/>
      <c r="FR145" s="136"/>
      <c r="FS145" s="136"/>
      <c r="FT145" s="136"/>
      <c r="FU145" s="136"/>
      <c r="FV145" s="136"/>
      <c r="FW145" s="136"/>
      <c r="FX145" s="136"/>
      <c r="FY145" s="136"/>
      <c r="FZ145" s="136"/>
      <c r="GA145" s="136"/>
      <c r="GB145" s="136"/>
      <c r="GC145" s="136"/>
      <c r="GD145" s="136"/>
      <c r="GE145" s="136"/>
      <c r="GF145" s="136"/>
      <c r="GG145" s="136"/>
      <c r="GH145" s="136"/>
      <c r="GI145" s="136"/>
      <c r="GJ145" s="136"/>
      <c r="GK145" s="136"/>
      <c r="GL145" s="136"/>
      <c r="GM145" s="136"/>
      <c r="GN145" s="136"/>
      <c r="GO145" s="136"/>
      <c r="GP145" s="136"/>
      <c r="GQ145" s="136"/>
      <c r="GR145" s="136"/>
      <c r="GS145" s="136"/>
      <c r="GT145" s="136"/>
      <c r="GU145" s="136"/>
      <c r="GV145" s="136"/>
      <c r="GW145" s="136"/>
      <c r="GX145" s="136"/>
      <c r="GY145" s="136"/>
      <c r="GZ145" s="136"/>
      <c r="HA145" s="136"/>
      <c r="HB145" s="136"/>
      <c r="HC145" s="136"/>
      <c r="HD145" s="136"/>
      <c r="HE145" s="136"/>
      <c r="HF145" s="136"/>
      <c r="HG145" s="136"/>
      <c r="HH145" s="136"/>
      <c r="HI145" s="136"/>
      <c r="HJ145" s="136"/>
      <c r="HK145" s="136"/>
      <c r="HL145" s="136"/>
      <c r="HM145" s="136"/>
      <c r="HN145" s="136"/>
      <c r="HO145" s="136"/>
      <c r="HP145" s="136"/>
      <c r="HQ145" s="136"/>
      <c r="HR145" s="136"/>
      <c r="HS145" s="136"/>
      <c r="HT145" s="136"/>
      <c r="HU145" s="136"/>
      <c r="HV145" s="136"/>
      <c r="HW145" s="136"/>
      <c r="HX145" s="136"/>
      <c r="HY145" s="136"/>
      <c r="HZ145" s="136"/>
      <c r="IA145" s="136"/>
      <c r="IB145" s="136"/>
      <c r="IC145" s="136"/>
      <c r="ID145" s="136"/>
      <c r="IE145" s="136"/>
      <c r="IF145" s="136"/>
      <c r="IG145" s="136"/>
      <c r="IH145" s="136"/>
      <c r="II145" s="136"/>
      <c r="IJ145" s="136"/>
      <c r="IK145" s="136"/>
      <c r="IL145" s="136"/>
      <c r="IM145" s="136"/>
      <c r="IN145" s="136"/>
      <c r="IO145" s="136"/>
      <c r="IP145" s="136"/>
      <c r="IQ145" s="136"/>
      <c r="IR145" s="136"/>
      <c r="IS145" s="136"/>
      <c r="IT145" s="136"/>
      <c r="IU145" s="136"/>
    </row>
    <row r="146" spans="1:255" ht="85.5" x14ac:dyDescent="0.2">
      <c r="A146" s="242" t="str">
        <f>'HECVAT - Full'!A146</f>
        <v>DATA-20</v>
      </c>
      <c r="B146" s="242" t="str">
        <f>VLOOKUP(A146,'HECVAT - Full'!A$24:B$312,2,FALSE)</f>
        <v>Are you performing off site backups? (i.e. digitally moved off site)</v>
      </c>
      <c r="C146" s="281" t="s">
        <v>3062</v>
      </c>
      <c r="D146" s="250" t="s">
        <v>2841</v>
      </c>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Q146" s="136"/>
      <c r="AR146" s="136"/>
      <c r="AS146" s="136"/>
      <c r="AT146" s="136"/>
      <c r="AU146" s="136"/>
      <c r="AV146" s="136"/>
      <c r="AW146" s="136"/>
      <c r="AX146" s="136"/>
      <c r="AY146" s="136"/>
      <c r="AZ146" s="136"/>
      <c r="BA146" s="136"/>
      <c r="BB146" s="136"/>
      <c r="BC146" s="136"/>
      <c r="BD146" s="136"/>
      <c r="BE146" s="136"/>
      <c r="BF146" s="136"/>
      <c r="BG146" s="136"/>
      <c r="BH146" s="136"/>
      <c r="BI146" s="136"/>
      <c r="BJ146" s="136"/>
      <c r="BK146" s="136"/>
      <c r="BL146" s="136"/>
      <c r="BM146" s="136"/>
      <c r="BN146" s="136"/>
      <c r="BO146" s="136"/>
      <c r="BP146" s="136"/>
      <c r="BQ146" s="136"/>
      <c r="BR146" s="136"/>
      <c r="BS146" s="136"/>
      <c r="BT146" s="136"/>
      <c r="BU146" s="136"/>
      <c r="BV146" s="136"/>
      <c r="BW146" s="136"/>
      <c r="BX146" s="136"/>
      <c r="BY146" s="136"/>
      <c r="BZ146" s="136"/>
      <c r="CA146" s="136"/>
      <c r="CB146" s="136"/>
      <c r="CC146" s="136"/>
      <c r="CD146" s="136"/>
      <c r="CE146" s="136"/>
      <c r="CF146" s="136"/>
      <c r="CG146" s="136"/>
      <c r="CH146" s="136"/>
      <c r="CI146" s="136"/>
      <c r="CJ146" s="136"/>
      <c r="CK146" s="136"/>
      <c r="CL146" s="136"/>
      <c r="CM146" s="136"/>
      <c r="CN146" s="136"/>
      <c r="CO146" s="136"/>
      <c r="CP146" s="136"/>
      <c r="CQ146" s="136"/>
      <c r="CR146" s="136"/>
      <c r="CS146" s="136"/>
      <c r="CT146" s="136"/>
      <c r="CU146" s="136"/>
      <c r="CV146" s="136"/>
      <c r="CW146" s="136"/>
      <c r="CX146" s="136"/>
      <c r="CY146" s="136"/>
      <c r="CZ146" s="136"/>
      <c r="DA146" s="136"/>
      <c r="DB146" s="136"/>
      <c r="DC146" s="136"/>
      <c r="DD146" s="136"/>
      <c r="DE146" s="136"/>
      <c r="DF146" s="136"/>
      <c r="DG146" s="136"/>
      <c r="DH146" s="136"/>
      <c r="DI146" s="136"/>
      <c r="DJ146" s="136"/>
      <c r="DK146" s="136"/>
      <c r="DL146" s="136"/>
      <c r="DM146" s="136"/>
      <c r="DN146" s="136"/>
      <c r="DO146" s="136"/>
      <c r="DP146" s="136"/>
      <c r="DQ146" s="136"/>
      <c r="DR146" s="136"/>
      <c r="DS146" s="136"/>
      <c r="DT146" s="136"/>
      <c r="DU146" s="136"/>
      <c r="DV146" s="136"/>
      <c r="DW146" s="136"/>
      <c r="DX146" s="136"/>
      <c r="DY146" s="136"/>
      <c r="DZ146" s="136"/>
      <c r="EA146" s="136"/>
      <c r="EB146" s="136"/>
      <c r="EC146" s="136"/>
      <c r="ED146" s="136"/>
      <c r="EE146" s="136"/>
      <c r="EF146" s="136"/>
      <c r="EG146" s="136"/>
      <c r="EH146" s="136"/>
      <c r="EI146" s="136"/>
      <c r="EJ146" s="136"/>
      <c r="EK146" s="136"/>
      <c r="EL146" s="136"/>
      <c r="EM146" s="136"/>
      <c r="EN146" s="136"/>
      <c r="EO146" s="136"/>
      <c r="EP146" s="136"/>
      <c r="EQ146" s="136"/>
      <c r="ER146" s="136"/>
      <c r="ES146" s="136"/>
      <c r="ET146" s="136"/>
      <c r="EU146" s="136"/>
      <c r="EV146" s="136"/>
      <c r="EW146" s="136"/>
      <c r="EX146" s="136"/>
      <c r="EY146" s="136"/>
      <c r="EZ146" s="136"/>
      <c r="FA146" s="136"/>
      <c r="FB146" s="136"/>
      <c r="FC146" s="136"/>
      <c r="FD146" s="136"/>
      <c r="FE146" s="136"/>
      <c r="FF146" s="136"/>
      <c r="FG146" s="136"/>
      <c r="FH146" s="136"/>
      <c r="FI146" s="136"/>
      <c r="FJ146" s="136"/>
      <c r="FK146" s="136"/>
      <c r="FL146" s="136"/>
      <c r="FM146" s="136"/>
      <c r="FN146" s="136"/>
      <c r="FO146" s="136"/>
      <c r="FP146" s="136"/>
      <c r="FQ146" s="136"/>
      <c r="FR146" s="136"/>
      <c r="FS146" s="136"/>
      <c r="FT146" s="136"/>
      <c r="FU146" s="136"/>
      <c r="FV146" s="136"/>
      <c r="FW146" s="136"/>
      <c r="FX146" s="136"/>
      <c r="FY146" s="136"/>
      <c r="FZ146" s="136"/>
      <c r="GA146" s="136"/>
      <c r="GB146" s="136"/>
      <c r="GC146" s="136"/>
      <c r="GD146" s="136"/>
      <c r="GE146" s="136"/>
      <c r="GF146" s="136"/>
      <c r="GG146" s="136"/>
      <c r="GH146" s="136"/>
      <c r="GI146" s="136"/>
      <c r="GJ146" s="136"/>
      <c r="GK146" s="136"/>
      <c r="GL146" s="136"/>
      <c r="GM146" s="136"/>
      <c r="GN146" s="136"/>
      <c r="GO146" s="136"/>
      <c r="GP146" s="136"/>
      <c r="GQ146" s="136"/>
      <c r="GR146" s="136"/>
      <c r="GS146" s="136"/>
      <c r="GT146" s="136"/>
      <c r="GU146" s="136"/>
      <c r="GV146" s="136"/>
      <c r="GW146" s="136"/>
      <c r="GX146" s="136"/>
      <c r="GY146" s="136"/>
      <c r="GZ146" s="136"/>
      <c r="HA146" s="136"/>
      <c r="HB146" s="136"/>
      <c r="HC146" s="136"/>
      <c r="HD146" s="136"/>
      <c r="HE146" s="136"/>
      <c r="HF146" s="136"/>
      <c r="HG146" s="136"/>
      <c r="HH146" s="136"/>
      <c r="HI146" s="136"/>
      <c r="HJ146" s="136"/>
      <c r="HK146" s="136"/>
      <c r="HL146" s="136"/>
      <c r="HM146" s="136"/>
      <c r="HN146" s="136"/>
      <c r="HO146" s="136"/>
      <c r="HP146" s="136"/>
      <c r="HQ146" s="136"/>
      <c r="HR146" s="136"/>
      <c r="HS146" s="136"/>
      <c r="HT146" s="136"/>
      <c r="HU146" s="136"/>
      <c r="HV146" s="136"/>
      <c r="HW146" s="136"/>
      <c r="HX146" s="136"/>
      <c r="HY146" s="136"/>
      <c r="HZ146" s="136"/>
      <c r="IA146" s="136"/>
      <c r="IB146" s="136"/>
      <c r="IC146" s="136"/>
      <c r="ID146" s="136"/>
      <c r="IE146" s="136"/>
      <c r="IF146" s="136"/>
      <c r="IG146" s="136"/>
      <c r="IH146" s="136"/>
      <c r="II146" s="136"/>
      <c r="IJ146" s="136"/>
      <c r="IK146" s="136"/>
      <c r="IL146" s="136"/>
      <c r="IM146" s="136"/>
      <c r="IN146" s="136"/>
      <c r="IO146" s="136"/>
      <c r="IP146" s="136"/>
      <c r="IQ146" s="136"/>
      <c r="IR146" s="136"/>
      <c r="IS146" s="136"/>
      <c r="IT146" s="136"/>
      <c r="IU146" s="136"/>
    </row>
    <row r="147" spans="1:255" ht="71.25" x14ac:dyDescent="0.2">
      <c r="A147" s="242" t="str">
        <f>'HECVAT - Full'!A147</f>
        <v>DATA-21</v>
      </c>
      <c r="B147" s="242" t="str">
        <f>VLOOKUP(A147,'HECVAT - Full'!A$24:B$312,2,FALSE)</f>
        <v>Are physical backups taken off site? (i.e. physically moved off site)</v>
      </c>
      <c r="C147" s="255" t="s">
        <v>2842</v>
      </c>
      <c r="D147" s="250" t="s">
        <v>2843</v>
      </c>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6"/>
      <c r="AN147" s="136"/>
      <c r="AO147" s="136"/>
      <c r="AP147" s="136"/>
      <c r="AQ147" s="136"/>
      <c r="AR147" s="136"/>
      <c r="AS147" s="136"/>
      <c r="AT147" s="136"/>
      <c r="AU147" s="136"/>
      <c r="AV147" s="136"/>
      <c r="AW147" s="136"/>
      <c r="AX147" s="136"/>
      <c r="AY147" s="136"/>
      <c r="AZ147" s="136"/>
      <c r="BA147" s="136"/>
      <c r="BB147" s="136"/>
      <c r="BC147" s="136"/>
      <c r="BD147" s="136"/>
      <c r="BE147" s="136"/>
      <c r="BF147" s="136"/>
      <c r="BG147" s="136"/>
      <c r="BH147" s="136"/>
      <c r="BI147" s="136"/>
      <c r="BJ147" s="136"/>
      <c r="BK147" s="136"/>
      <c r="BL147" s="136"/>
      <c r="BM147" s="136"/>
      <c r="BN147" s="136"/>
      <c r="BO147" s="136"/>
      <c r="BP147" s="136"/>
      <c r="BQ147" s="136"/>
      <c r="BR147" s="136"/>
      <c r="BS147" s="136"/>
      <c r="BT147" s="136"/>
      <c r="BU147" s="136"/>
      <c r="BV147" s="136"/>
      <c r="BW147" s="136"/>
      <c r="BX147" s="136"/>
      <c r="BY147" s="136"/>
      <c r="BZ147" s="136"/>
      <c r="CA147" s="136"/>
      <c r="CB147" s="136"/>
      <c r="CC147" s="136"/>
      <c r="CD147" s="136"/>
      <c r="CE147" s="136"/>
      <c r="CF147" s="136"/>
      <c r="CG147" s="136"/>
      <c r="CH147" s="136"/>
      <c r="CI147" s="136"/>
      <c r="CJ147" s="136"/>
      <c r="CK147" s="136"/>
      <c r="CL147" s="136"/>
      <c r="CM147" s="136"/>
      <c r="CN147" s="136"/>
      <c r="CO147" s="136"/>
      <c r="CP147" s="136"/>
      <c r="CQ147" s="136"/>
      <c r="CR147" s="136"/>
      <c r="CS147" s="136"/>
      <c r="CT147" s="136"/>
      <c r="CU147" s="136"/>
      <c r="CV147" s="136"/>
      <c r="CW147" s="136"/>
      <c r="CX147" s="136"/>
      <c r="CY147" s="136"/>
      <c r="CZ147" s="136"/>
      <c r="DA147" s="136"/>
      <c r="DB147" s="136"/>
      <c r="DC147" s="136"/>
      <c r="DD147" s="136"/>
      <c r="DE147" s="136"/>
      <c r="DF147" s="136"/>
      <c r="DG147" s="136"/>
      <c r="DH147" s="136"/>
      <c r="DI147" s="136"/>
      <c r="DJ147" s="136"/>
      <c r="DK147" s="136"/>
      <c r="DL147" s="136"/>
      <c r="DM147" s="136"/>
      <c r="DN147" s="136"/>
      <c r="DO147" s="136"/>
      <c r="DP147" s="136"/>
      <c r="DQ147" s="136"/>
      <c r="DR147" s="136"/>
      <c r="DS147" s="136"/>
      <c r="DT147" s="136"/>
      <c r="DU147" s="136"/>
      <c r="DV147" s="136"/>
      <c r="DW147" s="136"/>
      <c r="DX147" s="136"/>
      <c r="DY147" s="136"/>
      <c r="DZ147" s="136"/>
      <c r="EA147" s="136"/>
      <c r="EB147" s="136"/>
      <c r="EC147" s="136"/>
      <c r="ED147" s="136"/>
      <c r="EE147" s="136"/>
      <c r="EF147" s="136"/>
      <c r="EG147" s="136"/>
      <c r="EH147" s="136"/>
      <c r="EI147" s="136"/>
      <c r="EJ147" s="136"/>
      <c r="EK147" s="136"/>
      <c r="EL147" s="136"/>
      <c r="EM147" s="136"/>
      <c r="EN147" s="136"/>
      <c r="EO147" s="136"/>
      <c r="EP147" s="136"/>
      <c r="EQ147" s="136"/>
      <c r="ER147" s="136"/>
      <c r="ES147" s="136"/>
      <c r="ET147" s="136"/>
      <c r="EU147" s="136"/>
      <c r="EV147" s="136"/>
      <c r="EW147" s="136"/>
      <c r="EX147" s="136"/>
      <c r="EY147" s="136"/>
      <c r="EZ147" s="136"/>
      <c r="FA147" s="136"/>
      <c r="FB147" s="136"/>
      <c r="FC147" s="136"/>
      <c r="FD147" s="136"/>
      <c r="FE147" s="136"/>
      <c r="FF147" s="136"/>
      <c r="FG147" s="136"/>
      <c r="FH147" s="136"/>
      <c r="FI147" s="136"/>
      <c r="FJ147" s="136"/>
      <c r="FK147" s="136"/>
      <c r="FL147" s="136"/>
      <c r="FM147" s="136"/>
      <c r="FN147" s="136"/>
      <c r="FO147" s="136"/>
      <c r="FP147" s="136"/>
      <c r="FQ147" s="136"/>
      <c r="FR147" s="136"/>
      <c r="FS147" s="136"/>
      <c r="FT147" s="136"/>
      <c r="FU147" s="136"/>
      <c r="FV147" s="136"/>
      <c r="FW147" s="136"/>
      <c r="FX147" s="136"/>
      <c r="FY147" s="136"/>
      <c r="FZ147" s="136"/>
      <c r="GA147" s="136"/>
      <c r="GB147" s="136"/>
      <c r="GC147" s="136"/>
      <c r="GD147" s="136"/>
      <c r="GE147" s="136"/>
      <c r="GF147" s="136"/>
      <c r="GG147" s="136"/>
      <c r="GH147" s="136"/>
      <c r="GI147" s="136"/>
      <c r="GJ147" s="136"/>
      <c r="GK147" s="136"/>
      <c r="GL147" s="136"/>
      <c r="GM147" s="136"/>
      <c r="GN147" s="136"/>
      <c r="GO147" s="136"/>
      <c r="GP147" s="136"/>
      <c r="GQ147" s="136"/>
      <c r="GR147" s="136"/>
      <c r="GS147" s="136"/>
      <c r="GT147" s="136"/>
      <c r="GU147" s="136"/>
      <c r="GV147" s="136"/>
      <c r="GW147" s="136"/>
      <c r="GX147" s="136"/>
      <c r="GY147" s="136"/>
      <c r="GZ147" s="136"/>
      <c r="HA147" s="136"/>
      <c r="HB147" s="136"/>
      <c r="HC147" s="136"/>
      <c r="HD147" s="136"/>
      <c r="HE147" s="136"/>
      <c r="HF147" s="136"/>
      <c r="HG147" s="136"/>
      <c r="HH147" s="136"/>
      <c r="HI147" s="136"/>
      <c r="HJ147" s="136"/>
      <c r="HK147" s="136"/>
      <c r="HL147" s="136"/>
      <c r="HM147" s="136"/>
      <c r="HN147" s="136"/>
      <c r="HO147" s="136"/>
      <c r="HP147" s="136"/>
      <c r="HQ147" s="136"/>
      <c r="HR147" s="136"/>
      <c r="HS147" s="136"/>
      <c r="HT147" s="136"/>
      <c r="HU147" s="136"/>
      <c r="HV147" s="136"/>
      <c r="HW147" s="136"/>
      <c r="HX147" s="136"/>
      <c r="HY147" s="136"/>
      <c r="HZ147" s="136"/>
      <c r="IA147" s="136"/>
      <c r="IB147" s="136"/>
      <c r="IC147" s="136"/>
      <c r="ID147" s="136"/>
      <c r="IE147" s="136"/>
      <c r="IF147" s="136"/>
      <c r="IG147" s="136"/>
      <c r="IH147" s="136"/>
      <c r="II147" s="136"/>
      <c r="IJ147" s="136"/>
      <c r="IK147" s="136"/>
      <c r="IL147" s="136"/>
      <c r="IM147" s="136"/>
      <c r="IN147" s="136"/>
      <c r="IO147" s="136"/>
      <c r="IP147" s="136"/>
      <c r="IQ147" s="136"/>
      <c r="IR147" s="136"/>
      <c r="IS147" s="136"/>
      <c r="IT147" s="136"/>
      <c r="IU147" s="136"/>
    </row>
    <row r="148" spans="1:255" ht="85.5" x14ac:dyDescent="0.2">
      <c r="A148" s="242" t="str">
        <f>'HECVAT - Full'!A148</f>
        <v>DATA-22</v>
      </c>
      <c r="B148" s="242" t="str">
        <f>VLOOKUP(A148,'HECVAT - Full'!A$24:B$312,2,FALSE)</f>
        <v>Do backups containing the institution's data ever leave the Institution's Data Zone either physically or via network routing?</v>
      </c>
      <c r="C148" s="245" t="s">
        <v>2844</v>
      </c>
      <c r="D148" s="250" t="s">
        <v>2845</v>
      </c>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Q148" s="136"/>
      <c r="AR148" s="136"/>
      <c r="AS148" s="136"/>
      <c r="AT148" s="136"/>
      <c r="AU148" s="136"/>
      <c r="AV148" s="136"/>
      <c r="AW148" s="136"/>
      <c r="AX148" s="136"/>
      <c r="AY148" s="136"/>
      <c r="AZ148" s="136"/>
      <c r="BA148" s="136"/>
      <c r="BB148" s="136"/>
      <c r="BC148" s="136"/>
      <c r="BD148" s="136"/>
      <c r="BE148" s="136"/>
      <c r="BF148" s="136"/>
      <c r="BG148" s="136"/>
      <c r="BH148" s="136"/>
      <c r="BI148" s="136"/>
      <c r="BJ148" s="136"/>
      <c r="BK148" s="136"/>
      <c r="BL148" s="136"/>
      <c r="BM148" s="136"/>
      <c r="BN148" s="136"/>
      <c r="BO148" s="136"/>
      <c r="BP148" s="136"/>
      <c r="BQ148" s="136"/>
      <c r="BR148" s="136"/>
      <c r="BS148" s="136"/>
      <c r="BT148" s="136"/>
      <c r="BU148" s="136"/>
      <c r="BV148" s="136"/>
      <c r="BW148" s="136"/>
      <c r="BX148" s="136"/>
      <c r="BY148" s="136"/>
      <c r="BZ148" s="136"/>
      <c r="CA148" s="136"/>
      <c r="CB148" s="136"/>
      <c r="CC148" s="136"/>
      <c r="CD148" s="136"/>
      <c r="CE148" s="136"/>
      <c r="CF148" s="136"/>
      <c r="CG148" s="136"/>
      <c r="CH148" s="136"/>
      <c r="CI148" s="136"/>
      <c r="CJ148" s="136"/>
      <c r="CK148" s="136"/>
      <c r="CL148" s="136"/>
      <c r="CM148" s="136"/>
      <c r="CN148" s="136"/>
      <c r="CO148" s="136"/>
      <c r="CP148" s="136"/>
      <c r="CQ148" s="136"/>
      <c r="CR148" s="136"/>
      <c r="CS148" s="136"/>
      <c r="CT148" s="136"/>
      <c r="CU148" s="136"/>
      <c r="CV148" s="136"/>
      <c r="CW148" s="136"/>
      <c r="CX148" s="136"/>
      <c r="CY148" s="136"/>
      <c r="CZ148" s="136"/>
      <c r="DA148" s="136"/>
      <c r="DB148" s="136"/>
      <c r="DC148" s="136"/>
      <c r="DD148" s="136"/>
      <c r="DE148" s="136"/>
      <c r="DF148" s="136"/>
      <c r="DG148" s="136"/>
      <c r="DH148" s="136"/>
      <c r="DI148" s="136"/>
      <c r="DJ148" s="136"/>
      <c r="DK148" s="136"/>
      <c r="DL148" s="136"/>
      <c r="DM148" s="136"/>
      <c r="DN148" s="136"/>
      <c r="DO148" s="136"/>
      <c r="DP148" s="136"/>
      <c r="DQ148" s="136"/>
      <c r="DR148" s="136"/>
      <c r="DS148" s="136"/>
      <c r="DT148" s="136"/>
      <c r="DU148" s="136"/>
      <c r="DV148" s="136"/>
      <c r="DW148" s="136"/>
      <c r="DX148" s="136"/>
      <c r="DY148" s="136"/>
      <c r="DZ148" s="136"/>
      <c r="EA148" s="136"/>
      <c r="EB148" s="136"/>
      <c r="EC148" s="136"/>
      <c r="ED148" s="136"/>
      <c r="EE148" s="136"/>
      <c r="EF148" s="136"/>
      <c r="EG148" s="136"/>
      <c r="EH148" s="136"/>
      <c r="EI148" s="136"/>
      <c r="EJ148" s="136"/>
      <c r="EK148" s="136"/>
      <c r="EL148" s="136"/>
      <c r="EM148" s="136"/>
      <c r="EN148" s="136"/>
      <c r="EO148" s="136"/>
      <c r="EP148" s="136"/>
      <c r="EQ148" s="136"/>
      <c r="ER148" s="136"/>
      <c r="ES148" s="136"/>
      <c r="ET148" s="136"/>
      <c r="EU148" s="136"/>
      <c r="EV148" s="136"/>
      <c r="EW148" s="136"/>
      <c r="EX148" s="136"/>
      <c r="EY148" s="136"/>
      <c r="EZ148" s="136"/>
      <c r="FA148" s="136"/>
      <c r="FB148" s="136"/>
      <c r="FC148" s="136"/>
      <c r="FD148" s="136"/>
      <c r="FE148" s="136"/>
      <c r="FF148" s="136"/>
      <c r="FG148" s="136"/>
      <c r="FH148" s="136"/>
      <c r="FI148" s="136"/>
      <c r="FJ148" s="136"/>
      <c r="FK148" s="136"/>
      <c r="FL148" s="136"/>
      <c r="FM148" s="136"/>
      <c r="FN148" s="136"/>
      <c r="FO148" s="136"/>
      <c r="FP148" s="136"/>
      <c r="FQ148" s="136"/>
      <c r="FR148" s="136"/>
      <c r="FS148" s="136"/>
      <c r="FT148" s="136"/>
      <c r="FU148" s="136"/>
      <c r="FV148" s="136"/>
      <c r="FW148" s="136"/>
      <c r="FX148" s="136"/>
      <c r="FY148" s="136"/>
      <c r="FZ148" s="136"/>
      <c r="GA148" s="136"/>
      <c r="GB148" s="136"/>
      <c r="GC148" s="136"/>
      <c r="GD148" s="136"/>
      <c r="GE148" s="136"/>
      <c r="GF148" s="136"/>
      <c r="GG148" s="136"/>
      <c r="GH148" s="136"/>
      <c r="GI148" s="136"/>
      <c r="GJ148" s="136"/>
      <c r="GK148" s="136"/>
      <c r="GL148" s="136"/>
      <c r="GM148" s="136"/>
      <c r="GN148" s="136"/>
      <c r="GO148" s="136"/>
      <c r="GP148" s="136"/>
      <c r="GQ148" s="136"/>
      <c r="GR148" s="136"/>
      <c r="GS148" s="136"/>
      <c r="GT148" s="136"/>
      <c r="GU148" s="136"/>
      <c r="GV148" s="136"/>
      <c r="GW148" s="136"/>
      <c r="GX148" s="136"/>
      <c r="GY148" s="136"/>
      <c r="GZ148" s="136"/>
      <c r="HA148" s="136"/>
      <c r="HB148" s="136"/>
      <c r="HC148" s="136"/>
      <c r="HD148" s="136"/>
      <c r="HE148" s="136"/>
      <c r="HF148" s="136"/>
      <c r="HG148" s="136"/>
      <c r="HH148" s="136"/>
      <c r="HI148" s="136"/>
      <c r="HJ148" s="136"/>
      <c r="HK148" s="136"/>
      <c r="HL148" s="136"/>
      <c r="HM148" s="136"/>
      <c r="HN148" s="136"/>
      <c r="HO148" s="136"/>
      <c r="HP148" s="136"/>
      <c r="HQ148" s="136"/>
      <c r="HR148" s="136"/>
      <c r="HS148" s="136"/>
      <c r="HT148" s="136"/>
      <c r="HU148" s="136"/>
      <c r="HV148" s="136"/>
      <c r="HW148" s="136"/>
      <c r="HX148" s="136"/>
      <c r="HY148" s="136"/>
      <c r="HZ148" s="136"/>
      <c r="IA148" s="136"/>
      <c r="IB148" s="136"/>
      <c r="IC148" s="136"/>
      <c r="ID148" s="136"/>
      <c r="IE148" s="136"/>
      <c r="IF148" s="136"/>
      <c r="IG148" s="136"/>
      <c r="IH148" s="136"/>
      <c r="II148" s="136"/>
      <c r="IJ148" s="136"/>
      <c r="IK148" s="136"/>
      <c r="IL148" s="136"/>
      <c r="IM148" s="136"/>
      <c r="IN148" s="136"/>
      <c r="IO148" s="136"/>
      <c r="IP148" s="136"/>
      <c r="IQ148" s="136"/>
      <c r="IR148" s="136"/>
      <c r="IS148" s="136"/>
      <c r="IT148" s="136"/>
      <c r="IU148" s="136"/>
    </row>
    <row r="149" spans="1:255" ht="84" customHeight="1" x14ac:dyDescent="0.2">
      <c r="A149" s="242" t="str">
        <f>'HECVAT - Full'!A149</f>
        <v>DATA-23</v>
      </c>
      <c r="B149" s="242" t="str">
        <f>VLOOKUP(A149,'HECVAT - Full'!A$24:B$312,2,FALSE)</f>
        <v>Do you have a media handling process, that is documented and currently implemented, including end-of-life, repurposing, and data sanitization procedures?</v>
      </c>
      <c r="C149" s="245" t="s">
        <v>2846</v>
      </c>
      <c r="D149" s="249" t="s">
        <v>2847</v>
      </c>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6"/>
      <c r="AN149" s="136"/>
      <c r="AO149" s="136"/>
      <c r="AP149" s="136"/>
      <c r="AQ149" s="136"/>
      <c r="AR149" s="136"/>
      <c r="AS149" s="136"/>
      <c r="AT149" s="136"/>
      <c r="AU149" s="136"/>
      <c r="AV149" s="136"/>
      <c r="AW149" s="136"/>
      <c r="AX149" s="136"/>
      <c r="AY149" s="136"/>
      <c r="AZ149" s="136"/>
      <c r="BA149" s="136"/>
      <c r="BB149" s="136"/>
      <c r="BC149" s="136"/>
      <c r="BD149" s="136"/>
      <c r="BE149" s="136"/>
      <c r="BF149" s="136"/>
      <c r="BG149" s="136"/>
      <c r="BH149" s="136"/>
      <c r="BI149" s="136"/>
      <c r="BJ149" s="136"/>
      <c r="BK149" s="136"/>
      <c r="BL149" s="136"/>
      <c r="BM149" s="136"/>
      <c r="BN149" s="136"/>
      <c r="BO149" s="136"/>
      <c r="BP149" s="136"/>
      <c r="BQ149" s="136"/>
      <c r="BR149" s="136"/>
      <c r="BS149" s="136"/>
      <c r="BT149" s="136"/>
      <c r="BU149" s="136"/>
      <c r="BV149" s="136"/>
      <c r="BW149" s="136"/>
      <c r="BX149" s="136"/>
      <c r="BY149" s="136"/>
      <c r="BZ149" s="136"/>
      <c r="CA149" s="136"/>
      <c r="CB149" s="136"/>
      <c r="CC149" s="136"/>
      <c r="CD149" s="136"/>
      <c r="CE149" s="136"/>
      <c r="CF149" s="136"/>
      <c r="CG149" s="136"/>
      <c r="CH149" s="136"/>
      <c r="CI149" s="136"/>
      <c r="CJ149" s="136"/>
      <c r="CK149" s="136"/>
      <c r="CL149" s="136"/>
      <c r="CM149" s="136"/>
      <c r="CN149" s="136"/>
      <c r="CO149" s="136"/>
      <c r="CP149" s="136"/>
      <c r="CQ149" s="136"/>
      <c r="CR149" s="136"/>
      <c r="CS149" s="136"/>
      <c r="CT149" s="136"/>
      <c r="CU149" s="136"/>
      <c r="CV149" s="136"/>
      <c r="CW149" s="136"/>
      <c r="CX149" s="136"/>
      <c r="CY149" s="136"/>
      <c r="CZ149" s="136"/>
      <c r="DA149" s="136"/>
      <c r="DB149" s="136"/>
      <c r="DC149" s="136"/>
      <c r="DD149" s="136"/>
      <c r="DE149" s="136"/>
      <c r="DF149" s="136"/>
      <c r="DG149" s="136"/>
      <c r="DH149" s="136"/>
      <c r="DI149" s="136"/>
      <c r="DJ149" s="136"/>
      <c r="DK149" s="136"/>
      <c r="DL149" s="136"/>
      <c r="DM149" s="136"/>
      <c r="DN149" s="136"/>
      <c r="DO149" s="136"/>
      <c r="DP149" s="136"/>
      <c r="DQ149" s="136"/>
      <c r="DR149" s="136"/>
      <c r="DS149" s="136"/>
      <c r="DT149" s="136"/>
      <c r="DU149" s="136"/>
      <c r="DV149" s="136"/>
      <c r="DW149" s="136"/>
      <c r="DX149" s="136"/>
      <c r="DY149" s="136"/>
      <c r="DZ149" s="136"/>
      <c r="EA149" s="136"/>
      <c r="EB149" s="136"/>
      <c r="EC149" s="136"/>
      <c r="ED149" s="136"/>
      <c r="EE149" s="136"/>
      <c r="EF149" s="136"/>
      <c r="EG149" s="136"/>
      <c r="EH149" s="136"/>
      <c r="EI149" s="136"/>
      <c r="EJ149" s="136"/>
      <c r="EK149" s="136"/>
      <c r="EL149" s="136"/>
      <c r="EM149" s="136"/>
      <c r="EN149" s="136"/>
      <c r="EO149" s="136"/>
      <c r="EP149" s="136"/>
      <c r="EQ149" s="136"/>
      <c r="ER149" s="136"/>
      <c r="ES149" s="136"/>
      <c r="ET149" s="136"/>
      <c r="EU149" s="136"/>
      <c r="EV149" s="136"/>
      <c r="EW149" s="136"/>
      <c r="EX149" s="136"/>
      <c r="EY149" s="136"/>
      <c r="EZ149" s="136"/>
      <c r="FA149" s="136"/>
      <c r="FB149" s="136"/>
      <c r="FC149" s="136"/>
      <c r="FD149" s="136"/>
      <c r="FE149" s="136"/>
      <c r="FF149" s="136"/>
      <c r="FG149" s="136"/>
      <c r="FH149" s="136"/>
      <c r="FI149" s="136"/>
      <c r="FJ149" s="136"/>
      <c r="FK149" s="136"/>
      <c r="FL149" s="136"/>
      <c r="FM149" s="136"/>
      <c r="FN149" s="136"/>
      <c r="FO149" s="136"/>
      <c r="FP149" s="136"/>
      <c r="FQ149" s="136"/>
      <c r="FR149" s="136"/>
      <c r="FS149" s="136"/>
      <c r="FT149" s="136"/>
      <c r="FU149" s="136"/>
      <c r="FV149" s="136"/>
      <c r="FW149" s="136"/>
      <c r="FX149" s="136"/>
      <c r="FY149" s="136"/>
      <c r="FZ149" s="136"/>
      <c r="GA149" s="136"/>
      <c r="GB149" s="136"/>
      <c r="GC149" s="136"/>
      <c r="GD149" s="136"/>
      <c r="GE149" s="136"/>
      <c r="GF149" s="136"/>
      <c r="GG149" s="136"/>
      <c r="GH149" s="136"/>
      <c r="GI149" s="136"/>
      <c r="GJ149" s="136"/>
      <c r="GK149" s="136"/>
      <c r="GL149" s="136"/>
      <c r="GM149" s="136"/>
      <c r="GN149" s="136"/>
      <c r="GO149" s="136"/>
      <c r="GP149" s="136"/>
      <c r="GQ149" s="136"/>
      <c r="GR149" s="136"/>
      <c r="GS149" s="136"/>
      <c r="GT149" s="136"/>
      <c r="GU149" s="136"/>
      <c r="GV149" s="136"/>
      <c r="GW149" s="136"/>
      <c r="GX149" s="136"/>
      <c r="GY149" s="136"/>
      <c r="GZ149" s="136"/>
      <c r="HA149" s="136"/>
      <c r="HB149" s="136"/>
      <c r="HC149" s="136"/>
      <c r="HD149" s="136"/>
      <c r="HE149" s="136"/>
      <c r="HF149" s="136"/>
      <c r="HG149" s="136"/>
      <c r="HH149" s="136"/>
      <c r="HI149" s="136"/>
      <c r="HJ149" s="136"/>
      <c r="HK149" s="136"/>
      <c r="HL149" s="136"/>
      <c r="HM149" s="136"/>
      <c r="HN149" s="136"/>
      <c r="HO149" s="136"/>
      <c r="HP149" s="136"/>
      <c r="HQ149" s="136"/>
      <c r="HR149" s="136"/>
      <c r="HS149" s="136"/>
      <c r="HT149" s="136"/>
      <c r="HU149" s="136"/>
      <c r="HV149" s="136"/>
      <c r="HW149" s="136"/>
      <c r="HX149" s="136"/>
      <c r="HY149" s="136"/>
      <c r="HZ149" s="136"/>
      <c r="IA149" s="136"/>
      <c r="IB149" s="136"/>
      <c r="IC149" s="136"/>
      <c r="ID149" s="136"/>
      <c r="IE149" s="136"/>
      <c r="IF149" s="136"/>
      <c r="IG149" s="136"/>
      <c r="IH149" s="136"/>
      <c r="II149" s="136"/>
      <c r="IJ149" s="136"/>
      <c r="IK149" s="136"/>
      <c r="IL149" s="136"/>
      <c r="IM149" s="136"/>
      <c r="IN149" s="136"/>
      <c r="IO149" s="136"/>
      <c r="IP149" s="136"/>
      <c r="IQ149" s="136"/>
      <c r="IR149" s="136"/>
      <c r="IS149" s="136"/>
      <c r="IT149" s="136"/>
      <c r="IU149" s="136"/>
    </row>
    <row r="150" spans="1:255" ht="85.5" x14ac:dyDescent="0.2">
      <c r="A150" s="242" t="str">
        <f>'HECVAT - Full'!A150</f>
        <v>DATA-24</v>
      </c>
      <c r="B150" s="242" t="str">
        <f>VLOOKUP(A150,'HECVAT - Full'!A$24:B$312,2,FALSE)</f>
        <v>Does the process described in DATA-23 adhere to DoD 5220.22-M and/or NIST SP 800-88 standards?</v>
      </c>
      <c r="C150" s="245" t="s">
        <v>2846</v>
      </c>
      <c r="D150" s="256" t="s">
        <v>2848</v>
      </c>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6"/>
      <c r="AN150" s="136"/>
      <c r="AO150" s="136"/>
      <c r="AP150" s="136"/>
      <c r="AQ150" s="136"/>
      <c r="AR150" s="136"/>
      <c r="AS150" s="136"/>
      <c r="AT150" s="136"/>
      <c r="AU150" s="136"/>
      <c r="AV150" s="136"/>
      <c r="AW150" s="136"/>
      <c r="AX150" s="136"/>
      <c r="AY150" s="136"/>
      <c r="AZ150" s="136"/>
      <c r="BA150" s="136"/>
      <c r="BB150" s="136"/>
      <c r="BC150" s="136"/>
      <c r="BD150" s="136"/>
      <c r="BE150" s="136"/>
      <c r="BF150" s="136"/>
      <c r="BG150" s="136"/>
      <c r="BH150" s="136"/>
      <c r="BI150" s="136"/>
      <c r="BJ150" s="136"/>
      <c r="BK150" s="136"/>
      <c r="BL150" s="136"/>
      <c r="BM150" s="136"/>
      <c r="BN150" s="136"/>
      <c r="BO150" s="136"/>
      <c r="BP150" s="136"/>
      <c r="BQ150" s="136"/>
      <c r="BR150" s="136"/>
      <c r="BS150" s="136"/>
      <c r="BT150" s="136"/>
      <c r="BU150" s="136"/>
      <c r="BV150" s="136"/>
      <c r="BW150" s="136"/>
      <c r="BX150" s="136"/>
      <c r="BY150" s="136"/>
      <c r="BZ150" s="136"/>
      <c r="CA150" s="136"/>
      <c r="CB150" s="136"/>
      <c r="CC150" s="136"/>
      <c r="CD150" s="136"/>
      <c r="CE150" s="136"/>
      <c r="CF150" s="136"/>
      <c r="CG150" s="136"/>
      <c r="CH150" s="136"/>
      <c r="CI150" s="136"/>
      <c r="CJ150" s="136"/>
      <c r="CK150" s="136"/>
      <c r="CL150" s="136"/>
      <c r="CM150" s="136"/>
      <c r="CN150" s="136"/>
      <c r="CO150" s="136"/>
      <c r="CP150" s="136"/>
      <c r="CQ150" s="136"/>
      <c r="CR150" s="136"/>
      <c r="CS150" s="136"/>
      <c r="CT150" s="136"/>
      <c r="CU150" s="136"/>
      <c r="CV150" s="136"/>
      <c r="CW150" s="136"/>
      <c r="CX150" s="136"/>
      <c r="CY150" s="136"/>
      <c r="CZ150" s="136"/>
      <c r="DA150" s="136"/>
      <c r="DB150" s="136"/>
      <c r="DC150" s="136"/>
      <c r="DD150" s="136"/>
      <c r="DE150" s="136"/>
      <c r="DF150" s="136"/>
      <c r="DG150" s="136"/>
      <c r="DH150" s="136"/>
      <c r="DI150" s="136"/>
      <c r="DJ150" s="136"/>
      <c r="DK150" s="136"/>
      <c r="DL150" s="136"/>
      <c r="DM150" s="136"/>
      <c r="DN150" s="136"/>
      <c r="DO150" s="136"/>
      <c r="DP150" s="136"/>
      <c r="DQ150" s="136"/>
      <c r="DR150" s="136"/>
      <c r="DS150" s="136"/>
      <c r="DT150" s="136"/>
      <c r="DU150" s="136"/>
      <c r="DV150" s="136"/>
      <c r="DW150" s="136"/>
      <c r="DX150" s="136"/>
      <c r="DY150" s="136"/>
      <c r="DZ150" s="136"/>
      <c r="EA150" s="136"/>
      <c r="EB150" s="136"/>
      <c r="EC150" s="136"/>
      <c r="ED150" s="136"/>
      <c r="EE150" s="136"/>
      <c r="EF150" s="136"/>
      <c r="EG150" s="136"/>
      <c r="EH150" s="136"/>
      <c r="EI150" s="136"/>
      <c r="EJ150" s="136"/>
      <c r="EK150" s="136"/>
      <c r="EL150" s="136"/>
      <c r="EM150" s="136"/>
      <c r="EN150" s="136"/>
      <c r="EO150" s="136"/>
      <c r="EP150" s="136"/>
      <c r="EQ150" s="136"/>
      <c r="ER150" s="136"/>
      <c r="ES150" s="136"/>
      <c r="ET150" s="136"/>
      <c r="EU150" s="136"/>
      <c r="EV150" s="136"/>
      <c r="EW150" s="136"/>
      <c r="EX150" s="136"/>
      <c r="EY150" s="136"/>
      <c r="EZ150" s="136"/>
      <c r="FA150" s="136"/>
      <c r="FB150" s="136"/>
      <c r="FC150" s="136"/>
      <c r="FD150" s="136"/>
      <c r="FE150" s="136"/>
      <c r="FF150" s="136"/>
      <c r="FG150" s="136"/>
      <c r="FH150" s="136"/>
      <c r="FI150" s="136"/>
      <c r="FJ150" s="136"/>
      <c r="FK150" s="136"/>
      <c r="FL150" s="136"/>
      <c r="FM150" s="136"/>
      <c r="FN150" s="136"/>
      <c r="FO150" s="136"/>
      <c r="FP150" s="136"/>
      <c r="FQ150" s="136"/>
      <c r="FR150" s="136"/>
      <c r="FS150" s="136"/>
      <c r="FT150" s="136"/>
      <c r="FU150" s="136"/>
      <c r="FV150" s="136"/>
      <c r="FW150" s="136"/>
      <c r="FX150" s="136"/>
      <c r="FY150" s="136"/>
      <c r="FZ150" s="136"/>
      <c r="GA150" s="136"/>
      <c r="GB150" s="136"/>
      <c r="GC150" s="136"/>
      <c r="GD150" s="136"/>
      <c r="GE150" s="136"/>
      <c r="GF150" s="136"/>
      <c r="GG150" s="136"/>
      <c r="GH150" s="136"/>
      <c r="GI150" s="136"/>
      <c r="GJ150" s="136"/>
      <c r="GK150" s="136"/>
      <c r="GL150" s="136"/>
      <c r="GM150" s="136"/>
      <c r="GN150" s="136"/>
      <c r="GO150" s="136"/>
      <c r="GP150" s="136"/>
      <c r="GQ150" s="136"/>
      <c r="GR150" s="136"/>
      <c r="GS150" s="136"/>
      <c r="GT150" s="136"/>
      <c r="GU150" s="136"/>
      <c r="GV150" s="136"/>
      <c r="GW150" s="136"/>
      <c r="GX150" s="136"/>
      <c r="GY150" s="136"/>
      <c r="GZ150" s="136"/>
      <c r="HA150" s="136"/>
      <c r="HB150" s="136"/>
      <c r="HC150" s="136"/>
      <c r="HD150" s="136"/>
      <c r="HE150" s="136"/>
      <c r="HF150" s="136"/>
      <c r="HG150" s="136"/>
      <c r="HH150" s="136"/>
      <c r="HI150" s="136"/>
      <c r="HJ150" s="136"/>
      <c r="HK150" s="136"/>
      <c r="HL150" s="136"/>
      <c r="HM150" s="136"/>
      <c r="HN150" s="136"/>
      <c r="HO150" s="136"/>
      <c r="HP150" s="136"/>
      <c r="HQ150" s="136"/>
      <c r="HR150" s="136"/>
      <c r="HS150" s="136"/>
      <c r="HT150" s="136"/>
      <c r="HU150" s="136"/>
      <c r="HV150" s="136"/>
      <c r="HW150" s="136"/>
      <c r="HX150" s="136"/>
      <c r="HY150" s="136"/>
      <c r="HZ150" s="136"/>
      <c r="IA150" s="136"/>
      <c r="IB150" s="136"/>
      <c r="IC150" s="136"/>
      <c r="ID150" s="136"/>
      <c r="IE150" s="136"/>
      <c r="IF150" s="136"/>
      <c r="IG150" s="136"/>
      <c r="IH150" s="136"/>
      <c r="II150" s="136"/>
      <c r="IJ150" s="136"/>
      <c r="IK150" s="136"/>
      <c r="IL150" s="136"/>
      <c r="IM150" s="136"/>
      <c r="IN150" s="136"/>
      <c r="IO150" s="136"/>
      <c r="IP150" s="136"/>
      <c r="IQ150" s="136"/>
      <c r="IR150" s="136"/>
      <c r="IS150" s="136"/>
      <c r="IT150" s="136"/>
      <c r="IU150" s="136"/>
    </row>
    <row r="151" spans="1:255" ht="64.5" customHeight="1" x14ac:dyDescent="0.2">
      <c r="A151" s="242" t="str">
        <f>'HECVAT - Full'!A151</f>
        <v>DATA-25</v>
      </c>
      <c r="B151" s="242" t="str">
        <f>VLOOKUP(A151,'HECVAT - Full'!A$24:B$312,2,FALSE)</f>
        <v>Do procedures exist to ensure that retention and destruction of data meets established business and regulatory requirements?</v>
      </c>
      <c r="C151" s="255" t="s">
        <v>2834</v>
      </c>
      <c r="D151" s="256" t="s">
        <v>2849</v>
      </c>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6"/>
      <c r="AN151" s="136"/>
      <c r="AO151" s="136"/>
      <c r="AP151" s="136"/>
      <c r="AQ151" s="136"/>
      <c r="AR151" s="136"/>
      <c r="AS151" s="136"/>
      <c r="AT151" s="136"/>
      <c r="AU151" s="136"/>
      <c r="AV151" s="136"/>
      <c r="AW151" s="136"/>
      <c r="AX151" s="136"/>
      <c r="AY151" s="136"/>
      <c r="AZ151" s="136"/>
      <c r="BA151" s="136"/>
      <c r="BB151" s="136"/>
      <c r="BC151" s="136"/>
      <c r="BD151" s="136"/>
      <c r="BE151" s="136"/>
      <c r="BF151" s="136"/>
      <c r="BG151" s="136"/>
      <c r="BH151" s="136"/>
      <c r="BI151" s="136"/>
      <c r="BJ151" s="136"/>
      <c r="BK151" s="136"/>
      <c r="BL151" s="136"/>
      <c r="BM151" s="136"/>
      <c r="BN151" s="136"/>
      <c r="BO151" s="136"/>
      <c r="BP151" s="136"/>
      <c r="BQ151" s="136"/>
      <c r="BR151" s="136"/>
      <c r="BS151" s="136"/>
      <c r="BT151" s="136"/>
      <c r="BU151" s="136"/>
      <c r="BV151" s="136"/>
      <c r="BW151" s="136"/>
      <c r="BX151" s="136"/>
      <c r="BY151" s="136"/>
      <c r="BZ151" s="136"/>
      <c r="CA151" s="136"/>
      <c r="CB151" s="136"/>
      <c r="CC151" s="136"/>
      <c r="CD151" s="136"/>
      <c r="CE151" s="136"/>
      <c r="CF151" s="136"/>
      <c r="CG151" s="136"/>
      <c r="CH151" s="136"/>
      <c r="CI151" s="136"/>
      <c r="CJ151" s="136"/>
      <c r="CK151" s="136"/>
      <c r="CL151" s="136"/>
      <c r="CM151" s="136"/>
      <c r="CN151" s="136"/>
      <c r="CO151" s="136"/>
      <c r="CP151" s="136"/>
      <c r="CQ151" s="136"/>
      <c r="CR151" s="136"/>
      <c r="CS151" s="136"/>
      <c r="CT151" s="136"/>
      <c r="CU151" s="136"/>
      <c r="CV151" s="136"/>
      <c r="CW151" s="136"/>
      <c r="CX151" s="136"/>
      <c r="CY151" s="136"/>
      <c r="CZ151" s="136"/>
      <c r="DA151" s="136"/>
      <c r="DB151" s="136"/>
      <c r="DC151" s="136"/>
      <c r="DD151" s="136"/>
      <c r="DE151" s="136"/>
      <c r="DF151" s="136"/>
      <c r="DG151" s="136"/>
      <c r="DH151" s="136"/>
      <c r="DI151" s="136"/>
      <c r="DJ151" s="136"/>
      <c r="DK151" s="136"/>
      <c r="DL151" s="136"/>
      <c r="DM151" s="136"/>
      <c r="DN151" s="136"/>
      <c r="DO151" s="136"/>
      <c r="DP151" s="136"/>
      <c r="DQ151" s="136"/>
      <c r="DR151" s="136"/>
      <c r="DS151" s="136"/>
      <c r="DT151" s="136"/>
      <c r="DU151" s="136"/>
      <c r="DV151" s="136"/>
      <c r="DW151" s="136"/>
      <c r="DX151" s="136"/>
      <c r="DY151" s="136"/>
      <c r="DZ151" s="136"/>
      <c r="EA151" s="136"/>
      <c r="EB151" s="136"/>
      <c r="EC151" s="136"/>
      <c r="ED151" s="136"/>
      <c r="EE151" s="136"/>
      <c r="EF151" s="136"/>
      <c r="EG151" s="136"/>
      <c r="EH151" s="136"/>
      <c r="EI151" s="136"/>
      <c r="EJ151" s="136"/>
      <c r="EK151" s="136"/>
      <c r="EL151" s="136"/>
      <c r="EM151" s="136"/>
      <c r="EN151" s="136"/>
      <c r="EO151" s="136"/>
      <c r="EP151" s="136"/>
      <c r="EQ151" s="136"/>
      <c r="ER151" s="136"/>
      <c r="ES151" s="136"/>
      <c r="ET151" s="136"/>
      <c r="EU151" s="136"/>
      <c r="EV151" s="136"/>
      <c r="EW151" s="136"/>
      <c r="EX151" s="136"/>
      <c r="EY151" s="136"/>
      <c r="EZ151" s="136"/>
      <c r="FA151" s="136"/>
      <c r="FB151" s="136"/>
      <c r="FC151" s="136"/>
      <c r="FD151" s="136"/>
      <c r="FE151" s="136"/>
      <c r="FF151" s="136"/>
      <c r="FG151" s="136"/>
      <c r="FH151" s="136"/>
      <c r="FI151" s="136"/>
      <c r="FJ151" s="136"/>
      <c r="FK151" s="136"/>
      <c r="FL151" s="136"/>
      <c r="FM151" s="136"/>
      <c r="FN151" s="136"/>
      <c r="FO151" s="136"/>
      <c r="FP151" s="136"/>
      <c r="FQ151" s="136"/>
      <c r="FR151" s="136"/>
      <c r="FS151" s="136"/>
      <c r="FT151" s="136"/>
      <c r="FU151" s="136"/>
      <c r="FV151" s="136"/>
      <c r="FW151" s="136"/>
      <c r="FX151" s="136"/>
      <c r="FY151" s="136"/>
      <c r="FZ151" s="136"/>
      <c r="GA151" s="136"/>
      <c r="GB151" s="136"/>
      <c r="GC151" s="136"/>
      <c r="GD151" s="136"/>
      <c r="GE151" s="136"/>
      <c r="GF151" s="136"/>
      <c r="GG151" s="136"/>
      <c r="GH151" s="136"/>
      <c r="GI151" s="136"/>
      <c r="GJ151" s="136"/>
      <c r="GK151" s="136"/>
      <c r="GL151" s="136"/>
      <c r="GM151" s="136"/>
      <c r="GN151" s="136"/>
      <c r="GO151" s="136"/>
      <c r="GP151" s="136"/>
      <c r="GQ151" s="136"/>
      <c r="GR151" s="136"/>
      <c r="GS151" s="136"/>
      <c r="GT151" s="136"/>
      <c r="GU151" s="136"/>
      <c r="GV151" s="136"/>
      <c r="GW151" s="136"/>
      <c r="GX151" s="136"/>
      <c r="GY151" s="136"/>
      <c r="GZ151" s="136"/>
      <c r="HA151" s="136"/>
      <c r="HB151" s="136"/>
      <c r="HC151" s="136"/>
      <c r="HD151" s="136"/>
      <c r="HE151" s="136"/>
      <c r="HF151" s="136"/>
      <c r="HG151" s="136"/>
      <c r="HH151" s="136"/>
      <c r="HI151" s="136"/>
      <c r="HJ151" s="136"/>
      <c r="HK151" s="136"/>
      <c r="HL151" s="136"/>
      <c r="HM151" s="136"/>
      <c r="HN151" s="136"/>
      <c r="HO151" s="136"/>
      <c r="HP151" s="136"/>
      <c r="HQ151" s="136"/>
      <c r="HR151" s="136"/>
      <c r="HS151" s="136"/>
      <c r="HT151" s="136"/>
      <c r="HU151" s="136"/>
      <c r="HV151" s="136"/>
      <c r="HW151" s="136"/>
      <c r="HX151" s="136"/>
      <c r="HY151" s="136"/>
      <c r="HZ151" s="136"/>
      <c r="IA151" s="136"/>
      <c r="IB151" s="136"/>
      <c r="IC151" s="136"/>
      <c r="ID151" s="136"/>
      <c r="IE151" s="136"/>
      <c r="IF151" s="136"/>
      <c r="IG151" s="136"/>
      <c r="IH151" s="136"/>
      <c r="II151" s="136"/>
      <c r="IJ151" s="136"/>
      <c r="IK151" s="136"/>
      <c r="IL151" s="136"/>
      <c r="IM151" s="136"/>
      <c r="IN151" s="136"/>
      <c r="IO151" s="136"/>
      <c r="IP151" s="136"/>
      <c r="IQ151" s="136"/>
      <c r="IR151" s="136"/>
      <c r="IS151" s="136"/>
      <c r="IT151" s="136"/>
      <c r="IU151" s="136"/>
    </row>
    <row r="152" spans="1:255" ht="85.5" x14ac:dyDescent="0.2">
      <c r="A152" s="242" t="str">
        <f>'HECVAT - Full'!A152</f>
        <v>DATA-26</v>
      </c>
      <c r="B152" s="242" t="str">
        <f>VLOOKUP(A152,'HECVAT - Full'!A$24:B$312,2,FALSE)</f>
        <v>Is media used for long-term retention of business data and archival purposes stored in a secure, environmentally protected area?</v>
      </c>
      <c r="C152" s="245" t="s">
        <v>2846</v>
      </c>
      <c r="D152" s="249" t="s">
        <v>2847</v>
      </c>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6"/>
      <c r="AN152" s="136"/>
      <c r="AO152" s="136"/>
      <c r="AP152" s="136"/>
      <c r="AQ152" s="136"/>
      <c r="AR152" s="136"/>
      <c r="AS152" s="136"/>
      <c r="AT152" s="136"/>
      <c r="AU152" s="136"/>
      <c r="AV152" s="136"/>
      <c r="AW152" s="136"/>
      <c r="AX152" s="136"/>
      <c r="AY152" s="136"/>
      <c r="AZ152" s="136"/>
      <c r="BA152" s="136"/>
      <c r="BB152" s="136"/>
      <c r="BC152" s="136"/>
      <c r="BD152" s="136"/>
      <c r="BE152" s="136"/>
      <c r="BF152" s="136"/>
      <c r="BG152" s="136"/>
      <c r="BH152" s="136"/>
      <c r="BI152" s="136"/>
      <c r="BJ152" s="136"/>
      <c r="BK152" s="136"/>
      <c r="BL152" s="136"/>
      <c r="BM152" s="136"/>
      <c r="BN152" s="136"/>
      <c r="BO152" s="136"/>
      <c r="BP152" s="136"/>
      <c r="BQ152" s="136"/>
      <c r="BR152" s="136"/>
      <c r="BS152" s="136"/>
      <c r="BT152" s="136"/>
      <c r="BU152" s="136"/>
      <c r="BV152" s="136"/>
      <c r="BW152" s="136"/>
      <c r="BX152" s="136"/>
      <c r="BY152" s="136"/>
      <c r="BZ152" s="136"/>
      <c r="CA152" s="136"/>
      <c r="CB152" s="136"/>
      <c r="CC152" s="136"/>
      <c r="CD152" s="136"/>
      <c r="CE152" s="136"/>
      <c r="CF152" s="136"/>
      <c r="CG152" s="136"/>
      <c r="CH152" s="136"/>
      <c r="CI152" s="136"/>
      <c r="CJ152" s="136"/>
      <c r="CK152" s="136"/>
      <c r="CL152" s="136"/>
      <c r="CM152" s="136"/>
      <c r="CN152" s="136"/>
      <c r="CO152" s="136"/>
      <c r="CP152" s="136"/>
      <c r="CQ152" s="136"/>
      <c r="CR152" s="136"/>
      <c r="CS152" s="136"/>
      <c r="CT152" s="136"/>
      <c r="CU152" s="136"/>
      <c r="CV152" s="136"/>
      <c r="CW152" s="136"/>
      <c r="CX152" s="136"/>
      <c r="CY152" s="136"/>
      <c r="CZ152" s="136"/>
      <c r="DA152" s="136"/>
      <c r="DB152" s="136"/>
      <c r="DC152" s="136"/>
      <c r="DD152" s="136"/>
      <c r="DE152" s="136"/>
      <c r="DF152" s="136"/>
      <c r="DG152" s="136"/>
      <c r="DH152" s="136"/>
      <c r="DI152" s="136"/>
      <c r="DJ152" s="136"/>
      <c r="DK152" s="136"/>
      <c r="DL152" s="136"/>
      <c r="DM152" s="136"/>
      <c r="DN152" s="136"/>
      <c r="DO152" s="136"/>
      <c r="DP152" s="136"/>
      <c r="DQ152" s="136"/>
      <c r="DR152" s="136"/>
      <c r="DS152" s="136"/>
      <c r="DT152" s="136"/>
      <c r="DU152" s="136"/>
      <c r="DV152" s="136"/>
      <c r="DW152" s="136"/>
      <c r="DX152" s="136"/>
      <c r="DY152" s="136"/>
      <c r="DZ152" s="136"/>
      <c r="EA152" s="136"/>
      <c r="EB152" s="136"/>
      <c r="EC152" s="136"/>
      <c r="ED152" s="136"/>
      <c r="EE152" s="136"/>
      <c r="EF152" s="136"/>
      <c r="EG152" s="136"/>
      <c r="EH152" s="136"/>
      <c r="EI152" s="136"/>
      <c r="EJ152" s="136"/>
      <c r="EK152" s="136"/>
      <c r="EL152" s="136"/>
      <c r="EM152" s="136"/>
      <c r="EN152" s="136"/>
      <c r="EO152" s="136"/>
      <c r="EP152" s="136"/>
      <c r="EQ152" s="136"/>
      <c r="ER152" s="136"/>
      <c r="ES152" s="136"/>
      <c r="ET152" s="136"/>
      <c r="EU152" s="136"/>
      <c r="EV152" s="136"/>
      <c r="EW152" s="136"/>
      <c r="EX152" s="136"/>
      <c r="EY152" s="136"/>
      <c r="EZ152" s="136"/>
      <c r="FA152" s="136"/>
      <c r="FB152" s="136"/>
      <c r="FC152" s="136"/>
      <c r="FD152" s="136"/>
      <c r="FE152" s="136"/>
      <c r="FF152" s="136"/>
      <c r="FG152" s="136"/>
      <c r="FH152" s="136"/>
      <c r="FI152" s="136"/>
      <c r="FJ152" s="136"/>
      <c r="FK152" s="136"/>
      <c r="FL152" s="136"/>
      <c r="FM152" s="136"/>
      <c r="FN152" s="136"/>
      <c r="FO152" s="136"/>
      <c r="FP152" s="136"/>
      <c r="FQ152" s="136"/>
      <c r="FR152" s="136"/>
      <c r="FS152" s="136"/>
      <c r="FT152" s="136"/>
      <c r="FU152" s="136"/>
      <c r="FV152" s="136"/>
      <c r="FW152" s="136"/>
      <c r="FX152" s="136"/>
      <c r="FY152" s="136"/>
      <c r="FZ152" s="136"/>
      <c r="GA152" s="136"/>
      <c r="GB152" s="136"/>
      <c r="GC152" s="136"/>
      <c r="GD152" s="136"/>
      <c r="GE152" s="136"/>
      <c r="GF152" s="136"/>
      <c r="GG152" s="136"/>
      <c r="GH152" s="136"/>
      <c r="GI152" s="136"/>
      <c r="GJ152" s="136"/>
      <c r="GK152" s="136"/>
      <c r="GL152" s="136"/>
      <c r="GM152" s="136"/>
      <c r="GN152" s="136"/>
      <c r="GO152" s="136"/>
      <c r="GP152" s="136"/>
      <c r="GQ152" s="136"/>
      <c r="GR152" s="136"/>
      <c r="GS152" s="136"/>
      <c r="GT152" s="136"/>
      <c r="GU152" s="136"/>
      <c r="GV152" s="136"/>
      <c r="GW152" s="136"/>
      <c r="GX152" s="136"/>
      <c r="GY152" s="136"/>
      <c r="GZ152" s="136"/>
      <c r="HA152" s="136"/>
      <c r="HB152" s="136"/>
      <c r="HC152" s="136"/>
      <c r="HD152" s="136"/>
      <c r="HE152" s="136"/>
      <c r="HF152" s="136"/>
      <c r="HG152" s="136"/>
      <c r="HH152" s="136"/>
      <c r="HI152" s="136"/>
      <c r="HJ152" s="136"/>
      <c r="HK152" s="136"/>
      <c r="HL152" s="136"/>
      <c r="HM152" s="136"/>
      <c r="HN152" s="136"/>
      <c r="HO152" s="136"/>
      <c r="HP152" s="136"/>
      <c r="HQ152" s="136"/>
      <c r="HR152" s="136"/>
      <c r="HS152" s="136"/>
      <c r="HT152" s="136"/>
      <c r="HU152" s="136"/>
      <c r="HV152" s="136"/>
      <c r="HW152" s="136"/>
      <c r="HX152" s="136"/>
      <c r="HY152" s="136"/>
      <c r="HZ152" s="136"/>
      <c r="IA152" s="136"/>
      <c r="IB152" s="136"/>
      <c r="IC152" s="136"/>
      <c r="ID152" s="136"/>
      <c r="IE152" s="136"/>
      <c r="IF152" s="136"/>
      <c r="IG152" s="136"/>
      <c r="IH152" s="136"/>
      <c r="II152" s="136"/>
      <c r="IJ152" s="136"/>
      <c r="IK152" s="136"/>
      <c r="IL152" s="136"/>
      <c r="IM152" s="136"/>
      <c r="IN152" s="136"/>
      <c r="IO152" s="136"/>
      <c r="IP152" s="136"/>
      <c r="IQ152" s="136"/>
      <c r="IR152" s="136"/>
      <c r="IS152" s="136"/>
      <c r="IT152" s="136"/>
      <c r="IU152" s="136"/>
    </row>
    <row r="153" spans="1:255" ht="48" customHeight="1" x14ac:dyDescent="0.2">
      <c r="A153" s="242" t="str">
        <f>'HECVAT - Full'!A153</f>
        <v>DATA-27</v>
      </c>
      <c r="B153" s="242" t="str">
        <f>VLOOKUP(A153,'HECVAT - Full'!A$24:B$312,2,FALSE)</f>
        <v>Will you handle data in a FERPA compliant manner?</v>
      </c>
      <c r="C153" s="245" t="s">
        <v>2850</v>
      </c>
      <c r="D153" s="256" t="s">
        <v>2851</v>
      </c>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6"/>
      <c r="AN153" s="136"/>
      <c r="AO153" s="136"/>
      <c r="AP153" s="136"/>
      <c r="AQ153" s="136"/>
      <c r="AR153" s="136"/>
      <c r="AS153" s="136"/>
      <c r="AT153" s="136"/>
      <c r="AU153" s="136"/>
      <c r="AV153" s="136"/>
      <c r="AW153" s="136"/>
      <c r="AX153" s="136"/>
      <c r="AY153" s="136"/>
      <c r="AZ153" s="136"/>
      <c r="BA153" s="136"/>
      <c r="BB153" s="136"/>
      <c r="BC153" s="136"/>
      <c r="BD153" s="136"/>
      <c r="BE153" s="136"/>
      <c r="BF153" s="136"/>
      <c r="BG153" s="136"/>
      <c r="BH153" s="136"/>
      <c r="BI153" s="136"/>
      <c r="BJ153" s="136"/>
      <c r="BK153" s="136"/>
      <c r="BL153" s="136"/>
      <c r="BM153" s="136"/>
      <c r="BN153" s="136"/>
      <c r="BO153" s="136"/>
      <c r="BP153" s="136"/>
      <c r="BQ153" s="136"/>
      <c r="BR153" s="136"/>
      <c r="BS153" s="136"/>
      <c r="BT153" s="136"/>
      <c r="BU153" s="136"/>
      <c r="BV153" s="136"/>
      <c r="BW153" s="136"/>
      <c r="BX153" s="136"/>
      <c r="BY153" s="136"/>
      <c r="BZ153" s="136"/>
      <c r="CA153" s="136"/>
      <c r="CB153" s="136"/>
      <c r="CC153" s="136"/>
      <c r="CD153" s="136"/>
      <c r="CE153" s="136"/>
      <c r="CF153" s="136"/>
      <c r="CG153" s="136"/>
      <c r="CH153" s="136"/>
      <c r="CI153" s="136"/>
      <c r="CJ153" s="136"/>
      <c r="CK153" s="136"/>
      <c r="CL153" s="136"/>
      <c r="CM153" s="136"/>
      <c r="CN153" s="136"/>
      <c r="CO153" s="136"/>
      <c r="CP153" s="136"/>
      <c r="CQ153" s="136"/>
      <c r="CR153" s="136"/>
      <c r="CS153" s="136"/>
      <c r="CT153" s="136"/>
      <c r="CU153" s="136"/>
      <c r="CV153" s="136"/>
      <c r="CW153" s="136"/>
      <c r="CX153" s="136"/>
      <c r="CY153" s="136"/>
      <c r="CZ153" s="136"/>
      <c r="DA153" s="136"/>
      <c r="DB153" s="136"/>
      <c r="DC153" s="136"/>
      <c r="DD153" s="136"/>
      <c r="DE153" s="136"/>
      <c r="DF153" s="136"/>
      <c r="DG153" s="136"/>
      <c r="DH153" s="136"/>
      <c r="DI153" s="136"/>
      <c r="DJ153" s="136"/>
      <c r="DK153" s="136"/>
      <c r="DL153" s="136"/>
      <c r="DM153" s="136"/>
      <c r="DN153" s="136"/>
      <c r="DO153" s="136"/>
      <c r="DP153" s="136"/>
      <c r="DQ153" s="136"/>
      <c r="DR153" s="136"/>
      <c r="DS153" s="136"/>
      <c r="DT153" s="136"/>
      <c r="DU153" s="136"/>
      <c r="DV153" s="136"/>
      <c r="DW153" s="136"/>
      <c r="DX153" s="136"/>
      <c r="DY153" s="136"/>
      <c r="DZ153" s="136"/>
      <c r="EA153" s="136"/>
      <c r="EB153" s="136"/>
      <c r="EC153" s="136"/>
      <c r="ED153" s="136"/>
      <c r="EE153" s="136"/>
      <c r="EF153" s="136"/>
      <c r="EG153" s="136"/>
      <c r="EH153" s="136"/>
      <c r="EI153" s="136"/>
      <c r="EJ153" s="136"/>
      <c r="EK153" s="136"/>
      <c r="EL153" s="136"/>
      <c r="EM153" s="136"/>
      <c r="EN153" s="136"/>
      <c r="EO153" s="136"/>
      <c r="EP153" s="136"/>
      <c r="EQ153" s="136"/>
      <c r="ER153" s="136"/>
      <c r="ES153" s="136"/>
      <c r="ET153" s="136"/>
      <c r="EU153" s="136"/>
      <c r="EV153" s="136"/>
      <c r="EW153" s="136"/>
      <c r="EX153" s="136"/>
      <c r="EY153" s="136"/>
      <c r="EZ153" s="136"/>
      <c r="FA153" s="136"/>
      <c r="FB153" s="136"/>
      <c r="FC153" s="136"/>
      <c r="FD153" s="136"/>
      <c r="FE153" s="136"/>
      <c r="FF153" s="136"/>
      <c r="FG153" s="136"/>
      <c r="FH153" s="136"/>
      <c r="FI153" s="136"/>
      <c r="FJ153" s="136"/>
      <c r="FK153" s="136"/>
      <c r="FL153" s="136"/>
      <c r="FM153" s="136"/>
      <c r="FN153" s="136"/>
      <c r="FO153" s="136"/>
      <c r="FP153" s="136"/>
      <c r="FQ153" s="136"/>
      <c r="FR153" s="136"/>
      <c r="FS153" s="136"/>
      <c r="FT153" s="136"/>
      <c r="FU153" s="136"/>
      <c r="FV153" s="136"/>
      <c r="FW153" s="136"/>
      <c r="FX153" s="136"/>
      <c r="FY153" s="136"/>
      <c r="FZ153" s="136"/>
      <c r="GA153" s="136"/>
      <c r="GB153" s="136"/>
      <c r="GC153" s="136"/>
      <c r="GD153" s="136"/>
      <c r="GE153" s="136"/>
      <c r="GF153" s="136"/>
      <c r="GG153" s="136"/>
      <c r="GH153" s="136"/>
      <c r="GI153" s="136"/>
      <c r="GJ153" s="136"/>
      <c r="GK153" s="136"/>
      <c r="GL153" s="136"/>
      <c r="GM153" s="136"/>
      <c r="GN153" s="136"/>
      <c r="GO153" s="136"/>
      <c r="GP153" s="136"/>
      <c r="GQ153" s="136"/>
      <c r="GR153" s="136"/>
      <c r="GS153" s="136"/>
      <c r="GT153" s="136"/>
      <c r="GU153" s="136"/>
      <c r="GV153" s="136"/>
      <c r="GW153" s="136"/>
      <c r="GX153" s="136"/>
      <c r="GY153" s="136"/>
      <c r="GZ153" s="136"/>
      <c r="HA153" s="136"/>
      <c r="HB153" s="136"/>
      <c r="HC153" s="136"/>
      <c r="HD153" s="136"/>
      <c r="HE153" s="136"/>
      <c r="HF153" s="136"/>
      <c r="HG153" s="136"/>
      <c r="HH153" s="136"/>
      <c r="HI153" s="136"/>
      <c r="HJ153" s="136"/>
      <c r="HK153" s="136"/>
      <c r="HL153" s="136"/>
      <c r="HM153" s="136"/>
      <c r="HN153" s="136"/>
      <c r="HO153" s="136"/>
      <c r="HP153" s="136"/>
      <c r="HQ153" s="136"/>
      <c r="HR153" s="136"/>
      <c r="HS153" s="136"/>
      <c r="HT153" s="136"/>
      <c r="HU153" s="136"/>
      <c r="HV153" s="136"/>
      <c r="HW153" s="136"/>
      <c r="HX153" s="136"/>
      <c r="HY153" s="136"/>
      <c r="HZ153" s="136"/>
      <c r="IA153" s="136"/>
      <c r="IB153" s="136"/>
      <c r="IC153" s="136"/>
      <c r="ID153" s="136"/>
      <c r="IE153" s="136"/>
      <c r="IF153" s="136"/>
      <c r="IG153" s="136"/>
      <c r="IH153" s="136"/>
      <c r="II153" s="136"/>
      <c r="IJ153" s="136"/>
      <c r="IK153" s="136"/>
      <c r="IL153" s="136"/>
      <c r="IM153" s="136"/>
      <c r="IN153" s="136"/>
      <c r="IO153" s="136"/>
      <c r="IP153" s="136"/>
      <c r="IQ153" s="136"/>
      <c r="IR153" s="136"/>
      <c r="IS153" s="136"/>
      <c r="IT153" s="136"/>
      <c r="IU153" s="136"/>
    </row>
    <row r="154" spans="1:255" ht="96" customHeight="1" x14ac:dyDescent="0.2">
      <c r="A154" s="242" t="str">
        <f>'HECVAT - Full'!A154</f>
        <v>DATA-28</v>
      </c>
      <c r="B154" s="242" t="str">
        <f>VLOOKUP(A154,'HECVAT - Full'!A$24:B$312,2,FALSE)</f>
        <v>Is any institution data visible in system administration modules/tools?</v>
      </c>
      <c r="C154" s="275" t="s">
        <v>3063</v>
      </c>
      <c r="D154" s="250" t="s">
        <v>2852</v>
      </c>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36"/>
      <c r="AO154" s="136"/>
      <c r="AP154" s="136"/>
      <c r="AQ154" s="136"/>
      <c r="AR154" s="136"/>
      <c r="AS154" s="136"/>
      <c r="AT154" s="136"/>
      <c r="AU154" s="136"/>
      <c r="AV154" s="136"/>
      <c r="AW154" s="136"/>
      <c r="AX154" s="136"/>
      <c r="AY154" s="136"/>
      <c r="AZ154" s="136"/>
      <c r="BA154" s="136"/>
      <c r="BB154" s="136"/>
      <c r="BC154" s="136"/>
      <c r="BD154" s="136"/>
      <c r="BE154" s="136"/>
      <c r="BF154" s="136"/>
      <c r="BG154" s="136"/>
      <c r="BH154" s="136"/>
      <c r="BI154" s="136"/>
      <c r="BJ154" s="136"/>
      <c r="BK154" s="136"/>
      <c r="BL154" s="136"/>
      <c r="BM154" s="136"/>
      <c r="BN154" s="136"/>
      <c r="BO154" s="136"/>
      <c r="BP154" s="136"/>
      <c r="BQ154" s="136"/>
      <c r="BR154" s="136"/>
      <c r="BS154" s="136"/>
      <c r="BT154" s="136"/>
      <c r="BU154" s="136"/>
      <c r="BV154" s="136"/>
      <c r="BW154" s="136"/>
      <c r="BX154" s="136"/>
      <c r="BY154" s="136"/>
      <c r="BZ154" s="136"/>
      <c r="CA154" s="136"/>
      <c r="CB154" s="136"/>
      <c r="CC154" s="136"/>
      <c r="CD154" s="136"/>
      <c r="CE154" s="136"/>
      <c r="CF154" s="136"/>
      <c r="CG154" s="136"/>
      <c r="CH154" s="136"/>
      <c r="CI154" s="136"/>
      <c r="CJ154" s="136"/>
      <c r="CK154" s="136"/>
      <c r="CL154" s="136"/>
      <c r="CM154" s="136"/>
      <c r="CN154" s="136"/>
      <c r="CO154" s="136"/>
      <c r="CP154" s="136"/>
      <c r="CQ154" s="136"/>
      <c r="CR154" s="136"/>
      <c r="CS154" s="136"/>
      <c r="CT154" s="136"/>
      <c r="CU154" s="136"/>
      <c r="CV154" s="136"/>
      <c r="CW154" s="136"/>
      <c r="CX154" s="136"/>
      <c r="CY154" s="136"/>
      <c r="CZ154" s="136"/>
      <c r="DA154" s="136"/>
      <c r="DB154" s="136"/>
      <c r="DC154" s="136"/>
      <c r="DD154" s="136"/>
      <c r="DE154" s="136"/>
      <c r="DF154" s="136"/>
      <c r="DG154" s="136"/>
      <c r="DH154" s="136"/>
      <c r="DI154" s="136"/>
      <c r="DJ154" s="136"/>
      <c r="DK154" s="136"/>
      <c r="DL154" s="136"/>
      <c r="DM154" s="136"/>
      <c r="DN154" s="136"/>
      <c r="DO154" s="136"/>
      <c r="DP154" s="136"/>
      <c r="DQ154" s="136"/>
      <c r="DR154" s="136"/>
      <c r="DS154" s="136"/>
      <c r="DT154" s="136"/>
      <c r="DU154" s="136"/>
      <c r="DV154" s="136"/>
      <c r="DW154" s="136"/>
      <c r="DX154" s="136"/>
      <c r="DY154" s="136"/>
      <c r="DZ154" s="136"/>
      <c r="EA154" s="136"/>
      <c r="EB154" s="136"/>
      <c r="EC154" s="136"/>
      <c r="ED154" s="136"/>
      <c r="EE154" s="136"/>
      <c r="EF154" s="136"/>
      <c r="EG154" s="136"/>
      <c r="EH154" s="136"/>
      <c r="EI154" s="136"/>
      <c r="EJ154" s="136"/>
      <c r="EK154" s="136"/>
      <c r="EL154" s="136"/>
      <c r="EM154" s="136"/>
      <c r="EN154" s="136"/>
      <c r="EO154" s="136"/>
      <c r="EP154" s="136"/>
      <c r="EQ154" s="136"/>
      <c r="ER154" s="136"/>
      <c r="ES154" s="136"/>
      <c r="ET154" s="136"/>
      <c r="EU154" s="136"/>
      <c r="EV154" s="136"/>
      <c r="EW154" s="136"/>
      <c r="EX154" s="136"/>
      <c r="EY154" s="136"/>
      <c r="EZ154" s="136"/>
      <c r="FA154" s="136"/>
      <c r="FB154" s="136"/>
      <c r="FC154" s="136"/>
      <c r="FD154" s="136"/>
      <c r="FE154" s="136"/>
      <c r="FF154" s="136"/>
      <c r="FG154" s="136"/>
      <c r="FH154" s="136"/>
      <c r="FI154" s="136"/>
      <c r="FJ154" s="136"/>
      <c r="FK154" s="136"/>
      <c r="FL154" s="136"/>
      <c r="FM154" s="136"/>
      <c r="FN154" s="136"/>
      <c r="FO154" s="136"/>
      <c r="FP154" s="136"/>
      <c r="FQ154" s="136"/>
      <c r="FR154" s="136"/>
      <c r="FS154" s="136"/>
      <c r="FT154" s="136"/>
      <c r="FU154" s="136"/>
      <c r="FV154" s="136"/>
      <c r="FW154" s="136"/>
      <c r="FX154" s="136"/>
      <c r="FY154" s="136"/>
      <c r="FZ154" s="136"/>
      <c r="GA154" s="136"/>
      <c r="GB154" s="136"/>
      <c r="GC154" s="136"/>
      <c r="GD154" s="136"/>
      <c r="GE154" s="136"/>
      <c r="GF154" s="136"/>
      <c r="GG154" s="136"/>
      <c r="GH154" s="136"/>
      <c r="GI154" s="136"/>
      <c r="GJ154" s="136"/>
      <c r="GK154" s="136"/>
      <c r="GL154" s="136"/>
      <c r="GM154" s="136"/>
      <c r="GN154" s="136"/>
      <c r="GO154" s="136"/>
      <c r="GP154" s="136"/>
      <c r="GQ154" s="136"/>
      <c r="GR154" s="136"/>
      <c r="GS154" s="136"/>
      <c r="GT154" s="136"/>
      <c r="GU154" s="136"/>
      <c r="GV154" s="136"/>
      <c r="GW154" s="136"/>
      <c r="GX154" s="136"/>
      <c r="GY154" s="136"/>
      <c r="GZ154" s="136"/>
      <c r="HA154" s="136"/>
      <c r="HB154" s="136"/>
      <c r="HC154" s="136"/>
      <c r="HD154" s="136"/>
      <c r="HE154" s="136"/>
      <c r="HF154" s="136"/>
      <c r="HG154" s="136"/>
      <c r="HH154" s="136"/>
      <c r="HI154" s="136"/>
      <c r="HJ154" s="136"/>
      <c r="HK154" s="136"/>
      <c r="HL154" s="136"/>
      <c r="HM154" s="136"/>
      <c r="HN154" s="136"/>
      <c r="HO154" s="136"/>
      <c r="HP154" s="136"/>
      <c r="HQ154" s="136"/>
      <c r="HR154" s="136"/>
      <c r="HS154" s="136"/>
      <c r="HT154" s="136"/>
      <c r="HU154" s="136"/>
      <c r="HV154" s="136"/>
      <c r="HW154" s="136"/>
      <c r="HX154" s="136"/>
      <c r="HY154" s="136"/>
      <c r="HZ154" s="136"/>
      <c r="IA154" s="136"/>
      <c r="IB154" s="136"/>
      <c r="IC154" s="136"/>
      <c r="ID154" s="136"/>
      <c r="IE154" s="136"/>
      <c r="IF154" s="136"/>
      <c r="IG154" s="136"/>
      <c r="IH154" s="136"/>
      <c r="II154" s="136"/>
      <c r="IJ154" s="136"/>
      <c r="IK154" s="136"/>
      <c r="IL154" s="136"/>
      <c r="IM154" s="136"/>
      <c r="IN154" s="136"/>
      <c r="IO154" s="136"/>
      <c r="IP154" s="136"/>
      <c r="IQ154" s="136"/>
      <c r="IR154" s="136"/>
      <c r="IS154" s="136"/>
      <c r="IT154" s="136"/>
      <c r="IU154" s="136"/>
    </row>
    <row r="155" spans="1:255" ht="36" customHeight="1" x14ac:dyDescent="0.2">
      <c r="A155" s="335" t="str">
        <f>IF($C$30="","Database",IF($C$30="Yes","Database - Optional based on QUALIFIER response.","Database"))</f>
        <v>Database</v>
      </c>
      <c r="B155" s="335"/>
      <c r="C155" s="240" t="str">
        <f>$C$22</f>
        <v>Reason for Question</v>
      </c>
      <c r="D155" s="240" t="str">
        <f>$D$22</f>
        <v>Follow-up Inquiries/Responses</v>
      </c>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c r="AT155" s="136"/>
      <c r="AU155" s="136"/>
      <c r="AV155" s="136"/>
      <c r="AW155" s="136"/>
      <c r="AX155" s="136"/>
      <c r="AY155" s="136"/>
      <c r="AZ155" s="136"/>
      <c r="BA155" s="136"/>
      <c r="BB155" s="136"/>
      <c r="BC155" s="136"/>
      <c r="BD155" s="136"/>
      <c r="BE155" s="136"/>
      <c r="BF155" s="136"/>
      <c r="BG155" s="136"/>
      <c r="BH155" s="136"/>
      <c r="BI155" s="136"/>
      <c r="BJ155" s="136"/>
      <c r="BK155" s="136"/>
      <c r="BL155" s="136"/>
      <c r="BM155" s="136"/>
      <c r="BN155" s="136"/>
      <c r="BO155" s="136"/>
      <c r="BP155" s="136"/>
      <c r="BQ155" s="136"/>
      <c r="BR155" s="136"/>
      <c r="BS155" s="136"/>
      <c r="BT155" s="136"/>
      <c r="BU155" s="136"/>
      <c r="BV155" s="136"/>
      <c r="BW155" s="136"/>
      <c r="BX155" s="136"/>
      <c r="BY155" s="136"/>
      <c r="BZ155" s="136"/>
      <c r="CA155" s="136"/>
      <c r="CB155" s="136"/>
      <c r="CC155" s="136"/>
      <c r="CD155" s="136"/>
      <c r="CE155" s="136"/>
      <c r="CF155" s="136"/>
      <c r="CG155" s="136"/>
      <c r="CH155" s="136"/>
      <c r="CI155" s="136"/>
      <c r="CJ155" s="136"/>
      <c r="CK155" s="136"/>
      <c r="CL155" s="136"/>
      <c r="CM155" s="136"/>
      <c r="CN155" s="136"/>
      <c r="CO155" s="136"/>
      <c r="CP155" s="136"/>
      <c r="CQ155" s="136"/>
      <c r="CR155" s="136"/>
      <c r="CS155" s="136"/>
      <c r="CT155" s="136"/>
      <c r="CU155" s="136"/>
      <c r="CV155" s="136"/>
      <c r="CW155" s="136"/>
      <c r="CX155" s="136"/>
      <c r="CY155" s="136"/>
      <c r="CZ155" s="136"/>
      <c r="DA155" s="136"/>
      <c r="DB155" s="136"/>
      <c r="DC155" s="136"/>
      <c r="DD155" s="136"/>
      <c r="DE155" s="136"/>
      <c r="DF155" s="136"/>
      <c r="DG155" s="136"/>
      <c r="DH155" s="136"/>
      <c r="DI155" s="136"/>
      <c r="DJ155" s="136"/>
      <c r="DK155" s="136"/>
      <c r="DL155" s="136"/>
      <c r="DM155" s="136"/>
      <c r="DN155" s="136"/>
      <c r="DO155" s="136"/>
      <c r="DP155" s="136"/>
      <c r="DQ155" s="136"/>
      <c r="DR155" s="136"/>
      <c r="DS155" s="136"/>
      <c r="DT155" s="136"/>
      <c r="DU155" s="136"/>
      <c r="DV155" s="136"/>
      <c r="DW155" s="136"/>
      <c r="DX155" s="136"/>
      <c r="DY155" s="136"/>
      <c r="DZ155" s="136"/>
      <c r="EA155" s="136"/>
      <c r="EB155" s="136"/>
      <c r="EC155" s="136"/>
      <c r="ED155" s="136"/>
      <c r="EE155" s="136"/>
      <c r="EF155" s="136"/>
      <c r="EG155" s="136"/>
      <c r="EH155" s="136"/>
      <c r="EI155" s="136"/>
      <c r="EJ155" s="136"/>
      <c r="EK155" s="136"/>
      <c r="EL155" s="136"/>
      <c r="EM155" s="136"/>
      <c r="EN155" s="136"/>
      <c r="EO155" s="136"/>
      <c r="EP155" s="136"/>
      <c r="EQ155" s="136"/>
      <c r="ER155" s="136"/>
      <c r="ES155" s="136"/>
      <c r="ET155" s="136"/>
      <c r="EU155" s="136"/>
      <c r="EV155" s="136"/>
      <c r="EW155" s="136"/>
      <c r="EX155" s="136"/>
      <c r="EY155" s="136"/>
      <c r="EZ155" s="136"/>
      <c r="FA155" s="136"/>
      <c r="FB155" s="136"/>
      <c r="FC155" s="136"/>
      <c r="FD155" s="136"/>
      <c r="FE155" s="136"/>
      <c r="FF155" s="136"/>
      <c r="FG155" s="136"/>
      <c r="FH155" s="136"/>
      <c r="FI155" s="136"/>
      <c r="FJ155" s="136"/>
      <c r="FK155" s="136"/>
      <c r="FL155" s="136"/>
      <c r="FM155" s="136"/>
      <c r="FN155" s="136"/>
      <c r="FO155" s="136"/>
      <c r="FP155" s="136"/>
      <c r="FQ155" s="136"/>
      <c r="FR155" s="136"/>
      <c r="FS155" s="136"/>
      <c r="FT155" s="136"/>
      <c r="FU155" s="136"/>
      <c r="FV155" s="136"/>
      <c r="FW155" s="136"/>
      <c r="FX155" s="136"/>
      <c r="FY155" s="136"/>
      <c r="FZ155" s="136"/>
      <c r="GA155" s="136"/>
      <c r="GB155" s="136"/>
      <c r="GC155" s="136"/>
      <c r="GD155" s="136"/>
      <c r="GE155" s="136"/>
      <c r="GF155" s="136"/>
      <c r="GG155" s="136"/>
      <c r="GH155" s="136"/>
      <c r="GI155" s="136"/>
      <c r="GJ155" s="136"/>
      <c r="GK155" s="136"/>
      <c r="GL155" s="136"/>
      <c r="GM155" s="136"/>
      <c r="GN155" s="136"/>
      <c r="GO155" s="136"/>
      <c r="GP155" s="136"/>
      <c r="GQ155" s="136"/>
      <c r="GR155" s="136"/>
      <c r="GS155" s="136"/>
      <c r="GT155" s="136"/>
      <c r="GU155" s="136"/>
      <c r="GV155" s="136"/>
      <c r="GW155" s="136"/>
      <c r="GX155" s="136"/>
      <c r="GY155" s="136"/>
      <c r="GZ155" s="136"/>
      <c r="HA155" s="136"/>
      <c r="HB155" s="136"/>
      <c r="HC155" s="136"/>
      <c r="HD155" s="136"/>
      <c r="HE155" s="136"/>
      <c r="HF155" s="136"/>
      <c r="HG155" s="136"/>
      <c r="HH155" s="136"/>
      <c r="HI155" s="136"/>
      <c r="HJ155" s="136"/>
      <c r="HK155" s="136"/>
      <c r="HL155" s="136"/>
      <c r="HM155" s="136"/>
      <c r="HN155" s="136"/>
      <c r="HO155" s="136"/>
      <c r="HP155" s="136"/>
      <c r="HQ155" s="136"/>
      <c r="HR155" s="136"/>
      <c r="HS155" s="136"/>
      <c r="HT155" s="136"/>
      <c r="HU155" s="136"/>
      <c r="HV155" s="136"/>
      <c r="HW155" s="136"/>
      <c r="HX155" s="136"/>
      <c r="HY155" s="136"/>
      <c r="HZ155" s="136"/>
      <c r="IA155" s="136"/>
      <c r="IB155" s="136"/>
      <c r="IC155" s="136"/>
      <c r="ID155" s="136"/>
      <c r="IE155" s="136"/>
      <c r="IF155" s="136"/>
      <c r="IG155" s="136"/>
      <c r="IH155" s="136"/>
      <c r="II155" s="136"/>
      <c r="IJ155" s="136"/>
      <c r="IK155" s="136"/>
      <c r="IL155" s="136"/>
      <c r="IM155" s="136"/>
      <c r="IN155" s="136"/>
      <c r="IO155" s="136"/>
      <c r="IP155" s="136"/>
      <c r="IQ155" s="136"/>
      <c r="IR155" s="136"/>
      <c r="IS155" s="136"/>
      <c r="IT155" s="136"/>
      <c r="IU155" s="136"/>
    </row>
    <row r="156" spans="1:255" ht="99.75" x14ac:dyDescent="0.2">
      <c r="A156" s="242" t="str">
        <f>'HECVAT - Full'!A156</f>
        <v>DBAS-01</v>
      </c>
      <c r="B156" s="242" t="str">
        <f>VLOOKUP(A156,'HECVAT - Full'!A$24:B$312,2,FALSE)</f>
        <v>Does the database support encryption of specified data elements in storage?</v>
      </c>
      <c r="C156" s="275" t="s">
        <v>3034</v>
      </c>
      <c r="D156" s="250" t="s">
        <v>2853</v>
      </c>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36"/>
      <c r="AO156" s="136"/>
      <c r="AP156" s="136"/>
      <c r="AQ156" s="136"/>
      <c r="AR156" s="136"/>
      <c r="AS156" s="136"/>
      <c r="AT156" s="136"/>
      <c r="AU156" s="136"/>
      <c r="AV156" s="136"/>
      <c r="AW156" s="136"/>
      <c r="AX156" s="136"/>
      <c r="AY156" s="136"/>
      <c r="AZ156" s="136"/>
      <c r="BA156" s="136"/>
      <c r="BB156" s="136"/>
      <c r="BC156" s="136"/>
      <c r="BD156" s="136"/>
      <c r="BE156" s="136"/>
      <c r="BF156" s="136"/>
      <c r="BG156" s="136"/>
      <c r="BH156" s="136"/>
      <c r="BI156" s="136"/>
      <c r="BJ156" s="136"/>
      <c r="BK156" s="136"/>
      <c r="BL156" s="136"/>
      <c r="BM156" s="136"/>
      <c r="BN156" s="136"/>
      <c r="BO156" s="136"/>
      <c r="BP156" s="136"/>
      <c r="BQ156" s="136"/>
      <c r="BR156" s="136"/>
      <c r="BS156" s="136"/>
      <c r="BT156" s="136"/>
      <c r="BU156" s="136"/>
      <c r="BV156" s="136"/>
      <c r="BW156" s="136"/>
      <c r="BX156" s="136"/>
      <c r="BY156" s="136"/>
      <c r="BZ156" s="136"/>
      <c r="CA156" s="136"/>
      <c r="CB156" s="136"/>
      <c r="CC156" s="136"/>
      <c r="CD156" s="136"/>
      <c r="CE156" s="136"/>
      <c r="CF156" s="136"/>
      <c r="CG156" s="136"/>
      <c r="CH156" s="136"/>
      <c r="CI156" s="136"/>
      <c r="CJ156" s="136"/>
      <c r="CK156" s="136"/>
      <c r="CL156" s="136"/>
      <c r="CM156" s="136"/>
      <c r="CN156" s="136"/>
      <c r="CO156" s="136"/>
      <c r="CP156" s="136"/>
      <c r="CQ156" s="136"/>
      <c r="CR156" s="136"/>
      <c r="CS156" s="136"/>
      <c r="CT156" s="136"/>
      <c r="CU156" s="136"/>
      <c r="CV156" s="136"/>
      <c r="CW156" s="136"/>
      <c r="CX156" s="136"/>
      <c r="CY156" s="136"/>
      <c r="CZ156" s="136"/>
      <c r="DA156" s="136"/>
      <c r="DB156" s="136"/>
      <c r="DC156" s="136"/>
      <c r="DD156" s="136"/>
      <c r="DE156" s="136"/>
      <c r="DF156" s="136"/>
      <c r="DG156" s="136"/>
      <c r="DH156" s="136"/>
      <c r="DI156" s="136"/>
      <c r="DJ156" s="136"/>
      <c r="DK156" s="136"/>
      <c r="DL156" s="136"/>
      <c r="DM156" s="136"/>
      <c r="DN156" s="136"/>
      <c r="DO156" s="136"/>
      <c r="DP156" s="136"/>
      <c r="DQ156" s="136"/>
      <c r="DR156" s="136"/>
      <c r="DS156" s="136"/>
      <c r="DT156" s="136"/>
      <c r="DU156" s="136"/>
      <c r="DV156" s="136"/>
      <c r="DW156" s="136"/>
      <c r="DX156" s="136"/>
      <c r="DY156" s="136"/>
      <c r="DZ156" s="136"/>
      <c r="EA156" s="136"/>
      <c r="EB156" s="136"/>
      <c r="EC156" s="136"/>
      <c r="ED156" s="136"/>
      <c r="EE156" s="136"/>
      <c r="EF156" s="136"/>
      <c r="EG156" s="136"/>
      <c r="EH156" s="136"/>
      <c r="EI156" s="136"/>
      <c r="EJ156" s="136"/>
      <c r="EK156" s="136"/>
      <c r="EL156" s="136"/>
      <c r="EM156" s="136"/>
      <c r="EN156" s="136"/>
      <c r="EO156" s="136"/>
      <c r="EP156" s="136"/>
      <c r="EQ156" s="136"/>
      <c r="ER156" s="136"/>
      <c r="ES156" s="136"/>
      <c r="ET156" s="136"/>
      <c r="EU156" s="136"/>
      <c r="EV156" s="136"/>
      <c r="EW156" s="136"/>
      <c r="EX156" s="136"/>
      <c r="EY156" s="136"/>
      <c r="EZ156" s="136"/>
      <c r="FA156" s="136"/>
      <c r="FB156" s="136"/>
      <c r="FC156" s="136"/>
      <c r="FD156" s="136"/>
      <c r="FE156" s="136"/>
      <c r="FF156" s="136"/>
      <c r="FG156" s="136"/>
      <c r="FH156" s="136"/>
      <c r="FI156" s="136"/>
      <c r="FJ156" s="136"/>
      <c r="FK156" s="136"/>
      <c r="FL156" s="136"/>
      <c r="FM156" s="136"/>
      <c r="FN156" s="136"/>
      <c r="FO156" s="136"/>
      <c r="FP156" s="136"/>
      <c r="FQ156" s="136"/>
      <c r="FR156" s="136"/>
      <c r="FS156" s="136"/>
      <c r="FT156" s="136"/>
      <c r="FU156" s="136"/>
      <c r="FV156" s="136"/>
      <c r="FW156" s="136"/>
      <c r="FX156" s="136"/>
      <c r="FY156" s="136"/>
      <c r="FZ156" s="136"/>
      <c r="GA156" s="136"/>
      <c r="GB156" s="136"/>
      <c r="GC156" s="136"/>
      <c r="GD156" s="136"/>
      <c r="GE156" s="136"/>
      <c r="GF156" s="136"/>
      <c r="GG156" s="136"/>
      <c r="GH156" s="136"/>
      <c r="GI156" s="136"/>
      <c r="GJ156" s="136"/>
      <c r="GK156" s="136"/>
      <c r="GL156" s="136"/>
      <c r="GM156" s="136"/>
      <c r="GN156" s="136"/>
      <c r="GO156" s="136"/>
      <c r="GP156" s="136"/>
      <c r="GQ156" s="136"/>
      <c r="GR156" s="136"/>
      <c r="GS156" s="136"/>
      <c r="GT156" s="136"/>
      <c r="GU156" s="136"/>
      <c r="GV156" s="136"/>
      <c r="GW156" s="136"/>
      <c r="GX156" s="136"/>
      <c r="GY156" s="136"/>
      <c r="GZ156" s="136"/>
      <c r="HA156" s="136"/>
      <c r="HB156" s="136"/>
      <c r="HC156" s="136"/>
      <c r="HD156" s="136"/>
      <c r="HE156" s="136"/>
      <c r="HF156" s="136"/>
      <c r="HG156" s="136"/>
      <c r="HH156" s="136"/>
      <c r="HI156" s="136"/>
      <c r="HJ156" s="136"/>
      <c r="HK156" s="136"/>
      <c r="HL156" s="136"/>
      <c r="HM156" s="136"/>
      <c r="HN156" s="136"/>
      <c r="HO156" s="136"/>
      <c r="HP156" s="136"/>
      <c r="HQ156" s="136"/>
      <c r="HR156" s="136"/>
      <c r="HS156" s="136"/>
      <c r="HT156" s="136"/>
      <c r="HU156" s="136"/>
      <c r="HV156" s="136"/>
      <c r="HW156" s="136"/>
      <c r="HX156" s="136"/>
      <c r="HY156" s="136"/>
      <c r="HZ156" s="136"/>
      <c r="IA156" s="136"/>
      <c r="IB156" s="136"/>
      <c r="IC156" s="136"/>
      <c r="ID156" s="136"/>
      <c r="IE156" s="136"/>
      <c r="IF156" s="136"/>
      <c r="IG156" s="136"/>
      <c r="IH156" s="136"/>
      <c r="II156" s="136"/>
      <c r="IJ156" s="136"/>
      <c r="IK156" s="136"/>
      <c r="IL156" s="136"/>
      <c r="IM156" s="136"/>
      <c r="IN156" s="136"/>
      <c r="IO156" s="136"/>
      <c r="IP156" s="136"/>
      <c r="IQ156" s="136"/>
      <c r="IR156" s="136"/>
      <c r="IS156" s="136"/>
      <c r="IT156" s="136"/>
      <c r="IU156" s="136"/>
    </row>
    <row r="157" spans="1:255" ht="99.75" x14ac:dyDescent="0.2">
      <c r="A157" s="242" t="str">
        <f>'HECVAT - Full'!A157</f>
        <v>DBAS-02</v>
      </c>
      <c r="B157" s="242" t="str">
        <f>VLOOKUP(A157,'HECVAT - Full'!A$24:B$312,2,FALSE)</f>
        <v>Do you currently use encryption in your database(s)?</v>
      </c>
      <c r="C157" s="245" t="s">
        <v>2854</v>
      </c>
      <c r="D157" s="250" t="s">
        <v>2855</v>
      </c>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36"/>
      <c r="AY157" s="136"/>
      <c r="AZ157" s="136"/>
      <c r="BA157" s="136"/>
      <c r="BB157" s="136"/>
      <c r="BC157" s="136"/>
      <c r="BD157" s="136"/>
      <c r="BE157" s="136"/>
      <c r="BF157" s="136"/>
      <c r="BG157" s="136"/>
      <c r="BH157" s="136"/>
      <c r="BI157" s="136"/>
      <c r="BJ157" s="136"/>
      <c r="BK157" s="136"/>
      <c r="BL157" s="136"/>
      <c r="BM157" s="136"/>
      <c r="BN157" s="136"/>
      <c r="BO157" s="136"/>
      <c r="BP157" s="136"/>
      <c r="BQ157" s="136"/>
      <c r="BR157" s="136"/>
      <c r="BS157" s="136"/>
      <c r="BT157" s="136"/>
      <c r="BU157" s="136"/>
      <c r="BV157" s="136"/>
      <c r="BW157" s="136"/>
      <c r="BX157" s="136"/>
      <c r="BY157" s="136"/>
      <c r="BZ157" s="136"/>
      <c r="CA157" s="136"/>
      <c r="CB157" s="136"/>
      <c r="CC157" s="136"/>
      <c r="CD157" s="136"/>
      <c r="CE157" s="136"/>
      <c r="CF157" s="136"/>
      <c r="CG157" s="136"/>
      <c r="CH157" s="136"/>
      <c r="CI157" s="136"/>
      <c r="CJ157" s="136"/>
      <c r="CK157" s="136"/>
      <c r="CL157" s="136"/>
      <c r="CM157" s="136"/>
      <c r="CN157" s="136"/>
      <c r="CO157" s="136"/>
      <c r="CP157" s="136"/>
      <c r="CQ157" s="136"/>
      <c r="CR157" s="136"/>
      <c r="CS157" s="136"/>
      <c r="CT157" s="136"/>
      <c r="CU157" s="136"/>
      <c r="CV157" s="136"/>
      <c r="CW157" s="136"/>
      <c r="CX157" s="136"/>
      <c r="CY157" s="136"/>
      <c r="CZ157" s="136"/>
      <c r="DA157" s="136"/>
      <c r="DB157" s="136"/>
      <c r="DC157" s="136"/>
      <c r="DD157" s="136"/>
      <c r="DE157" s="136"/>
      <c r="DF157" s="136"/>
      <c r="DG157" s="136"/>
      <c r="DH157" s="136"/>
      <c r="DI157" s="136"/>
      <c r="DJ157" s="136"/>
      <c r="DK157" s="136"/>
      <c r="DL157" s="136"/>
      <c r="DM157" s="136"/>
      <c r="DN157" s="136"/>
      <c r="DO157" s="136"/>
      <c r="DP157" s="136"/>
      <c r="DQ157" s="136"/>
      <c r="DR157" s="136"/>
      <c r="DS157" s="136"/>
      <c r="DT157" s="136"/>
      <c r="DU157" s="136"/>
      <c r="DV157" s="136"/>
      <c r="DW157" s="136"/>
      <c r="DX157" s="136"/>
      <c r="DY157" s="136"/>
      <c r="DZ157" s="136"/>
      <c r="EA157" s="136"/>
      <c r="EB157" s="136"/>
      <c r="EC157" s="136"/>
      <c r="ED157" s="136"/>
      <c r="EE157" s="136"/>
      <c r="EF157" s="136"/>
      <c r="EG157" s="136"/>
      <c r="EH157" s="136"/>
      <c r="EI157" s="136"/>
      <c r="EJ157" s="136"/>
      <c r="EK157" s="136"/>
      <c r="EL157" s="136"/>
      <c r="EM157" s="136"/>
      <c r="EN157" s="136"/>
      <c r="EO157" s="136"/>
      <c r="EP157" s="136"/>
      <c r="EQ157" s="136"/>
      <c r="ER157" s="136"/>
      <c r="ES157" s="136"/>
      <c r="ET157" s="136"/>
      <c r="EU157" s="136"/>
      <c r="EV157" s="136"/>
      <c r="EW157" s="136"/>
      <c r="EX157" s="136"/>
      <c r="EY157" s="136"/>
      <c r="EZ157" s="136"/>
      <c r="FA157" s="136"/>
      <c r="FB157" s="136"/>
      <c r="FC157" s="136"/>
      <c r="FD157" s="136"/>
      <c r="FE157" s="136"/>
      <c r="FF157" s="136"/>
      <c r="FG157" s="136"/>
      <c r="FH157" s="136"/>
      <c r="FI157" s="136"/>
      <c r="FJ157" s="136"/>
      <c r="FK157" s="136"/>
      <c r="FL157" s="136"/>
      <c r="FM157" s="136"/>
      <c r="FN157" s="136"/>
      <c r="FO157" s="136"/>
      <c r="FP157" s="136"/>
      <c r="FQ157" s="136"/>
      <c r="FR157" s="136"/>
      <c r="FS157" s="136"/>
      <c r="FT157" s="136"/>
      <c r="FU157" s="136"/>
      <c r="FV157" s="136"/>
      <c r="FW157" s="136"/>
      <c r="FX157" s="136"/>
      <c r="FY157" s="136"/>
      <c r="FZ157" s="136"/>
      <c r="GA157" s="136"/>
      <c r="GB157" s="136"/>
      <c r="GC157" s="136"/>
      <c r="GD157" s="136"/>
      <c r="GE157" s="136"/>
      <c r="GF157" s="136"/>
      <c r="GG157" s="136"/>
      <c r="GH157" s="136"/>
      <c r="GI157" s="136"/>
      <c r="GJ157" s="136"/>
      <c r="GK157" s="136"/>
      <c r="GL157" s="136"/>
      <c r="GM157" s="136"/>
      <c r="GN157" s="136"/>
      <c r="GO157" s="136"/>
      <c r="GP157" s="136"/>
      <c r="GQ157" s="136"/>
      <c r="GR157" s="136"/>
      <c r="GS157" s="136"/>
      <c r="GT157" s="136"/>
      <c r="GU157" s="136"/>
      <c r="GV157" s="136"/>
      <c r="GW157" s="136"/>
      <c r="GX157" s="136"/>
      <c r="GY157" s="136"/>
      <c r="GZ157" s="136"/>
      <c r="HA157" s="136"/>
      <c r="HB157" s="136"/>
      <c r="HC157" s="136"/>
      <c r="HD157" s="136"/>
      <c r="HE157" s="136"/>
      <c r="HF157" s="136"/>
      <c r="HG157" s="136"/>
      <c r="HH157" s="136"/>
      <c r="HI157" s="136"/>
      <c r="HJ157" s="136"/>
      <c r="HK157" s="136"/>
      <c r="HL157" s="136"/>
      <c r="HM157" s="136"/>
      <c r="HN157" s="136"/>
      <c r="HO157" s="136"/>
      <c r="HP157" s="136"/>
      <c r="HQ157" s="136"/>
      <c r="HR157" s="136"/>
      <c r="HS157" s="136"/>
      <c r="HT157" s="136"/>
      <c r="HU157" s="136"/>
      <c r="HV157" s="136"/>
      <c r="HW157" s="136"/>
      <c r="HX157" s="136"/>
      <c r="HY157" s="136"/>
      <c r="HZ157" s="136"/>
      <c r="IA157" s="136"/>
      <c r="IB157" s="136"/>
      <c r="IC157" s="136"/>
      <c r="ID157" s="136"/>
      <c r="IE157" s="136"/>
      <c r="IF157" s="136"/>
      <c r="IG157" s="136"/>
      <c r="IH157" s="136"/>
      <c r="II157" s="136"/>
      <c r="IJ157" s="136"/>
      <c r="IK157" s="136"/>
      <c r="IL157" s="136"/>
      <c r="IM157" s="136"/>
      <c r="IN157" s="136"/>
      <c r="IO157" s="136"/>
      <c r="IP157" s="136"/>
      <c r="IQ157" s="136"/>
      <c r="IR157" s="136"/>
      <c r="IS157" s="136"/>
      <c r="IT157" s="136"/>
      <c r="IU157" s="136"/>
    </row>
    <row r="158" spans="1:255" ht="36" customHeight="1" x14ac:dyDescent="0.2">
      <c r="A158" s="335" t="str">
        <f>IF($C$30="","Datacenter",IF($C$30="Yes","Datacenter - Optional based on QUALIFIER response.","Datacenter"))</f>
        <v>Datacenter</v>
      </c>
      <c r="B158" s="335"/>
      <c r="C158" s="240" t="str">
        <f>$C$22</f>
        <v>Reason for Question</v>
      </c>
      <c r="D158" s="240" t="str">
        <f>$D$22</f>
        <v>Follow-up Inquiries/Responses</v>
      </c>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6"/>
      <c r="AN158" s="136"/>
      <c r="AO158" s="136"/>
      <c r="AP158" s="136"/>
      <c r="AQ158" s="136"/>
      <c r="AR158" s="136"/>
      <c r="AS158" s="136"/>
      <c r="AT158" s="136"/>
      <c r="AU158" s="136"/>
      <c r="AV158" s="136"/>
      <c r="AW158" s="136"/>
      <c r="AX158" s="136"/>
      <c r="AY158" s="136"/>
      <c r="AZ158" s="136"/>
      <c r="BA158" s="136"/>
      <c r="BB158" s="136"/>
      <c r="BC158" s="136"/>
      <c r="BD158" s="136"/>
      <c r="BE158" s="136"/>
      <c r="BF158" s="136"/>
      <c r="BG158" s="136"/>
      <c r="BH158" s="136"/>
      <c r="BI158" s="136"/>
      <c r="BJ158" s="136"/>
      <c r="BK158" s="136"/>
      <c r="BL158" s="136"/>
      <c r="BM158" s="136"/>
      <c r="BN158" s="136"/>
      <c r="BO158" s="136"/>
      <c r="BP158" s="136"/>
      <c r="BQ158" s="136"/>
      <c r="BR158" s="136"/>
      <c r="BS158" s="136"/>
      <c r="BT158" s="136"/>
      <c r="BU158" s="136"/>
      <c r="BV158" s="136"/>
      <c r="BW158" s="136"/>
      <c r="BX158" s="136"/>
      <c r="BY158" s="136"/>
      <c r="BZ158" s="136"/>
      <c r="CA158" s="136"/>
      <c r="CB158" s="136"/>
      <c r="CC158" s="136"/>
      <c r="CD158" s="136"/>
      <c r="CE158" s="136"/>
      <c r="CF158" s="136"/>
      <c r="CG158" s="136"/>
      <c r="CH158" s="136"/>
      <c r="CI158" s="136"/>
      <c r="CJ158" s="136"/>
      <c r="CK158" s="136"/>
      <c r="CL158" s="136"/>
      <c r="CM158" s="136"/>
      <c r="CN158" s="136"/>
      <c r="CO158" s="136"/>
      <c r="CP158" s="136"/>
      <c r="CQ158" s="136"/>
      <c r="CR158" s="136"/>
      <c r="CS158" s="136"/>
      <c r="CT158" s="136"/>
      <c r="CU158" s="136"/>
      <c r="CV158" s="136"/>
      <c r="CW158" s="136"/>
      <c r="CX158" s="136"/>
      <c r="CY158" s="136"/>
      <c r="CZ158" s="136"/>
      <c r="DA158" s="136"/>
      <c r="DB158" s="136"/>
      <c r="DC158" s="136"/>
      <c r="DD158" s="136"/>
      <c r="DE158" s="136"/>
      <c r="DF158" s="136"/>
      <c r="DG158" s="136"/>
      <c r="DH158" s="136"/>
      <c r="DI158" s="136"/>
      <c r="DJ158" s="136"/>
      <c r="DK158" s="136"/>
      <c r="DL158" s="136"/>
      <c r="DM158" s="136"/>
      <c r="DN158" s="136"/>
      <c r="DO158" s="136"/>
      <c r="DP158" s="136"/>
      <c r="DQ158" s="136"/>
      <c r="DR158" s="136"/>
      <c r="DS158" s="136"/>
      <c r="DT158" s="136"/>
      <c r="DU158" s="136"/>
      <c r="DV158" s="136"/>
      <c r="DW158" s="136"/>
      <c r="DX158" s="136"/>
      <c r="DY158" s="136"/>
      <c r="DZ158" s="136"/>
      <c r="EA158" s="136"/>
      <c r="EB158" s="136"/>
      <c r="EC158" s="136"/>
      <c r="ED158" s="136"/>
      <c r="EE158" s="136"/>
      <c r="EF158" s="136"/>
      <c r="EG158" s="136"/>
      <c r="EH158" s="136"/>
      <c r="EI158" s="136"/>
      <c r="EJ158" s="136"/>
      <c r="EK158" s="136"/>
      <c r="EL158" s="136"/>
      <c r="EM158" s="136"/>
      <c r="EN158" s="136"/>
      <c r="EO158" s="136"/>
      <c r="EP158" s="136"/>
      <c r="EQ158" s="136"/>
      <c r="ER158" s="136"/>
      <c r="ES158" s="136"/>
      <c r="ET158" s="136"/>
      <c r="EU158" s="136"/>
      <c r="EV158" s="136"/>
      <c r="EW158" s="136"/>
      <c r="EX158" s="136"/>
      <c r="EY158" s="136"/>
      <c r="EZ158" s="136"/>
      <c r="FA158" s="136"/>
      <c r="FB158" s="136"/>
      <c r="FC158" s="136"/>
      <c r="FD158" s="136"/>
      <c r="FE158" s="136"/>
      <c r="FF158" s="136"/>
      <c r="FG158" s="136"/>
      <c r="FH158" s="136"/>
      <c r="FI158" s="136"/>
      <c r="FJ158" s="136"/>
      <c r="FK158" s="136"/>
      <c r="FL158" s="136"/>
      <c r="FM158" s="136"/>
      <c r="FN158" s="136"/>
      <c r="FO158" s="136"/>
      <c r="FP158" s="136"/>
      <c r="FQ158" s="136"/>
      <c r="FR158" s="136"/>
      <c r="FS158" s="136"/>
      <c r="FT158" s="136"/>
      <c r="FU158" s="136"/>
      <c r="FV158" s="136"/>
      <c r="FW158" s="136"/>
      <c r="FX158" s="136"/>
      <c r="FY158" s="136"/>
      <c r="FZ158" s="136"/>
      <c r="GA158" s="136"/>
      <c r="GB158" s="136"/>
      <c r="GC158" s="136"/>
      <c r="GD158" s="136"/>
      <c r="GE158" s="136"/>
      <c r="GF158" s="136"/>
      <c r="GG158" s="136"/>
      <c r="GH158" s="136"/>
      <c r="GI158" s="136"/>
      <c r="GJ158" s="136"/>
      <c r="GK158" s="136"/>
      <c r="GL158" s="136"/>
      <c r="GM158" s="136"/>
      <c r="GN158" s="136"/>
      <c r="GO158" s="136"/>
      <c r="GP158" s="136"/>
      <c r="GQ158" s="136"/>
      <c r="GR158" s="136"/>
      <c r="GS158" s="136"/>
      <c r="GT158" s="136"/>
      <c r="GU158" s="136"/>
      <c r="GV158" s="136"/>
      <c r="GW158" s="136"/>
      <c r="GX158" s="136"/>
      <c r="GY158" s="136"/>
      <c r="GZ158" s="136"/>
      <c r="HA158" s="136"/>
      <c r="HB158" s="136"/>
      <c r="HC158" s="136"/>
      <c r="HD158" s="136"/>
      <c r="HE158" s="136"/>
      <c r="HF158" s="136"/>
      <c r="HG158" s="136"/>
      <c r="HH158" s="136"/>
      <c r="HI158" s="136"/>
      <c r="HJ158" s="136"/>
      <c r="HK158" s="136"/>
      <c r="HL158" s="136"/>
      <c r="HM158" s="136"/>
      <c r="HN158" s="136"/>
      <c r="HO158" s="136"/>
      <c r="HP158" s="136"/>
      <c r="HQ158" s="136"/>
      <c r="HR158" s="136"/>
      <c r="HS158" s="136"/>
      <c r="HT158" s="136"/>
      <c r="HU158" s="136"/>
      <c r="HV158" s="136"/>
      <c r="HW158" s="136"/>
      <c r="HX158" s="136"/>
      <c r="HY158" s="136"/>
      <c r="HZ158" s="136"/>
      <c r="IA158" s="136"/>
      <c r="IB158" s="136"/>
      <c r="IC158" s="136"/>
      <c r="ID158" s="136"/>
      <c r="IE158" s="136"/>
      <c r="IF158" s="136"/>
      <c r="IG158" s="136"/>
      <c r="IH158" s="136"/>
      <c r="II158" s="136"/>
      <c r="IJ158" s="136"/>
      <c r="IK158" s="136"/>
      <c r="IL158" s="136"/>
      <c r="IM158" s="136"/>
      <c r="IN158" s="136"/>
      <c r="IO158" s="136"/>
      <c r="IP158" s="136"/>
      <c r="IQ158" s="136"/>
      <c r="IR158" s="136"/>
      <c r="IS158" s="136"/>
      <c r="IT158" s="136"/>
      <c r="IU158" s="136"/>
    </row>
    <row r="159" spans="1:255" ht="63.95" customHeight="1" x14ac:dyDescent="0.2">
      <c r="A159" s="242" t="str">
        <f>'HECVAT - Full'!A159</f>
        <v>DCTR-01</v>
      </c>
      <c r="B159" s="242" t="str">
        <f>VLOOKUP(A159,'HECVAT - Full'!A$24:B$312,2,FALSE)</f>
        <v>Does your company own the physical data center where the Institution's data will reside?</v>
      </c>
      <c r="C159" s="245" t="s">
        <v>2856</v>
      </c>
      <c r="D159" s="250" t="s">
        <v>2857</v>
      </c>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6"/>
      <c r="AN159" s="136"/>
      <c r="AO159" s="136"/>
      <c r="AP159" s="136"/>
      <c r="AQ159" s="136"/>
      <c r="AR159" s="136"/>
      <c r="AS159" s="136"/>
      <c r="AT159" s="136"/>
      <c r="AU159" s="136"/>
      <c r="AV159" s="136"/>
      <c r="AW159" s="136"/>
      <c r="AX159" s="136"/>
      <c r="AY159" s="136"/>
      <c r="AZ159" s="136"/>
      <c r="BA159" s="136"/>
      <c r="BB159" s="136"/>
      <c r="BC159" s="136"/>
      <c r="BD159" s="136"/>
      <c r="BE159" s="136"/>
      <c r="BF159" s="136"/>
      <c r="BG159" s="136"/>
      <c r="BH159" s="136"/>
      <c r="BI159" s="136"/>
      <c r="BJ159" s="136"/>
      <c r="BK159" s="136"/>
      <c r="BL159" s="136"/>
      <c r="BM159" s="136"/>
      <c r="BN159" s="136"/>
      <c r="BO159" s="136"/>
      <c r="BP159" s="136"/>
      <c r="BQ159" s="136"/>
      <c r="BR159" s="136"/>
      <c r="BS159" s="136"/>
      <c r="BT159" s="136"/>
      <c r="BU159" s="136"/>
      <c r="BV159" s="136"/>
      <c r="BW159" s="136"/>
      <c r="BX159" s="136"/>
      <c r="BY159" s="136"/>
      <c r="BZ159" s="136"/>
      <c r="CA159" s="136"/>
      <c r="CB159" s="136"/>
      <c r="CC159" s="136"/>
      <c r="CD159" s="136"/>
      <c r="CE159" s="136"/>
      <c r="CF159" s="136"/>
      <c r="CG159" s="136"/>
      <c r="CH159" s="136"/>
      <c r="CI159" s="136"/>
      <c r="CJ159" s="136"/>
      <c r="CK159" s="136"/>
      <c r="CL159" s="136"/>
      <c r="CM159" s="136"/>
      <c r="CN159" s="136"/>
      <c r="CO159" s="136"/>
      <c r="CP159" s="136"/>
      <c r="CQ159" s="136"/>
      <c r="CR159" s="136"/>
      <c r="CS159" s="136"/>
      <c r="CT159" s="136"/>
      <c r="CU159" s="136"/>
      <c r="CV159" s="136"/>
      <c r="CW159" s="136"/>
      <c r="CX159" s="136"/>
      <c r="CY159" s="136"/>
      <c r="CZ159" s="136"/>
      <c r="DA159" s="136"/>
      <c r="DB159" s="136"/>
      <c r="DC159" s="136"/>
      <c r="DD159" s="136"/>
      <c r="DE159" s="136"/>
      <c r="DF159" s="136"/>
      <c r="DG159" s="136"/>
      <c r="DH159" s="136"/>
      <c r="DI159" s="136"/>
      <c r="DJ159" s="136"/>
      <c r="DK159" s="136"/>
      <c r="DL159" s="136"/>
      <c r="DM159" s="136"/>
      <c r="DN159" s="136"/>
      <c r="DO159" s="136"/>
      <c r="DP159" s="136"/>
      <c r="DQ159" s="136"/>
      <c r="DR159" s="136"/>
      <c r="DS159" s="136"/>
      <c r="DT159" s="136"/>
      <c r="DU159" s="136"/>
      <c r="DV159" s="136"/>
      <c r="DW159" s="136"/>
      <c r="DX159" s="136"/>
      <c r="DY159" s="136"/>
      <c r="DZ159" s="136"/>
      <c r="EA159" s="136"/>
      <c r="EB159" s="136"/>
      <c r="EC159" s="136"/>
      <c r="ED159" s="136"/>
      <c r="EE159" s="136"/>
      <c r="EF159" s="136"/>
      <c r="EG159" s="136"/>
      <c r="EH159" s="136"/>
      <c r="EI159" s="136"/>
      <c r="EJ159" s="136"/>
      <c r="EK159" s="136"/>
      <c r="EL159" s="136"/>
      <c r="EM159" s="136"/>
      <c r="EN159" s="136"/>
      <c r="EO159" s="136"/>
      <c r="EP159" s="136"/>
      <c r="EQ159" s="136"/>
      <c r="ER159" s="136"/>
      <c r="ES159" s="136"/>
      <c r="ET159" s="136"/>
      <c r="EU159" s="136"/>
      <c r="EV159" s="136"/>
      <c r="EW159" s="136"/>
      <c r="EX159" s="136"/>
      <c r="EY159" s="136"/>
      <c r="EZ159" s="136"/>
      <c r="FA159" s="136"/>
      <c r="FB159" s="136"/>
      <c r="FC159" s="136"/>
      <c r="FD159" s="136"/>
      <c r="FE159" s="136"/>
      <c r="FF159" s="136"/>
      <c r="FG159" s="136"/>
      <c r="FH159" s="136"/>
      <c r="FI159" s="136"/>
      <c r="FJ159" s="136"/>
      <c r="FK159" s="136"/>
      <c r="FL159" s="136"/>
      <c r="FM159" s="136"/>
      <c r="FN159" s="136"/>
      <c r="FO159" s="136"/>
      <c r="FP159" s="136"/>
      <c r="FQ159" s="136"/>
      <c r="FR159" s="136"/>
      <c r="FS159" s="136"/>
      <c r="FT159" s="136"/>
      <c r="FU159" s="136"/>
      <c r="FV159" s="136"/>
      <c r="FW159" s="136"/>
      <c r="FX159" s="136"/>
      <c r="FY159" s="136"/>
      <c r="FZ159" s="136"/>
      <c r="GA159" s="136"/>
      <c r="GB159" s="136"/>
      <c r="GC159" s="136"/>
      <c r="GD159" s="136"/>
      <c r="GE159" s="136"/>
      <c r="GF159" s="136"/>
      <c r="GG159" s="136"/>
      <c r="GH159" s="136"/>
      <c r="GI159" s="136"/>
      <c r="GJ159" s="136"/>
      <c r="GK159" s="136"/>
      <c r="GL159" s="136"/>
      <c r="GM159" s="136"/>
      <c r="GN159" s="136"/>
      <c r="GO159" s="136"/>
      <c r="GP159" s="136"/>
      <c r="GQ159" s="136"/>
      <c r="GR159" s="136"/>
      <c r="GS159" s="136"/>
      <c r="GT159" s="136"/>
      <c r="GU159" s="136"/>
      <c r="GV159" s="136"/>
      <c r="GW159" s="136"/>
      <c r="GX159" s="136"/>
      <c r="GY159" s="136"/>
      <c r="GZ159" s="136"/>
      <c r="HA159" s="136"/>
      <c r="HB159" s="136"/>
      <c r="HC159" s="136"/>
      <c r="HD159" s="136"/>
      <c r="HE159" s="136"/>
      <c r="HF159" s="136"/>
      <c r="HG159" s="136"/>
      <c r="HH159" s="136"/>
      <c r="HI159" s="136"/>
      <c r="HJ159" s="136"/>
      <c r="HK159" s="136"/>
      <c r="HL159" s="136"/>
      <c r="HM159" s="136"/>
      <c r="HN159" s="136"/>
      <c r="HO159" s="136"/>
      <c r="HP159" s="136"/>
      <c r="HQ159" s="136"/>
      <c r="HR159" s="136"/>
      <c r="HS159" s="136"/>
      <c r="HT159" s="136"/>
      <c r="HU159" s="136"/>
      <c r="HV159" s="136"/>
      <c r="HW159" s="136"/>
      <c r="HX159" s="136"/>
      <c r="HY159" s="136"/>
      <c r="HZ159" s="136"/>
      <c r="IA159" s="136"/>
      <c r="IB159" s="136"/>
      <c r="IC159" s="136"/>
      <c r="ID159" s="136"/>
      <c r="IE159" s="136"/>
      <c r="IF159" s="136"/>
      <c r="IG159" s="136"/>
      <c r="IH159" s="136"/>
      <c r="II159" s="136"/>
      <c r="IJ159" s="136"/>
      <c r="IK159" s="136"/>
      <c r="IL159" s="136"/>
      <c r="IM159" s="136"/>
      <c r="IN159" s="136"/>
      <c r="IO159" s="136"/>
      <c r="IP159" s="136"/>
      <c r="IQ159" s="136"/>
      <c r="IR159" s="136"/>
      <c r="IS159" s="136"/>
      <c r="IT159" s="136"/>
      <c r="IU159" s="136"/>
    </row>
    <row r="160" spans="1:255" ht="185.25" x14ac:dyDescent="0.2">
      <c r="A160" s="242" t="str">
        <f>'HECVAT - Full'!A160</f>
        <v>DCTR-02</v>
      </c>
      <c r="B160" s="242" t="str">
        <f>VLOOKUP(A160,'HECVAT - Full'!A$24:B$312,2,FALSE)</f>
        <v>Does the hosting provider have a SOC 2 Type 2 report available?</v>
      </c>
      <c r="C160" s="245" t="s">
        <v>2858</v>
      </c>
      <c r="D160" s="250" t="s">
        <v>2859</v>
      </c>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6"/>
      <c r="AN160" s="136"/>
      <c r="AO160" s="136"/>
      <c r="AP160" s="136"/>
      <c r="AQ160" s="136"/>
      <c r="AR160" s="136"/>
      <c r="AS160" s="136"/>
      <c r="AT160" s="136"/>
      <c r="AU160" s="136"/>
      <c r="AV160" s="136"/>
      <c r="AW160" s="136"/>
      <c r="AX160" s="136"/>
      <c r="AY160" s="136"/>
      <c r="AZ160" s="136"/>
      <c r="BA160" s="136"/>
      <c r="BB160" s="136"/>
      <c r="BC160" s="136"/>
      <c r="BD160" s="136"/>
      <c r="BE160" s="136"/>
      <c r="BF160" s="136"/>
      <c r="BG160" s="136"/>
      <c r="BH160" s="136"/>
      <c r="BI160" s="136"/>
      <c r="BJ160" s="136"/>
      <c r="BK160" s="136"/>
      <c r="BL160" s="136"/>
      <c r="BM160" s="136"/>
      <c r="BN160" s="136"/>
      <c r="BO160" s="136"/>
      <c r="BP160" s="136"/>
      <c r="BQ160" s="136"/>
      <c r="BR160" s="136"/>
      <c r="BS160" s="136"/>
      <c r="BT160" s="136"/>
      <c r="BU160" s="136"/>
      <c r="BV160" s="136"/>
      <c r="BW160" s="136"/>
      <c r="BX160" s="136"/>
      <c r="BY160" s="136"/>
      <c r="BZ160" s="136"/>
      <c r="CA160" s="136"/>
      <c r="CB160" s="136"/>
      <c r="CC160" s="136"/>
      <c r="CD160" s="136"/>
      <c r="CE160" s="136"/>
      <c r="CF160" s="136"/>
      <c r="CG160" s="136"/>
      <c r="CH160" s="136"/>
      <c r="CI160" s="136"/>
      <c r="CJ160" s="136"/>
      <c r="CK160" s="136"/>
      <c r="CL160" s="136"/>
      <c r="CM160" s="136"/>
      <c r="CN160" s="136"/>
      <c r="CO160" s="136"/>
      <c r="CP160" s="136"/>
      <c r="CQ160" s="136"/>
      <c r="CR160" s="136"/>
      <c r="CS160" s="136"/>
      <c r="CT160" s="136"/>
      <c r="CU160" s="136"/>
      <c r="CV160" s="136"/>
      <c r="CW160" s="136"/>
      <c r="CX160" s="136"/>
      <c r="CY160" s="136"/>
      <c r="CZ160" s="136"/>
      <c r="DA160" s="136"/>
      <c r="DB160" s="136"/>
      <c r="DC160" s="136"/>
      <c r="DD160" s="136"/>
      <c r="DE160" s="136"/>
      <c r="DF160" s="136"/>
      <c r="DG160" s="136"/>
      <c r="DH160" s="136"/>
      <c r="DI160" s="136"/>
      <c r="DJ160" s="136"/>
      <c r="DK160" s="136"/>
      <c r="DL160" s="136"/>
      <c r="DM160" s="136"/>
      <c r="DN160" s="136"/>
      <c r="DO160" s="136"/>
      <c r="DP160" s="136"/>
      <c r="DQ160" s="136"/>
      <c r="DR160" s="136"/>
      <c r="DS160" s="136"/>
      <c r="DT160" s="136"/>
      <c r="DU160" s="136"/>
      <c r="DV160" s="136"/>
      <c r="DW160" s="136"/>
      <c r="DX160" s="136"/>
      <c r="DY160" s="136"/>
      <c r="DZ160" s="136"/>
      <c r="EA160" s="136"/>
      <c r="EB160" s="136"/>
      <c r="EC160" s="136"/>
      <c r="ED160" s="136"/>
      <c r="EE160" s="136"/>
      <c r="EF160" s="136"/>
      <c r="EG160" s="136"/>
      <c r="EH160" s="136"/>
      <c r="EI160" s="136"/>
      <c r="EJ160" s="136"/>
      <c r="EK160" s="136"/>
      <c r="EL160" s="136"/>
      <c r="EM160" s="136"/>
      <c r="EN160" s="136"/>
      <c r="EO160" s="136"/>
      <c r="EP160" s="136"/>
      <c r="EQ160" s="136"/>
      <c r="ER160" s="136"/>
      <c r="ES160" s="136"/>
      <c r="ET160" s="136"/>
      <c r="EU160" s="136"/>
      <c r="EV160" s="136"/>
      <c r="EW160" s="136"/>
      <c r="EX160" s="136"/>
      <c r="EY160" s="136"/>
      <c r="EZ160" s="136"/>
      <c r="FA160" s="136"/>
      <c r="FB160" s="136"/>
      <c r="FC160" s="136"/>
      <c r="FD160" s="136"/>
      <c r="FE160" s="136"/>
      <c r="FF160" s="136"/>
      <c r="FG160" s="136"/>
      <c r="FH160" s="136"/>
      <c r="FI160" s="136"/>
      <c r="FJ160" s="136"/>
      <c r="FK160" s="136"/>
      <c r="FL160" s="136"/>
      <c r="FM160" s="136"/>
      <c r="FN160" s="136"/>
      <c r="FO160" s="136"/>
      <c r="FP160" s="136"/>
      <c r="FQ160" s="136"/>
      <c r="FR160" s="136"/>
      <c r="FS160" s="136"/>
      <c r="FT160" s="136"/>
      <c r="FU160" s="136"/>
      <c r="FV160" s="136"/>
      <c r="FW160" s="136"/>
      <c r="FX160" s="136"/>
      <c r="FY160" s="136"/>
      <c r="FZ160" s="136"/>
      <c r="GA160" s="136"/>
      <c r="GB160" s="136"/>
      <c r="GC160" s="136"/>
      <c r="GD160" s="136"/>
      <c r="GE160" s="136"/>
      <c r="GF160" s="136"/>
      <c r="GG160" s="136"/>
      <c r="GH160" s="136"/>
      <c r="GI160" s="136"/>
      <c r="GJ160" s="136"/>
      <c r="GK160" s="136"/>
      <c r="GL160" s="136"/>
      <c r="GM160" s="136"/>
      <c r="GN160" s="136"/>
      <c r="GO160" s="136"/>
      <c r="GP160" s="136"/>
      <c r="GQ160" s="136"/>
      <c r="GR160" s="136"/>
      <c r="GS160" s="136"/>
      <c r="GT160" s="136"/>
      <c r="GU160" s="136"/>
      <c r="GV160" s="136"/>
      <c r="GW160" s="136"/>
      <c r="GX160" s="136"/>
      <c r="GY160" s="136"/>
      <c r="GZ160" s="136"/>
      <c r="HA160" s="136"/>
      <c r="HB160" s="136"/>
      <c r="HC160" s="136"/>
      <c r="HD160" s="136"/>
      <c r="HE160" s="136"/>
      <c r="HF160" s="136"/>
      <c r="HG160" s="136"/>
      <c r="HH160" s="136"/>
      <c r="HI160" s="136"/>
      <c r="HJ160" s="136"/>
      <c r="HK160" s="136"/>
      <c r="HL160" s="136"/>
      <c r="HM160" s="136"/>
      <c r="HN160" s="136"/>
      <c r="HO160" s="136"/>
      <c r="HP160" s="136"/>
      <c r="HQ160" s="136"/>
      <c r="HR160" s="136"/>
      <c r="HS160" s="136"/>
      <c r="HT160" s="136"/>
      <c r="HU160" s="136"/>
      <c r="HV160" s="136"/>
      <c r="HW160" s="136"/>
      <c r="HX160" s="136"/>
      <c r="HY160" s="136"/>
      <c r="HZ160" s="136"/>
      <c r="IA160" s="136"/>
      <c r="IB160" s="136"/>
      <c r="IC160" s="136"/>
      <c r="ID160" s="136"/>
      <c r="IE160" s="136"/>
      <c r="IF160" s="136"/>
      <c r="IG160" s="136"/>
      <c r="IH160" s="136"/>
      <c r="II160" s="136"/>
      <c r="IJ160" s="136"/>
      <c r="IK160" s="136"/>
      <c r="IL160" s="136"/>
      <c r="IM160" s="136"/>
      <c r="IN160" s="136"/>
      <c r="IO160" s="136"/>
      <c r="IP160" s="136"/>
      <c r="IQ160" s="136"/>
      <c r="IR160" s="136"/>
      <c r="IS160" s="136"/>
      <c r="IT160" s="136"/>
      <c r="IU160" s="136"/>
    </row>
    <row r="161" spans="1:255" ht="79.5" customHeight="1" x14ac:dyDescent="0.2">
      <c r="A161" s="242" t="str">
        <f>'HECVAT - Full'!A161</f>
        <v>DCTR-03</v>
      </c>
      <c r="B161" s="242" t="str">
        <f>VLOOKUP(A161,'HECVAT - Full'!A$24:B$312,2,FALSE)</f>
        <v>Are the data centers staffed 24 hours a day, seven days a week (i.e., 24x7x365)?</v>
      </c>
      <c r="C161" s="243" t="s">
        <v>2860</v>
      </c>
      <c r="D161" s="253" t="s">
        <v>2861</v>
      </c>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36"/>
      <c r="BF161" s="136"/>
      <c r="BG161" s="136"/>
      <c r="BH161" s="136"/>
      <c r="BI161" s="136"/>
      <c r="BJ161" s="136"/>
      <c r="BK161" s="136"/>
      <c r="BL161" s="136"/>
      <c r="BM161" s="136"/>
      <c r="BN161" s="136"/>
      <c r="BO161" s="136"/>
      <c r="BP161" s="136"/>
      <c r="BQ161" s="136"/>
      <c r="BR161" s="136"/>
      <c r="BS161" s="136"/>
      <c r="BT161" s="136"/>
      <c r="BU161" s="136"/>
      <c r="BV161" s="136"/>
      <c r="BW161" s="136"/>
      <c r="BX161" s="136"/>
      <c r="BY161" s="136"/>
      <c r="BZ161" s="136"/>
      <c r="CA161" s="136"/>
      <c r="CB161" s="136"/>
      <c r="CC161" s="136"/>
      <c r="CD161" s="136"/>
      <c r="CE161" s="136"/>
      <c r="CF161" s="136"/>
      <c r="CG161" s="136"/>
      <c r="CH161" s="136"/>
      <c r="CI161" s="136"/>
      <c r="CJ161" s="136"/>
      <c r="CK161" s="136"/>
      <c r="CL161" s="136"/>
      <c r="CM161" s="136"/>
      <c r="CN161" s="136"/>
      <c r="CO161" s="136"/>
      <c r="CP161" s="136"/>
      <c r="CQ161" s="136"/>
      <c r="CR161" s="136"/>
      <c r="CS161" s="136"/>
      <c r="CT161" s="136"/>
      <c r="CU161" s="136"/>
      <c r="CV161" s="136"/>
      <c r="CW161" s="136"/>
      <c r="CX161" s="136"/>
      <c r="CY161" s="136"/>
      <c r="CZ161" s="136"/>
      <c r="DA161" s="136"/>
      <c r="DB161" s="136"/>
      <c r="DC161" s="136"/>
      <c r="DD161" s="136"/>
      <c r="DE161" s="136"/>
      <c r="DF161" s="136"/>
      <c r="DG161" s="136"/>
      <c r="DH161" s="136"/>
      <c r="DI161" s="136"/>
      <c r="DJ161" s="136"/>
      <c r="DK161" s="136"/>
      <c r="DL161" s="136"/>
      <c r="DM161" s="136"/>
      <c r="DN161" s="136"/>
      <c r="DO161" s="136"/>
      <c r="DP161" s="136"/>
      <c r="DQ161" s="136"/>
      <c r="DR161" s="136"/>
      <c r="DS161" s="136"/>
      <c r="DT161" s="136"/>
      <c r="DU161" s="136"/>
      <c r="DV161" s="136"/>
      <c r="DW161" s="136"/>
      <c r="DX161" s="136"/>
      <c r="DY161" s="136"/>
      <c r="DZ161" s="136"/>
      <c r="EA161" s="136"/>
      <c r="EB161" s="136"/>
      <c r="EC161" s="136"/>
      <c r="ED161" s="136"/>
      <c r="EE161" s="136"/>
      <c r="EF161" s="136"/>
      <c r="EG161" s="136"/>
      <c r="EH161" s="136"/>
      <c r="EI161" s="136"/>
      <c r="EJ161" s="136"/>
      <c r="EK161" s="136"/>
      <c r="EL161" s="136"/>
      <c r="EM161" s="136"/>
      <c r="EN161" s="136"/>
      <c r="EO161" s="136"/>
      <c r="EP161" s="136"/>
      <c r="EQ161" s="136"/>
      <c r="ER161" s="136"/>
      <c r="ES161" s="136"/>
      <c r="ET161" s="136"/>
      <c r="EU161" s="136"/>
      <c r="EV161" s="136"/>
      <c r="EW161" s="136"/>
      <c r="EX161" s="136"/>
      <c r="EY161" s="136"/>
      <c r="EZ161" s="136"/>
      <c r="FA161" s="136"/>
      <c r="FB161" s="136"/>
      <c r="FC161" s="136"/>
      <c r="FD161" s="136"/>
      <c r="FE161" s="136"/>
      <c r="FF161" s="136"/>
      <c r="FG161" s="136"/>
      <c r="FH161" s="136"/>
      <c r="FI161" s="136"/>
      <c r="FJ161" s="136"/>
      <c r="FK161" s="136"/>
      <c r="FL161" s="136"/>
      <c r="FM161" s="136"/>
      <c r="FN161" s="136"/>
      <c r="FO161" s="136"/>
      <c r="FP161" s="136"/>
      <c r="FQ161" s="136"/>
      <c r="FR161" s="136"/>
      <c r="FS161" s="136"/>
      <c r="FT161" s="136"/>
      <c r="FU161" s="136"/>
      <c r="FV161" s="136"/>
      <c r="FW161" s="136"/>
      <c r="FX161" s="136"/>
      <c r="FY161" s="136"/>
      <c r="FZ161" s="136"/>
      <c r="GA161" s="136"/>
      <c r="GB161" s="136"/>
      <c r="GC161" s="136"/>
      <c r="GD161" s="136"/>
      <c r="GE161" s="136"/>
      <c r="GF161" s="136"/>
      <c r="GG161" s="136"/>
      <c r="GH161" s="136"/>
      <c r="GI161" s="136"/>
      <c r="GJ161" s="136"/>
      <c r="GK161" s="136"/>
      <c r="GL161" s="136"/>
      <c r="GM161" s="136"/>
      <c r="GN161" s="136"/>
      <c r="GO161" s="136"/>
      <c r="GP161" s="136"/>
      <c r="GQ161" s="136"/>
      <c r="GR161" s="136"/>
      <c r="GS161" s="136"/>
      <c r="GT161" s="136"/>
      <c r="GU161" s="136"/>
      <c r="GV161" s="136"/>
      <c r="GW161" s="136"/>
      <c r="GX161" s="136"/>
      <c r="GY161" s="136"/>
      <c r="GZ161" s="136"/>
      <c r="HA161" s="136"/>
      <c r="HB161" s="136"/>
      <c r="HC161" s="136"/>
      <c r="HD161" s="136"/>
      <c r="HE161" s="136"/>
      <c r="HF161" s="136"/>
      <c r="HG161" s="136"/>
      <c r="HH161" s="136"/>
      <c r="HI161" s="136"/>
      <c r="HJ161" s="136"/>
      <c r="HK161" s="136"/>
      <c r="HL161" s="136"/>
      <c r="HM161" s="136"/>
      <c r="HN161" s="136"/>
      <c r="HO161" s="136"/>
      <c r="HP161" s="136"/>
      <c r="HQ161" s="136"/>
      <c r="HR161" s="136"/>
      <c r="HS161" s="136"/>
      <c r="HT161" s="136"/>
      <c r="HU161" s="136"/>
      <c r="HV161" s="136"/>
      <c r="HW161" s="136"/>
      <c r="HX161" s="136"/>
      <c r="HY161" s="136"/>
      <c r="HZ161" s="136"/>
      <c r="IA161" s="136"/>
      <c r="IB161" s="136"/>
      <c r="IC161" s="136"/>
      <c r="ID161" s="136"/>
      <c r="IE161" s="136"/>
      <c r="IF161" s="136"/>
      <c r="IG161" s="136"/>
      <c r="IH161" s="136"/>
      <c r="II161" s="136"/>
      <c r="IJ161" s="136"/>
      <c r="IK161" s="136"/>
      <c r="IL161" s="136"/>
      <c r="IM161" s="136"/>
      <c r="IN161" s="136"/>
      <c r="IO161" s="136"/>
      <c r="IP161" s="136"/>
      <c r="IQ161" s="136"/>
      <c r="IR161" s="136"/>
      <c r="IS161" s="136"/>
      <c r="IT161" s="136"/>
      <c r="IU161" s="136"/>
    </row>
    <row r="162" spans="1:255" ht="64.5" customHeight="1" x14ac:dyDescent="0.2">
      <c r="A162" s="242" t="str">
        <f>'HECVAT - Full'!A162</f>
        <v>DCTR-04</v>
      </c>
      <c r="B162" s="242" t="str">
        <f>VLOOKUP(A162,'HECVAT - Full'!A$24:B$312,2,FALSE)</f>
        <v>Do any of your servers reside in a co-located data center?</v>
      </c>
      <c r="C162" s="243" t="s">
        <v>2862</v>
      </c>
      <c r="D162" s="253" t="s">
        <v>2863</v>
      </c>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6"/>
      <c r="AN162" s="136"/>
      <c r="AO162" s="136"/>
      <c r="AP162" s="136"/>
      <c r="AQ162" s="136"/>
      <c r="AR162" s="136"/>
      <c r="AS162" s="136"/>
      <c r="AT162" s="136"/>
      <c r="AU162" s="136"/>
      <c r="AV162" s="136"/>
      <c r="AW162" s="136"/>
      <c r="AX162" s="136"/>
      <c r="AY162" s="136"/>
      <c r="AZ162" s="136"/>
      <c r="BA162" s="136"/>
      <c r="BB162" s="136"/>
      <c r="BC162" s="136"/>
      <c r="BD162" s="136"/>
      <c r="BE162" s="136"/>
      <c r="BF162" s="136"/>
      <c r="BG162" s="136"/>
      <c r="BH162" s="136"/>
      <c r="BI162" s="136"/>
      <c r="BJ162" s="136"/>
      <c r="BK162" s="136"/>
      <c r="BL162" s="136"/>
      <c r="BM162" s="136"/>
      <c r="BN162" s="136"/>
      <c r="BO162" s="136"/>
      <c r="BP162" s="136"/>
      <c r="BQ162" s="136"/>
      <c r="BR162" s="136"/>
      <c r="BS162" s="136"/>
      <c r="BT162" s="136"/>
      <c r="BU162" s="136"/>
      <c r="BV162" s="136"/>
      <c r="BW162" s="136"/>
      <c r="BX162" s="136"/>
      <c r="BY162" s="136"/>
      <c r="BZ162" s="136"/>
      <c r="CA162" s="136"/>
      <c r="CB162" s="136"/>
      <c r="CC162" s="136"/>
      <c r="CD162" s="136"/>
      <c r="CE162" s="136"/>
      <c r="CF162" s="136"/>
      <c r="CG162" s="136"/>
      <c r="CH162" s="136"/>
      <c r="CI162" s="136"/>
      <c r="CJ162" s="136"/>
      <c r="CK162" s="136"/>
      <c r="CL162" s="136"/>
      <c r="CM162" s="136"/>
      <c r="CN162" s="136"/>
      <c r="CO162" s="136"/>
      <c r="CP162" s="136"/>
      <c r="CQ162" s="136"/>
      <c r="CR162" s="136"/>
      <c r="CS162" s="136"/>
      <c r="CT162" s="136"/>
      <c r="CU162" s="136"/>
      <c r="CV162" s="136"/>
      <c r="CW162" s="136"/>
      <c r="CX162" s="136"/>
      <c r="CY162" s="136"/>
      <c r="CZ162" s="136"/>
      <c r="DA162" s="136"/>
      <c r="DB162" s="136"/>
      <c r="DC162" s="136"/>
      <c r="DD162" s="136"/>
      <c r="DE162" s="136"/>
      <c r="DF162" s="136"/>
      <c r="DG162" s="136"/>
      <c r="DH162" s="136"/>
      <c r="DI162" s="136"/>
      <c r="DJ162" s="136"/>
      <c r="DK162" s="136"/>
      <c r="DL162" s="136"/>
      <c r="DM162" s="136"/>
      <c r="DN162" s="136"/>
      <c r="DO162" s="136"/>
      <c r="DP162" s="136"/>
      <c r="DQ162" s="136"/>
      <c r="DR162" s="136"/>
      <c r="DS162" s="136"/>
      <c r="DT162" s="136"/>
      <c r="DU162" s="136"/>
      <c r="DV162" s="136"/>
      <c r="DW162" s="136"/>
      <c r="DX162" s="136"/>
      <c r="DY162" s="136"/>
      <c r="DZ162" s="136"/>
      <c r="EA162" s="136"/>
      <c r="EB162" s="136"/>
      <c r="EC162" s="136"/>
      <c r="ED162" s="136"/>
      <c r="EE162" s="136"/>
      <c r="EF162" s="136"/>
      <c r="EG162" s="136"/>
      <c r="EH162" s="136"/>
      <c r="EI162" s="136"/>
      <c r="EJ162" s="136"/>
      <c r="EK162" s="136"/>
      <c r="EL162" s="136"/>
      <c r="EM162" s="136"/>
      <c r="EN162" s="136"/>
      <c r="EO162" s="136"/>
      <c r="EP162" s="136"/>
      <c r="EQ162" s="136"/>
      <c r="ER162" s="136"/>
      <c r="ES162" s="136"/>
      <c r="ET162" s="136"/>
      <c r="EU162" s="136"/>
      <c r="EV162" s="136"/>
      <c r="EW162" s="136"/>
      <c r="EX162" s="136"/>
      <c r="EY162" s="136"/>
      <c r="EZ162" s="136"/>
      <c r="FA162" s="136"/>
      <c r="FB162" s="136"/>
      <c r="FC162" s="136"/>
      <c r="FD162" s="136"/>
      <c r="FE162" s="136"/>
      <c r="FF162" s="136"/>
      <c r="FG162" s="136"/>
      <c r="FH162" s="136"/>
      <c r="FI162" s="136"/>
      <c r="FJ162" s="136"/>
      <c r="FK162" s="136"/>
      <c r="FL162" s="136"/>
      <c r="FM162" s="136"/>
      <c r="FN162" s="136"/>
      <c r="FO162" s="136"/>
      <c r="FP162" s="136"/>
      <c r="FQ162" s="136"/>
      <c r="FR162" s="136"/>
      <c r="FS162" s="136"/>
      <c r="FT162" s="136"/>
      <c r="FU162" s="136"/>
      <c r="FV162" s="136"/>
      <c r="FW162" s="136"/>
      <c r="FX162" s="136"/>
      <c r="FY162" s="136"/>
      <c r="FZ162" s="136"/>
      <c r="GA162" s="136"/>
      <c r="GB162" s="136"/>
      <c r="GC162" s="136"/>
      <c r="GD162" s="136"/>
      <c r="GE162" s="136"/>
      <c r="GF162" s="136"/>
      <c r="GG162" s="136"/>
      <c r="GH162" s="136"/>
      <c r="GI162" s="136"/>
      <c r="GJ162" s="136"/>
      <c r="GK162" s="136"/>
      <c r="GL162" s="136"/>
      <c r="GM162" s="136"/>
      <c r="GN162" s="136"/>
      <c r="GO162" s="136"/>
      <c r="GP162" s="136"/>
      <c r="GQ162" s="136"/>
      <c r="GR162" s="136"/>
      <c r="GS162" s="136"/>
      <c r="GT162" s="136"/>
      <c r="GU162" s="136"/>
      <c r="GV162" s="136"/>
      <c r="GW162" s="136"/>
      <c r="GX162" s="136"/>
      <c r="GY162" s="136"/>
      <c r="GZ162" s="136"/>
      <c r="HA162" s="136"/>
      <c r="HB162" s="136"/>
      <c r="HC162" s="136"/>
      <c r="HD162" s="136"/>
      <c r="HE162" s="136"/>
      <c r="HF162" s="136"/>
      <c r="HG162" s="136"/>
      <c r="HH162" s="136"/>
      <c r="HI162" s="136"/>
      <c r="HJ162" s="136"/>
      <c r="HK162" s="136"/>
      <c r="HL162" s="136"/>
      <c r="HM162" s="136"/>
      <c r="HN162" s="136"/>
      <c r="HO162" s="136"/>
      <c r="HP162" s="136"/>
      <c r="HQ162" s="136"/>
      <c r="HR162" s="136"/>
      <c r="HS162" s="136"/>
      <c r="HT162" s="136"/>
      <c r="HU162" s="136"/>
      <c r="HV162" s="136"/>
      <c r="HW162" s="136"/>
      <c r="HX162" s="136"/>
      <c r="HY162" s="136"/>
      <c r="HZ162" s="136"/>
      <c r="IA162" s="136"/>
      <c r="IB162" s="136"/>
      <c r="IC162" s="136"/>
      <c r="ID162" s="136"/>
      <c r="IE162" s="136"/>
      <c r="IF162" s="136"/>
      <c r="IG162" s="136"/>
      <c r="IH162" s="136"/>
      <c r="II162" s="136"/>
      <c r="IJ162" s="136"/>
      <c r="IK162" s="136"/>
      <c r="IL162" s="136"/>
      <c r="IM162" s="136"/>
      <c r="IN162" s="136"/>
      <c r="IO162" s="136"/>
      <c r="IP162" s="136"/>
      <c r="IQ162" s="136"/>
      <c r="IR162" s="136"/>
      <c r="IS162" s="136"/>
      <c r="IT162" s="136"/>
      <c r="IU162" s="136"/>
    </row>
    <row r="163" spans="1:255" ht="92.25" customHeight="1" x14ac:dyDescent="0.2">
      <c r="A163" s="242" t="str">
        <f>'HECVAT - Full'!A163</f>
        <v>DCTR-05</v>
      </c>
      <c r="B163" s="242" t="str">
        <f>VLOOKUP(A163,'HECVAT - Full'!A$24:B$312,2,FALSE)</f>
        <v>Are your servers separated from other companies via a physical barrier, such as a cage or hardened walls?</v>
      </c>
      <c r="C163" s="245" t="s">
        <v>2864</v>
      </c>
      <c r="D163" s="250" t="s">
        <v>2865</v>
      </c>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6"/>
      <c r="AN163" s="136"/>
      <c r="AO163" s="136"/>
      <c r="AP163" s="136"/>
      <c r="AQ163" s="136"/>
      <c r="AR163" s="136"/>
      <c r="AS163" s="136"/>
      <c r="AT163" s="136"/>
      <c r="AU163" s="136"/>
      <c r="AV163" s="136"/>
      <c r="AW163" s="136"/>
      <c r="AX163" s="136"/>
      <c r="AY163" s="136"/>
      <c r="AZ163" s="136"/>
      <c r="BA163" s="136"/>
      <c r="BB163" s="136"/>
      <c r="BC163" s="136"/>
      <c r="BD163" s="136"/>
      <c r="BE163" s="136"/>
      <c r="BF163" s="136"/>
      <c r="BG163" s="136"/>
      <c r="BH163" s="136"/>
      <c r="BI163" s="136"/>
      <c r="BJ163" s="136"/>
      <c r="BK163" s="136"/>
      <c r="BL163" s="136"/>
      <c r="BM163" s="136"/>
      <c r="BN163" s="136"/>
      <c r="BO163" s="136"/>
      <c r="BP163" s="136"/>
      <c r="BQ163" s="136"/>
      <c r="BR163" s="136"/>
      <c r="BS163" s="136"/>
      <c r="BT163" s="136"/>
      <c r="BU163" s="136"/>
      <c r="BV163" s="136"/>
      <c r="BW163" s="136"/>
      <c r="BX163" s="136"/>
      <c r="BY163" s="136"/>
      <c r="BZ163" s="136"/>
      <c r="CA163" s="136"/>
      <c r="CB163" s="136"/>
      <c r="CC163" s="136"/>
      <c r="CD163" s="136"/>
      <c r="CE163" s="136"/>
      <c r="CF163" s="136"/>
      <c r="CG163" s="136"/>
      <c r="CH163" s="136"/>
      <c r="CI163" s="136"/>
      <c r="CJ163" s="136"/>
      <c r="CK163" s="136"/>
      <c r="CL163" s="136"/>
      <c r="CM163" s="136"/>
      <c r="CN163" s="136"/>
      <c r="CO163" s="136"/>
      <c r="CP163" s="136"/>
      <c r="CQ163" s="136"/>
      <c r="CR163" s="136"/>
      <c r="CS163" s="136"/>
      <c r="CT163" s="136"/>
      <c r="CU163" s="136"/>
      <c r="CV163" s="136"/>
      <c r="CW163" s="136"/>
      <c r="CX163" s="136"/>
      <c r="CY163" s="136"/>
      <c r="CZ163" s="136"/>
      <c r="DA163" s="136"/>
      <c r="DB163" s="136"/>
      <c r="DC163" s="136"/>
      <c r="DD163" s="136"/>
      <c r="DE163" s="136"/>
      <c r="DF163" s="136"/>
      <c r="DG163" s="136"/>
      <c r="DH163" s="136"/>
      <c r="DI163" s="136"/>
      <c r="DJ163" s="136"/>
      <c r="DK163" s="136"/>
      <c r="DL163" s="136"/>
      <c r="DM163" s="136"/>
      <c r="DN163" s="136"/>
      <c r="DO163" s="136"/>
      <c r="DP163" s="136"/>
      <c r="DQ163" s="136"/>
      <c r="DR163" s="136"/>
      <c r="DS163" s="136"/>
      <c r="DT163" s="136"/>
      <c r="DU163" s="136"/>
      <c r="DV163" s="136"/>
      <c r="DW163" s="136"/>
      <c r="DX163" s="136"/>
      <c r="DY163" s="136"/>
      <c r="DZ163" s="136"/>
      <c r="EA163" s="136"/>
      <c r="EB163" s="136"/>
      <c r="EC163" s="136"/>
      <c r="ED163" s="136"/>
      <c r="EE163" s="136"/>
      <c r="EF163" s="136"/>
      <c r="EG163" s="136"/>
      <c r="EH163" s="136"/>
      <c r="EI163" s="136"/>
      <c r="EJ163" s="136"/>
      <c r="EK163" s="136"/>
      <c r="EL163" s="136"/>
      <c r="EM163" s="136"/>
      <c r="EN163" s="136"/>
      <c r="EO163" s="136"/>
      <c r="EP163" s="136"/>
      <c r="EQ163" s="136"/>
      <c r="ER163" s="136"/>
      <c r="ES163" s="136"/>
      <c r="ET163" s="136"/>
      <c r="EU163" s="136"/>
      <c r="EV163" s="136"/>
      <c r="EW163" s="136"/>
      <c r="EX163" s="136"/>
      <c r="EY163" s="136"/>
      <c r="EZ163" s="136"/>
      <c r="FA163" s="136"/>
      <c r="FB163" s="136"/>
      <c r="FC163" s="136"/>
      <c r="FD163" s="136"/>
      <c r="FE163" s="136"/>
      <c r="FF163" s="136"/>
      <c r="FG163" s="136"/>
      <c r="FH163" s="136"/>
      <c r="FI163" s="136"/>
      <c r="FJ163" s="136"/>
      <c r="FK163" s="136"/>
      <c r="FL163" s="136"/>
      <c r="FM163" s="136"/>
      <c r="FN163" s="136"/>
      <c r="FO163" s="136"/>
      <c r="FP163" s="136"/>
      <c r="FQ163" s="136"/>
      <c r="FR163" s="136"/>
      <c r="FS163" s="136"/>
      <c r="FT163" s="136"/>
      <c r="FU163" s="136"/>
      <c r="FV163" s="136"/>
      <c r="FW163" s="136"/>
      <c r="FX163" s="136"/>
      <c r="FY163" s="136"/>
      <c r="FZ163" s="136"/>
      <c r="GA163" s="136"/>
      <c r="GB163" s="136"/>
      <c r="GC163" s="136"/>
      <c r="GD163" s="136"/>
      <c r="GE163" s="136"/>
      <c r="GF163" s="136"/>
      <c r="GG163" s="136"/>
      <c r="GH163" s="136"/>
      <c r="GI163" s="136"/>
      <c r="GJ163" s="136"/>
      <c r="GK163" s="136"/>
      <c r="GL163" s="136"/>
      <c r="GM163" s="136"/>
      <c r="GN163" s="136"/>
      <c r="GO163" s="136"/>
      <c r="GP163" s="136"/>
      <c r="GQ163" s="136"/>
      <c r="GR163" s="136"/>
      <c r="GS163" s="136"/>
      <c r="GT163" s="136"/>
      <c r="GU163" s="136"/>
      <c r="GV163" s="136"/>
      <c r="GW163" s="136"/>
      <c r="GX163" s="136"/>
      <c r="GY163" s="136"/>
      <c r="GZ163" s="136"/>
      <c r="HA163" s="136"/>
      <c r="HB163" s="136"/>
      <c r="HC163" s="136"/>
      <c r="HD163" s="136"/>
      <c r="HE163" s="136"/>
      <c r="HF163" s="136"/>
      <c r="HG163" s="136"/>
      <c r="HH163" s="136"/>
      <c r="HI163" s="136"/>
      <c r="HJ163" s="136"/>
      <c r="HK163" s="136"/>
      <c r="HL163" s="136"/>
      <c r="HM163" s="136"/>
      <c r="HN163" s="136"/>
      <c r="HO163" s="136"/>
      <c r="HP163" s="136"/>
      <c r="HQ163" s="136"/>
      <c r="HR163" s="136"/>
      <c r="HS163" s="136"/>
      <c r="HT163" s="136"/>
      <c r="HU163" s="136"/>
      <c r="HV163" s="136"/>
      <c r="HW163" s="136"/>
      <c r="HX163" s="136"/>
      <c r="HY163" s="136"/>
      <c r="HZ163" s="136"/>
      <c r="IA163" s="136"/>
      <c r="IB163" s="136"/>
      <c r="IC163" s="136"/>
      <c r="ID163" s="136"/>
      <c r="IE163" s="136"/>
      <c r="IF163" s="136"/>
      <c r="IG163" s="136"/>
      <c r="IH163" s="136"/>
      <c r="II163" s="136"/>
      <c r="IJ163" s="136"/>
      <c r="IK163" s="136"/>
      <c r="IL163" s="136"/>
      <c r="IM163" s="136"/>
      <c r="IN163" s="136"/>
      <c r="IO163" s="136"/>
      <c r="IP163" s="136"/>
      <c r="IQ163" s="136"/>
      <c r="IR163" s="136"/>
      <c r="IS163" s="136"/>
      <c r="IT163" s="136"/>
      <c r="IU163" s="136"/>
    </row>
    <row r="164" spans="1:255" ht="92.25" customHeight="1" x14ac:dyDescent="0.2">
      <c r="A164" s="242" t="str">
        <f>'HECVAT - Full'!A164</f>
        <v>DCTR-06</v>
      </c>
      <c r="B164" s="242" t="str">
        <f>VLOOKUP(A164,'HECVAT - Full'!A$24:B$312,2,FALSE)</f>
        <v>Does a physical barrier fully enclose the physical space preventing unauthorized physical contact with any of your devices?</v>
      </c>
      <c r="C164" s="245" t="s">
        <v>2864</v>
      </c>
      <c r="D164" s="250" t="s">
        <v>2865</v>
      </c>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6"/>
      <c r="AN164" s="136"/>
      <c r="AO164" s="136"/>
      <c r="AP164" s="136"/>
      <c r="AQ164" s="136"/>
      <c r="AR164" s="136"/>
      <c r="AS164" s="136"/>
      <c r="AT164" s="136"/>
      <c r="AU164" s="136"/>
      <c r="AV164" s="136"/>
      <c r="AW164" s="136"/>
      <c r="AX164" s="136"/>
      <c r="AY164" s="136"/>
      <c r="AZ164" s="136"/>
      <c r="BA164" s="136"/>
      <c r="BB164" s="136"/>
      <c r="BC164" s="136"/>
      <c r="BD164" s="136"/>
      <c r="BE164" s="136"/>
      <c r="BF164" s="136"/>
      <c r="BG164" s="136"/>
      <c r="BH164" s="136"/>
      <c r="BI164" s="136"/>
      <c r="BJ164" s="136"/>
      <c r="BK164" s="136"/>
      <c r="BL164" s="136"/>
      <c r="BM164" s="136"/>
      <c r="BN164" s="136"/>
      <c r="BO164" s="136"/>
      <c r="BP164" s="136"/>
      <c r="BQ164" s="136"/>
      <c r="BR164" s="136"/>
      <c r="BS164" s="136"/>
      <c r="BT164" s="136"/>
      <c r="BU164" s="136"/>
      <c r="BV164" s="136"/>
      <c r="BW164" s="136"/>
      <c r="BX164" s="136"/>
      <c r="BY164" s="136"/>
      <c r="BZ164" s="136"/>
      <c r="CA164" s="136"/>
      <c r="CB164" s="136"/>
      <c r="CC164" s="136"/>
      <c r="CD164" s="136"/>
      <c r="CE164" s="136"/>
      <c r="CF164" s="136"/>
      <c r="CG164" s="136"/>
      <c r="CH164" s="136"/>
      <c r="CI164" s="136"/>
      <c r="CJ164" s="136"/>
      <c r="CK164" s="136"/>
      <c r="CL164" s="136"/>
      <c r="CM164" s="136"/>
      <c r="CN164" s="136"/>
      <c r="CO164" s="136"/>
      <c r="CP164" s="136"/>
      <c r="CQ164" s="136"/>
      <c r="CR164" s="136"/>
      <c r="CS164" s="136"/>
      <c r="CT164" s="136"/>
      <c r="CU164" s="136"/>
      <c r="CV164" s="136"/>
      <c r="CW164" s="136"/>
      <c r="CX164" s="136"/>
      <c r="CY164" s="136"/>
      <c r="CZ164" s="136"/>
      <c r="DA164" s="136"/>
      <c r="DB164" s="136"/>
      <c r="DC164" s="136"/>
      <c r="DD164" s="136"/>
      <c r="DE164" s="136"/>
      <c r="DF164" s="136"/>
      <c r="DG164" s="136"/>
      <c r="DH164" s="136"/>
      <c r="DI164" s="136"/>
      <c r="DJ164" s="136"/>
      <c r="DK164" s="136"/>
      <c r="DL164" s="136"/>
      <c r="DM164" s="136"/>
      <c r="DN164" s="136"/>
      <c r="DO164" s="136"/>
      <c r="DP164" s="136"/>
      <c r="DQ164" s="136"/>
      <c r="DR164" s="136"/>
      <c r="DS164" s="136"/>
      <c r="DT164" s="136"/>
      <c r="DU164" s="136"/>
      <c r="DV164" s="136"/>
      <c r="DW164" s="136"/>
      <c r="DX164" s="136"/>
      <c r="DY164" s="136"/>
      <c r="DZ164" s="136"/>
      <c r="EA164" s="136"/>
      <c r="EB164" s="136"/>
      <c r="EC164" s="136"/>
      <c r="ED164" s="136"/>
      <c r="EE164" s="136"/>
      <c r="EF164" s="136"/>
      <c r="EG164" s="136"/>
      <c r="EH164" s="136"/>
      <c r="EI164" s="136"/>
      <c r="EJ164" s="136"/>
      <c r="EK164" s="136"/>
      <c r="EL164" s="136"/>
      <c r="EM164" s="136"/>
      <c r="EN164" s="136"/>
      <c r="EO164" s="136"/>
      <c r="EP164" s="136"/>
      <c r="EQ164" s="136"/>
      <c r="ER164" s="136"/>
      <c r="ES164" s="136"/>
      <c r="ET164" s="136"/>
      <c r="EU164" s="136"/>
      <c r="EV164" s="136"/>
      <c r="EW164" s="136"/>
      <c r="EX164" s="136"/>
      <c r="EY164" s="136"/>
      <c r="EZ164" s="136"/>
      <c r="FA164" s="136"/>
      <c r="FB164" s="136"/>
      <c r="FC164" s="136"/>
      <c r="FD164" s="136"/>
      <c r="FE164" s="136"/>
      <c r="FF164" s="136"/>
      <c r="FG164" s="136"/>
      <c r="FH164" s="136"/>
      <c r="FI164" s="136"/>
      <c r="FJ164" s="136"/>
      <c r="FK164" s="136"/>
      <c r="FL164" s="136"/>
      <c r="FM164" s="136"/>
      <c r="FN164" s="136"/>
      <c r="FO164" s="136"/>
      <c r="FP164" s="136"/>
      <c r="FQ164" s="136"/>
      <c r="FR164" s="136"/>
      <c r="FS164" s="136"/>
      <c r="FT164" s="136"/>
      <c r="FU164" s="136"/>
      <c r="FV164" s="136"/>
      <c r="FW164" s="136"/>
      <c r="FX164" s="136"/>
      <c r="FY164" s="136"/>
      <c r="FZ164" s="136"/>
      <c r="GA164" s="136"/>
      <c r="GB164" s="136"/>
      <c r="GC164" s="136"/>
      <c r="GD164" s="136"/>
      <c r="GE164" s="136"/>
      <c r="GF164" s="136"/>
      <c r="GG164" s="136"/>
      <c r="GH164" s="136"/>
      <c r="GI164" s="136"/>
      <c r="GJ164" s="136"/>
      <c r="GK164" s="136"/>
      <c r="GL164" s="136"/>
      <c r="GM164" s="136"/>
      <c r="GN164" s="136"/>
      <c r="GO164" s="136"/>
      <c r="GP164" s="136"/>
      <c r="GQ164" s="136"/>
      <c r="GR164" s="136"/>
      <c r="GS164" s="136"/>
      <c r="GT164" s="136"/>
      <c r="GU164" s="136"/>
      <c r="GV164" s="136"/>
      <c r="GW164" s="136"/>
      <c r="GX164" s="136"/>
      <c r="GY164" s="136"/>
      <c r="GZ164" s="136"/>
      <c r="HA164" s="136"/>
      <c r="HB164" s="136"/>
      <c r="HC164" s="136"/>
      <c r="HD164" s="136"/>
      <c r="HE164" s="136"/>
      <c r="HF164" s="136"/>
      <c r="HG164" s="136"/>
      <c r="HH164" s="136"/>
      <c r="HI164" s="136"/>
      <c r="HJ164" s="136"/>
      <c r="HK164" s="136"/>
      <c r="HL164" s="136"/>
      <c r="HM164" s="136"/>
      <c r="HN164" s="136"/>
      <c r="HO164" s="136"/>
      <c r="HP164" s="136"/>
      <c r="HQ164" s="136"/>
      <c r="HR164" s="136"/>
      <c r="HS164" s="136"/>
      <c r="HT164" s="136"/>
      <c r="HU164" s="136"/>
      <c r="HV164" s="136"/>
      <c r="HW164" s="136"/>
      <c r="HX164" s="136"/>
      <c r="HY164" s="136"/>
      <c r="HZ164" s="136"/>
      <c r="IA164" s="136"/>
      <c r="IB164" s="136"/>
      <c r="IC164" s="136"/>
      <c r="ID164" s="136"/>
      <c r="IE164" s="136"/>
      <c r="IF164" s="136"/>
      <c r="IG164" s="136"/>
      <c r="IH164" s="136"/>
      <c r="II164" s="136"/>
      <c r="IJ164" s="136"/>
      <c r="IK164" s="136"/>
      <c r="IL164" s="136"/>
      <c r="IM164" s="136"/>
      <c r="IN164" s="136"/>
      <c r="IO164" s="136"/>
      <c r="IP164" s="136"/>
      <c r="IQ164" s="136"/>
      <c r="IR164" s="136"/>
      <c r="IS164" s="136"/>
      <c r="IT164" s="136"/>
      <c r="IU164" s="136"/>
    </row>
    <row r="165" spans="1:255" ht="114" x14ac:dyDescent="0.2">
      <c r="A165" s="242" t="str">
        <f>'HECVAT - Full'!A165</f>
        <v>DCTR-07</v>
      </c>
      <c r="B165" s="242" t="str">
        <f>VLOOKUP(A165,'HECVAT - Full'!A$24:B$312,2,FALSE)</f>
        <v>Select the option that best describes the network segment that servers are connected to.</v>
      </c>
      <c r="C165" s="243" t="s">
        <v>2866</v>
      </c>
      <c r="D165" s="253" t="s">
        <v>2867</v>
      </c>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6"/>
      <c r="AN165" s="136"/>
      <c r="AO165" s="136"/>
      <c r="AP165" s="136"/>
      <c r="AQ165" s="136"/>
      <c r="AR165" s="136"/>
      <c r="AS165" s="136"/>
      <c r="AT165" s="136"/>
      <c r="AU165" s="136"/>
      <c r="AV165" s="136"/>
      <c r="AW165" s="136"/>
      <c r="AX165" s="136"/>
      <c r="AY165" s="136"/>
      <c r="AZ165" s="136"/>
      <c r="BA165" s="136"/>
      <c r="BB165" s="136"/>
      <c r="BC165" s="136"/>
      <c r="BD165" s="136"/>
      <c r="BE165" s="136"/>
      <c r="BF165" s="136"/>
      <c r="BG165" s="136"/>
      <c r="BH165" s="136"/>
      <c r="BI165" s="136"/>
      <c r="BJ165" s="136"/>
      <c r="BK165" s="136"/>
      <c r="BL165" s="136"/>
      <c r="BM165" s="136"/>
      <c r="BN165" s="136"/>
      <c r="BO165" s="136"/>
      <c r="BP165" s="136"/>
      <c r="BQ165" s="136"/>
      <c r="BR165" s="136"/>
      <c r="BS165" s="136"/>
      <c r="BT165" s="136"/>
      <c r="BU165" s="136"/>
      <c r="BV165" s="136"/>
      <c r="BW165" s="136"/>
      <c r="BX165" s="136"/>
      <c r="BY165" s="136"/>
      <c r="BZ165" s="136"/>
      <c r="CA165" s="136"/>
      <c r="CB165" s="136"/>
      <c r="CC165" s="136"/>
      <c r="CD165" s="136"/>
      <c r="CE165" s="136"/>
      <c r="CF165" s="136"/>
      <c r="CG165" s="136"/>
      <c r="CH165" s="136"/>
      <c r="CI165" s="136"/>
      <c r="CJ165" s="136"/>
      <c r="CK165" s="136"/>
      <c r="CL165" s="136"/>
      <c r="CM165" s="136"/>
      <c r="CN165" s="136"/>
      <c r="CO165" s="136"/>
      <c r="CP165" s="136"/>
      <c r="CQ165" s="136"/>
      <c r="CR165" s="136"/>
      <c r="CS165" s="136"/>
      <c r="CT165" s="136"/>
      <c r="CU165" s="136"/>
      <c r="CV165" s="136"/>
      <c r="CW165" s="136"/>
      <c r="CX165" s="136"/>
      <c r="CY165" s="136"/>
      <c r="CZ165" s="136"/>
      <c r="DA165" s="136"/>
      <c r="DB165" s="136"/>
      <c r="DC165" s="136"/>
      <c r="DD165" s="136"/>
      <c r="DE165" s="136"/>
      <c r="DF165" s="136"/>
      <c r="DG165" s="136"/>
      <c r="DH165" s="136"/>
      <c r="DI165" s="136"/>
      <c r="DJ165" s="136"/>
      <c r="DK165" s="136"/>
      <c r="DL165" s="136"/>
      <c r="DM165" s="136"/>
      <c r="DN165" s="136"/>
      <c r="DO165" s="136"/>
      <c r="DP165" s="136"/>
      <c r="DQ165" s="136"/>
      <c r="DR165" s="136"/>
      <c r="DS165" s="136"/>
      <c r="DT165" s="136"/>
      <c r="DU165" s="136"/>
      <c r="DV165" s="136"/>
      <c r="DW165" s="136"/>
      <c r="DX165" s="136"/>
      <c r="DY165" s="136"/>
      <c r="DZ165" s="136"/>
      <c r="EA165" s="136"/>
      <c r="EB165" s="136"/>
      <c r="EC165" s="136"/>
      <c r="ED165" s="136"/>
      <c r="EE165" s="136"/>
      <c r="EF165" s="136"/>
      <c r="EG165" s="136"/>
      <c r="EH165" s="136"/>
      <c r="EI165" s="136"/>
      <c r="EJ165" s="136"/>
      <c r="EK165" s="136"/>
      <c r="EL165" s="136"/>
      <c r="EM165" s="136"/>
      <c r="EN165" s="136"/>
      <c r="EO165" s="136"/>
      <c r="EP165" s="136"/>
      <c r="EQ165" s="136"/>
      <c r="ER165" s="136"/>
      <c r="ES165" s="136"/>
      <c r="ET165" s="136"/>
      <c r="EU165" s="136"/>
      <c r="EV165" s="136"/>
      <c r="EW165" s="136"/>
      <c r="EX165" s="136"/>
      <c r="EY165" s="136"/>
      <c r="EZ165" s="136"/>
      <c r="FA165" s="136"/>
      <c r="FB165" s="136"/>
      <c r="FC165" s="136"/>
      <c r="FD165" s="136"/>
      <c r="FE165" s="136"/>
      <c r="FF165" s="136"/>
      <c r="FG165" s="136"/>
      <c r="FH165" s="136"/>
      <c r="FI165" s="136"/>
      <c r="FJ165" s="136"/>
      <c r="FK165" s="136"/>
      <c r="FL165" s="136"/>
      <c r="FM165" s="136"/>
      <c r="FN165" s="136"/>
      <c r="FO165" s="136"/>
      <c r="FP165" s="136"/>
      <c r="FQ165" s="136"/>
      <c r="FR165" s="136"/>
      <c r="FS165" s="136"/>
      <c r="FT165" s="136"/>
      <c r="FU165" s="136"/>
      <c r="FV165" s="136"/>
      <c r="FW165" s="136"/>
      <c r="FX165" s="136"/>
      <c r="FY165" s="136"/>
      <c r="FZ165" s="136"/>
      <c r="GA165" s="136"/>
      <c r="GB165" s="136"/>
      <c r="GC165" s="136"/>
      <c r="GD165" s="136"/>
      <c r="GE165" s="136"/>
      <c r="GF165" s="136"/>
      <c r="GG165" s="136"/>
      <c r="GH165" s="136"/>
      <c r="GI165" s="136"/>
      <c r="GJ165" s="136"/>
      <c r="GK165" s="136"/>
      <c r="GL165" s="136"/>
      <c r="GM165" s="136"/>
      <c r="GN165" s="136"/>
      <c r="GO165" s="136"/>
      <c r="GP165" s="136"/>
      <c r="GQ165" s="136"/>
      <c r="GR165" s="136"/>
      <c r="GS165" s="136"/>
      <c r="GT165" s="136"/>
      <c r="GU165" s="136"/>
      <c r="GV165" s="136"/>
      <c r="GW165" s="136"/>
      <c r="GX165" s="136"/>
      <c r="GY165" s="136"/>
      <c r="GZ165" s="136"/>
      <c r="HA165" s="136"/>
      <c r="HB165" s="136"/>
      <c r="HC165" s="136"/>
      <c r="HD165" s="136"/>
      <c r="HE165" s="136"/>
      <c r="HF165" s="136"/>
      <c r="HG165" s="136"/>
      <c r="HH165" s="136"/>
      <c r="HI165" s="136"/>
      <c r="HJ165" s="136"/>
      <c r="HK165" s="136"/>
      <c r="HL165" s="136"/>
      <c r="HM165" s="136"/>
      <c r="HN165" s="136"/>
      <c r="HO165" s="136"/>
      <c r="HP165" s="136"/>
      <c r="HQ165" s="136"/>
      <c r="HR165" s="136"/>
      <c r="HS165" s="136"/>
      <c r="HT165" s="136"/>
      <c r="HU165" s="136"/>
      <c r="HV165" s="136"/>
      <c r="HW165" s="136"/>
      <c r="HX165" s="136"/>
      <c r="HY165" s="136"/>
      <c r="HZ165" s="136"/>
      <c r="IA165" s="136"/>
      <c r="IB165" s="136"/>
      <c r="IC165" s="136"/>
      <c r="ID165" s="136"/>
      <c r="IE165" s="136"/>
      <c r="IF165" s="136"/>
      <c r="IG165" s="136"/>
      <c r="IH165" s="136"/>
      <c r="II165" s="136"/>
      <c r="IJ165" s="136"/>
      <c r="IK165" s="136"/>
      <c r="IL165" s="136"/>
      <c r="IM165" s="136"/>
      <c r="IN165" s="136"/>
      <c r="IO165" s="136"/>
      <c r="IP165" s="136"/>
      <c r="IQ165" s="136"/>
      <c r="IR165" s="136"/>
      <c r="IS165" s="136"/>
      <c r="IT165" s="136"/>
      <c r="IU165" s="136"/>
    </row>
    <row r="166" spans="1:255" ht="85.5" x14ac:dyDescent="0.2">
      <c r="A166" s="242" t="str">
        <f>'HECVAT - Full'!A166</f>
        <v>DCTR-08</v>
      </c>
      <c r="B166" s="242" t="str">
        <f>VLOOKUP(A166,'HECVAT - Full'!A$24:B$312,2,FALSE)</f>
        <v>Does this data center operate outside of the Institution's Data Zone?</v>
      </c>
      <c r="C166" s="245" t="s">
        <v>2844</v>
      </c>
      <c r="D166" s="250" t="s">
        <v>2868</v>
      </c>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c r="AT166" s="136"/>
      <c r="AU166" s="136"/>
      <c r="AV166" s="136"/>
      <c r="AW166" s="136"/>
      <c r="AX166" s="136"/>
      <c r="AY166" s="136"/>
      <c r="AZ166" s="136"/>
      <c r="BA166" s="136"/>
      <c r="BB166" s="136"/>
      <c r="BC166" s="136"/>
      <c r="BD166" s="136"/>
      <c r="BE166" s="136"/>
      <c r="BF166" s="136"/>
      <c r="BG166" s="136"/>
      <c r="BH166" s="136"/>
      <c r="BI166" s="136"/>
      <c r="BJ166" s="136"/>
      <c r="BK166" s="136"/>
      <c r="BL166" s="136"/>
      <c r="BM166" s="136"/>
      <c r="BN166" s="136"/>
      <c r="BO166" s="136"/>
      <c r="BP166" s="136"/>
      <c r="BQ166" s="136"/>
      <c r="BR166" s="136"/>
      <c r="BS166" s="136"/>
      <c r="BT166" s="136"/>
      <c r="BU166" s="136"/>
      <c r="BV166" s="136"/>
      <c r="BW166" s="136"/>
      <c r="BX166" s="136"/>
      <c r="BY166" s="136"/>
      <c r="BZ166" s="136"/>
      <c r="CA166" s="136"/>
      <c r="CB166" s="136"/>
      <c r="CC166" s="136"/>
      <c r="CD166" s="136"/>
      <c r="CE166" s="136"/>
      <c r="CF166" s="136"/>
      <c r="CG166" s="136"/>
      <c r="CH166" s="136"/>
      <c r="CI166" s="136"/>
      <c r="CJ166" s="136"/>
      <c r="CK166" s="136"/>
      <c r="CL166" s="136"/>
      <c r="CM166" s="136"/>
      <c r="CN166" s="136"/>
      <c r="CO166" s="136"/>
      <c r="CP166" s="136"/>
      <c r="CQ166" s="136"/>
      <c r="CR166" s="136"/>
      <c r="CS166" s="136"/>
      <c r="CT166" s="136"/>
      <c r="CU166" s="136"/>
      <c r="CV166" s="136"/>
      <c r="CW166" s="136"/>
      <c r="CX166" s="136"/>
      <c r="CY166" s="136"/>
      <c r="CZ166" s="136"/>
      <c r="DA166" s="136"/>
      <c r="DB166" s="136"/>
      <c r="DC166" s="136"/>
      <c r="DD166" s="136"/>
      <c r="DE166" s="136"/>
      <c r="DF166" s="136"/>
      <c r="DG166" s="136"/>
      <c r="DH166" s="136"/>
      <c r="DI166" s="136"/>
      <c r="DJ166" s="136"/>
      <c r="DK166" s="136"/>
      <c r="DL166" s="136"/>
      <c r="DM166" s="136"/>
      <c r="DN166" s="136"/>
      <c r="DO166" s="136"/>
      <c r="DP166" s="136"/>
      <c r="DQ166" s="136"/>
      <c r="DR166" s="136"/>
      <c r="DS166" s="136"/>
      <c r="DT166" s="136"/>
      <c r="DU166" s="136"/>
      <c r="DV166" s="136"/>
      <c r="DW166" s="136"/>
      <c r="DX166" s="136"/>
      <c r="DY166" s="136"/>
      <c r="DZ166" s="136"/>
      <c r="EA166" s="136"/>
      <c r="EB166" s="136"/>
      <c r="EC166" s="136"/>
      <c r="ED166" s="136"/>
      <c r="EE166" s="136"/>
      <c r="EF166" s="136"/>
      <c r="EG166" s="136"/>
      <c r="EH166" s="136"/>
      <c r="EI166" s="136"/>
      <c r="EJ166" s="136"/>
      <c r="EK166" s="136"/>
      <c r="EL166" s="136"/>
      <c r="EM166" s="136"/>
      <c r="EN166" s="136"/>
      <c r="EO166" s="136"/>
      <c r="EP166" s="136"/>
      <c r="EQ166" s="136"/>
      <c r="ER166" s="136"/>
      <c r="ES166" s="136"/>
      <c r="ET166" s="136"/>
      <c r="EU166" s="136"/>
      <c r="EV166" s="136"/>
      <c r="EW166" s="136"/>
      <c r="EX166" s="136"/>
      <c r="EY166" s="136"/>
      <c r="EZ166" s="136"/>
      <c r="FA166" s="136"/>
      <c r="FB166" s="136"/>
      <c r="FC166" s="136"/>
      <c r="FD166" s="136"/>
      <c r="FE166" s="136"/>
      <c r="FF166" s="136"/>
      <c r="FG166" s="136"/>
      <c r="FH166" s="136"/>
      <c r="FI166" s="136"/>
      <c r="FJ166" s="136"/>
      <c r="FK166" s="136"/>
      <c r="FL166" s="136"/>
      <c r="FM166" s="136"/>
      <c r="FN166" s="136"/>
      <c r="FO166" s="136"/>
      <c r="FP166" s="136"/>
      <c r="FQ166" s="136"/>
      <c r="FR166" s="136"/>
      <c r="FS166" s="136"/>
      <c r="FT166" s="136"/>
      <c r="FU166" s="136"/>
      <c r="FV166" s="136"/>
      <c r="FW166" s="136"/>
      <c r="FX166" s="136"/>
      <c r="FY166" s="136"/>
      <c r="FZ166" s="136"/>
      <c r="GA166" s="136"/>
      <c r="GB166" s="136"/>
      <c r="GC166" s="136"/>
      <c r="GD166" s="136"/>
      <c r="GE166" s="136"/>
      <c r="GF166" s="136"/>
      <c r="GG166" s="136"/>
      <c r="GH166" s="136"/>
      <c r="GI166" s="136"/>
      <c r="GJ166" s="136"/>
      <c r="GK166" s="136"/>
      <c r="GL166" s="136"/>
      <c r="GM166" s="136"/>
      <c r="GN166" s="136"/>
      <c r="GO166" s="136"/>
      <c r="GP166" s="136"/>
      <c r="GQ166" s="136"/>
      <c r="GR166" s="136"/>
      <c r="GS166" s="136"/>
      <c r="GT166" s="136"/>
      <c r="GU166" s="136"/>
      <c r="GV166" s="136"/>
      <c r="GW166" s="136"/>
      <c r="GX166" s="136"/>
      <c r="GY166" s="136"/>
      <c r="GZ166" s="136"/>
      <c r="HA166" s="136"/>
      <c r="HB166" s="136"/>
      <c r="HC166" s="136"/>
      <c r="HD166" s="136"/>
      <c r="HE166" s="136"/>
      <c r="HF166" s="136"/>
      <c r="HG166" s="136"/>
      <c r="HH166" s="136"/>
      <c r="HI166" s="136"/>
      <c r="HJ166" s="136"/>
      <c r="HK166" s="136"/>
      <c r="HL166" s="136"/>
      <c r="HM166" s="136"/>
      <c r="HN166" s="136"/>
      <c r="HO166" s="136"/>
      <c r="HP166" s="136"/>
      <c r="HQ166" s="136"/>
      <c r="HR166" s="136"/>
      <c r="HS166" s="136"/>
      <c r="HT166" s="136"/>
      <c r="HU166" s="136"/>
      <c r="HV166" s="136"/>
      <c r="HW166" s="136"/>
      <c r="HX166" s="136"/>
      <c r="HY166" s="136"/>
      <c r="HZ166" s="136"/>
      <c r="IA166" s="136"/>
      <c r="IB166" s="136"/>
      <c r="IC166" s="136"/>
      <c r="ID166" s="136"/>
      <c r="IE166" s="136"/>
      <c r="IF166" s="136"/>
      <c r="IG166" s="136"/>
      <c r="IH166" s="136"/>
      <c r="II166" s="136"/>
      <c r="IJ166" s="136"/>
      <c r="IK166" s="136"/>
      <c r="IL166" s="136"/>
      <c r="IM166" s="136"/>
      <c r="IN166" s="136"/>
      <c r="IO166" s="136"/>
      <c r="IP166" s="136"/>
      <c r="IQ166" s="136"/>
      <c r="IR166" s="136"/>
      <c r="IS166" s="136"/>
      <c r="IT166" s="136"/>
      <c r="IU166" s="136"/>
    </row>
    <row r="167" spans="1:255" ht="85.5" x14ac:dyDescent="0.2">
      <c r="A167" s="242" t="str">
        <f>'HECVAT - Full'!A167</f>
        <v>DCTR-09</v>
      </c>
      <c r="B167" s="242" t="str">
        <f>VLOOKUP(A167,'HECVAT - Full'!A$24:B$312,2,FALSE)</f>
        <v>Will any institution data leave the Institution's Data Zone?</v>
      </c>
      <c r="C167" s="245" t="s">
        <v>2844</v>
      </c>
      <c r="D167" s="250" t="s">
        <v>2845</v>
      </c>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36"/>
      <c r="AY167" s="136"/>
      <c r="AZ167" s="136"/>
      <c r="BA167" s="136"/>
      <c r="BB167" s="136"/>
      <c r="BC167" s="136"/>
      <c r="BD167" s="136"/>
      <c r="BE167" s="136"/>
      <c r="BF167" s="136"/>
      <c r="BG167" s="136"/>
      <c r="BH167" s="136"/>
      <c r="BI167" s="136"/>
      <c r="BJ167" s="136"/>
      <c r="BK167" s="136"/>
      <c r="BL167" s="136"/>
      <c r="BM167" s="136"/>
      <c r="BN167" s="136"/>
      <c r="BO167" s="136"/>
      <c r="BP167" s="136"/>
      <c r="BQ167" s="136"/>
      <c r="BR167" s="136"/>
      <c r="BS167" s="136"/>
      <c r="BT167" s="136"/>
      <c r="BU167" s="136"/>
      <c r="BV167" s="136"/>
      <c r="BW167" s="136"/>
      <c r="BX167" s="136"/>
      <c r="BY167" s="136"/>
      <c r="BZ167" s="136"/>
      <c r="CA167" s="136"/>
      <c r="CB167" s="136"/>
      <c r="CC167" s="136"/>
      <c r="CD167" s="136"/>
      <c r="CE167" s="136"/>
      <c r="CF167" s="136"/>
      <c r="CG167" s="136"/>
      <c r="CH167" s="136"/>
      <c r="CI167" s="136"/>
      <c r="CJ167" s="136"/>
      <c r="CK167" s="136"/>
      <c r="CL167" s="136"/>
      <c r="CM167" s="136"/>
      <c r="CN167" s="136"/>
      <c r="CO167" s="136"/>
      <c r="CP167" s="136"/>
      <c r="CQ167" s="136"/>
      <c r="CR167" s="136"/>
      <c r="CS167" s="136"/>
      <c r="CT167" s="136"/>
      <c r="CU167" s="136"/>
      <c r="CV167" s="136"/>
      <c r="CW167" s="136"/>
      <c r="CX167" s="136"/>
      <c r="CY167" s="136"/>
      <c r="CZ167" s="136"/>
      <c r="DA167" s="136"/>
      <c r="DB167" s="136"/>
      <c r="DC167" s="136"/>
      <c r="DD167" s="136"/>
      <c r="DE167" s="136"/>
      <c r="DF167" s="136"/>
      <c r="DG167" s="136"/>
      <c r="DH167" s="136"/>
      <c r="DI167" s="136"/>
      <c r="DJ167" s="136"/>
      <c r="DK167" s="136"/>
      <c r="DL167" s="136"/>
      <c r="DM167" s="136"/>
      <c r="DN167" s="136"/>
      <c r="DO167" s="136"/>
      <c r="DP167" s="136"/>
      <c r="DQ167" s="136"/>
      <c r="DR167" s="136"/>
      <c r="DS167" s="136"/>
      <c r="DT167" s="136"/>
      <c r="DU167" s="136"/>
      <c r="DV167" s="136"/>
      <c r="DW167" s="136"/>
      <c r="DX167" s="136"/>
      <c r="DY167" s="136"/>
      <c r="DZ167" s="136"/>
      <c r="EA167" s="136"/>
      <c r="EB167" s="136"/>
      <c r="EC167" s="136"/>
      <c r="ED167" s="136"/>
      <c r="EE167" s="136"/>
      <c r="EF167" s="136"/>
      <c r="EG167" s="136"/>
      <c r="EH167" s="136"/>
      <c r="EI167" s="136"/>
      <c r="EJ167" s="136"/>
      <c r="EK167" s="136"/>
      <c r="EL167" s="136"/>
      <c r="EM167" s="136"/>
      <c r="EN167" s="136"/>
      <c r="EO167" s="136"/>
      <c r="EP167" s="136"/>
      <c r="EQ167" s="136"/>
      <c r="ER167" s="136"/>
      <c r="ES167" s="136"/>
      <c r="ET167" s="136"/>
      <c r="EU167" s="136"/>
      <c r="EV167" s="136"/>
      <c r="EW167" s="136"/>
      <c r="EX167" s="136"/>
      <c r="EY167" s="136"/>
      <c r="EZ167" s="136"/>
      <c r="FA167" s="136"/>
      <c r="FB167" s="136"/>
      <c r="FC167" s="136"/>
      <c r="FD167" s="136"/>
      <c r="FE167" s="136"/>
      <c r="FF167" s="136"/>
      <c r="FG167" s="136"/>
      <c r="FH167" s="136"/>
      <c r="FI167" s="136"/>
      <c r="FJ167" s="136"/>
      <c r="FK167" s="136"/>
      <c r="FL167" s="136"/>
      <c r="FM167" s="136"/>
      <c r="FN167" s="136"/>
      <c r="FO167" s="136"/>
      <c r="FP167" s="136"/>
      <c r="FQ167" s="136"/>
      <c r="FR167" s="136"/>
      <c r="FS167" s="136"/>
      <c r="FT167" s="136"/>
      <c r="FU167" s="136"/>
      <c r="FV167" s="136"/>
      <c r="FW167" s="136"/>
      <c r="FX167" s="136"/>
      <c r="FY167" s="136"/>
      <c r="FZ167" s="136"/>
      <c r="GA167" s="136"/>
      <c r="GB167" s="136"/>
      <c r="GC167" s="136"/>
      <c r="GD167" s="136"/>
      <c r="GE167" s="136"/>
      <c r="GF167" s="136"/>
      <c r="GG167" s="136"/>
      <c r="GH167" s="136"/>
      <c r="GI167" s="136"/>
      <c r="GJ167" s="136"/>
      <c r="GK167" s="136"/>
      <c r="GL167" s="136"/>
      <c r="GM167" s="136"/>
      <c r="GN167" s="136"/>
      <c r="GO167" s="136"/>
      <c r="GP167" s="136"/>
      <c r="GQ167" s="136"/>
      <c r="GR167" s="136"/>
      <c r="GS167" s="136"/>
      <c r="GT167" s="136"/>
      <c r="GU167" s="136"/>
      <c r="GV167" s="136"/>
      <c r="GW167" s="136"/>
      <c r="GX167" s="136"/>
      <c r="GY167" s="136"/>
      <c r="GZ167" s="136"/>
      <c r="HA167" s="136"/>
      <c r="HB167" s="136"/>
      <c r="HC167" s="136"/>
      <c r="HD167" s="136"/>
      <c r="HE167" s="136"/>
      <c r="HF167" s="136"/>
      <c r="HG167" s="136"/>
      <c r="HH167" s="136"/>
      <c r="HI167" s="136"/>
      <c r="HJ167" s="136"/>
      <c r="HK167" s="136"/>
      <c r="HL167" s="136"/>
      <c r="HM167" s="136"/>
      <c r="HN167" s="136"/>
      <c r="HO167" s="136"/>
      <c r="HP167" s="136"/>
      <c r="HQ167" s="136"/>
      <c r="HR167" s="136"/>
      <c r="HS167" s="136"/>
      <c r="HT167" s="136"/>
      <c r="HU167" s="136"/>
      <c r="HV167" s="136"/>
      <c r="HW167" s="136"/>
      <c r="HX167" s="136"/>
      <c r="HY167" s="136"/>
      <c r="HZ167" s="136"/>
      <c r="IA167" s="136"/>
      <c r="IB167" s="136"/>
      <c r="IC167" s="136"/>
      <c r="ID167" s="136"/>
      <c r="IE167" s="136"/>
      <c r="IF167" s="136"/>
      <c r="IG167" s="136"/>
      <c r="IH167" s="136"/>
      <c r="II167" s="136"/>
      <c r="IJ167" s="136"/>
      <c r="IK167" s="136"/>
      <c r="IL167" s="136"/>
      <c r="IM167" s="136"/>
      <c r="IN167" s="136"/>
      <c r="IO167" s="136"/>
      <c r="IP167" s="136"/>
      <c r="IQ167" s="136"/>
      <c r="IR167" s="136"/>
      <c r="IS167" s="136"/>
      <c r="IT167" s="136"/>
      <c r="IU167" s="136"/>
    </row>
    <row r="168" spans="1:255" ht="85.5" x14ac:dyDescent="0.2">
      <c r="A168" s="242" t="str">
        <f>'HECVAT - Full'!A168</f>
        <v>DCTR-10</v>
      </c>
      <c r="B168" s="242" t="str">
        <f>VLOOKUP(A168,'HECVAT - Full'!A$24:B$312,2,FALSE)</f>
        <v xml:space="preserve">List all datacenters and the cities, states (provinces), and countries where the Institution's data will be stored (including within the Institution's Data Zone).   </v>
      </c>
      <c r="C168" s="245" t="s">
        <v>2844</v>
      </c>
      <c r="D168" s="250" t="s">
        <v>2868</v>
      </c>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6"/>
      <c r="AN168" s="136"/>
      <c r="AO168" s="136"/>
      <c r="AP168" s="136"/>
      <c r="AQ168" s="136"/>
      <c r="AR168" s="136"/>
      <c r="AS168" s="136"/>
      <c r="AT168" s="136"/>
      <c r="AU168" s="136"/>
      <c r="AV168" s="136"/>
      <c r="AW168" s="136"/>
      <c r="AX168" s="136"/>
      <c r="AY168" s="136"/>
      <c r="AZ168" s="136"/>
      <c r="BA168" s="136"/>
      <c r="BB168" s="136"/>
      <c r="BC168" s="136"/>
      <c r="BD168" s="136"/>
      <c r="BE168" s="136"/>
      <c r="BF168" s="136"/>
      <c r="BG168" s="136"/>
      <c r="BH168" s="136"/>
      <c r="BI168" s="136"/>
      <c r="BJ168" s="136"/>
      <c r="BK168" s="136"/>
      <c r="BL168" s="136"/>
      <c r="BM168" s="136"/>
      <c r="BN168" s="136"/>
      <c r="BO168" s="136"/>
      <c r="BP168" s="136"/>
      <c r="BQ168" s="136"/>
      <c r="BR168" s="136"/>
      <c r="BS168" s="136"/>
      <c r="BT168" s="136"/>
      <c r="BU168" s="136"/>
      <c r="BV168" s="136"/>
      <c r="BW168" s="136"/>
      <c r="BX168" s="136"/>
      <c r="BY168" s="136"/>
      <c r="BZ168" s="136"/>
      <c r="CA168" s="136"/>
      <c r="CB168" s="136"/>
      <c r="CC168" s="136"/>
      <c r="CD168" s="136"/>
      <c r="CE168" s="136"/>
      <c r="CF168" s="136"/>
      <c r="CG168" s="136"/>
      <c r="CH168" s="136"/>
      <c r="CI168" s="136"/>
      <c r="CJ168" s="136"/>
      <c r="CK168" s="136"/>
      <c r="CL168" s="136"/>
      <c r="CM168" s="136"/>
      <c r="CN168" s="136"/>
      <c r="CO168" s="136"/>
      <c r="CP168" s="136"/>
      <c r="CQ168" s="136"/>
      <c r="CR168" s="136"/>
      <c r="CS168" s="136"/>
      <c r="CT168" s="136"/>
      <c r="CU168" s="136"/>
      <c r="CV168" s="136"/>
      <c r="CW168" s="136"/>
      <c r="CX168" s="136"/>
      <c r="CY168" s="136"/>
      <c r="CZ168" s="136"/>
      <c r="DA168" s="136"/>
      <c r="DB168" s="136"/>
      <c r="DC168" s="136"/>
      <c r="DD168" s="136"/>
      <c r="DE168" s="136"/>
      <c r="DF168" s="136"/>
      <c r="DG168" s="136"/>
      <c r="DH168" s="136"/>
      <c r="DI168" s="136"/>
      <c r="DJ168" s="136"/>
      <c r="DK168" s="136"/>
      <c r="DL168" s="136"/>
      <c r="DM168" s="136"/>
      <c r="DN168" s="136"/>
      <c r="DO168" s="136"/>
      <c r="DP168" s="136"/>
      <c r="DQ168" s="136"/>
      <c r="DR168" s="136"/>
      <c r="DS168" s="136"/>
      <c r="DT168" s="136"/>
      <c r="DU168" s="136"/>
      <c r="DV168" s="136"/>
      <c r="DW168" s="136"/>
      <c r="DX168" s="136"/>
      <c r="DY168" s="136"/>
      <c r="DZ168" s="136"/>
      <c r="EA168" s="136"/>
      <c r="EB168" s="136"/>
      <c r="EC168" s="136"/>
      <c r="ED168" s="136"/>
      <c r="EE168" s="136"/>
      <c r="EF168" s="136"/>
      <c r="EG168" s="136"/>
      <c r="EH168" s="136"/>
      <c r="EI168" s="136"/>
      <c r="EJ168" s="136"/>
      <c r="EK168" s="136"/>
      <c r="EL168" s="136"/>
      <c r="EM168" s="136"/>
      <c r="EN168" s="136"/>
      <c r="EO168" s="136"/>
      <c r="EP168" s="136"/>
      <c r="EQ168" s="136"/>
      <c r="ER168" s="136"/>
      <c r="ES168" s="136"/>
      <c r="ET168" s="136"/>
      <c r="EU168" s="136"/>
      <c r="EV168" s="136"/>
      <c r="EW168" s="136"/>
      <c r="EX168" s="136"/>
      <c r="EY168" s="136"/>
      <c r="EZ168" s="136"/>
      <c r="FA168" s="136"/>
      <c r="FB168" s="136"/>
      <c r="FC168" s="136"/>
      <c r="FD168" s="136"/>
      <c r="FE168" s="136"/>
      <c r="FF168" s="136"/>
      <c r="FG168" s="136"/>
      <c r="FH168" s="136"/>
      <c r="FI168" s="136"/>
      <c r="FJ168" s="136"/>
      <c r="FK168" s="136"/>
      <c r="FL168" s="136"/>
      <c r="FM168" s="136"/>
      <c r="FN168" s="136"/>
      <c r="FO168" s="136"/>
      <c r="FP168" s="136"/>
      <c r="FQ168" s="136"/>
      <c r="FR168" s="136"/>
      <c r="FS168" s="136"/>
      <c r="FT168" s="136"/>
      <c r="FU168" s="136"/>
      <c r="FV168" s="136"/>
      <c r="FW168" s="136"/>
      <c r="FX168" s="136"/>
      <c r="FY168" s="136"/>
      <c r="FZ168" s="136"/>
      <c r="GA168" s="136"/>
      <c r="GB168" s="136"/>
      <c r="GC168" s="136"/>
      <c r="GD168" s="136"/>
      <c r="GE168" s="136"/>
      <c r="GF168" s="136"/>
      <c r="GG168" s="136"/>
      <c r="GH168" s="136"/>
      <c r="GI168" s="136"/>
      <c r="GJ168" s="136"/>
      <c r="GK168" s="136"/>
      <c r="GL168" s="136"/>
      <c r="GM168" s="136"/>
      <c r="GN168" s="136"/>
      <c r="GO168" s="136"/>
      <c r="GP168" s="136"/>
      <c r="GQ168" s="136"/>
      <c r="GR168" s="136"/>
      <c r="GS168" s="136"/>
      <c r="GT168" s="136"/>
      <c r="GU168" s="136"/>
      <c r="GV168" s="136"/>
      <c r="GW168" s="136"/>
      <c r="GX168" s="136"/>
      <c r="GY168" s="136"/>
      <c r="GZ168" s="136"/>
      <c r="HA168" s="136"/>
      <c r="HB168" s="136"/>
      <c r="HC168" s="136"/>
      <c r="HD168" s="136"/>
      <c r="HE168" s="136"/>
      <c r="HF168" s="136"/>
      <c r="HG168" s="136"/>
      <c r="HH168" s="136"/>
      <c r="HI168" s="136"/>
      <c r="HJ168" s="136"/>
      <c r="HK168" s="136"/>
      <c r="HL168" s="136"/>
      <c r="HM168" s="136"/>
      <c r="HN168" s="136"/>
      <c r="HO168" s="136"/>
      <c r="HP168" s="136"/>
      <c r="HQ168" s="136"/>
      <c r="HR168" s="136"/>
      <c r="HS168" s="136"/>
      <c r="HT168" s="136"/>
      <c r="HU168" s="136"/>
      <c r="HV168" s="136"/>
      <c r="HW168" s="136"/>
      <c r="HX168" s="136"/>
      <c r="HY168" s="136"/>
      <c r="HZ168" s="136"/>
      <c r="IA168" s="136"/>
      <c r="IB168" s="136"/>
      <c r="IC168" s="136"/>
      <c r="ID168" s="136"/>
      <c r="IE168" s="136"/>
      <c r="IF168" s="136"/>
      <c r="IG168" s="136"/>
      <c r="IH168" s="136"/>
      <c r="II168" s="136"/>
      <c r="IJ168" s="136"/>
      <c r="IK168" s="136"/>
      <c r="IL168" s="136"/>
      <c r="IM168" s="136"/>
      <c r="IN168" s="136"/>
      <c r="IO168" s="136"/>
      <c r="IP168" s="136"/>
      <c r="IQ168" s="136"/>
      <c r="IR168" s="136"/>
      <c r="IS168" s="136"/>
      <c r="IT168" s="136"/>
      <c r="IU168" s="136"/>
    </row>
    <row r="169" spans="1:255" ht="71.25" x14ac:dyDescent="0.2">
      <c r="A169" s="242" t="str">
        <f>'HECVAT - Full'!A169</f>
        <v>DCTR-11</v>
      </c>
      <c r="B169" s="242" t="str">
        <f>VLOOKUP(A169,'HECVAT - Full'!A$24:B$312,2,FALSE)</f>
        <v>Are your primary and secondary data centers geographically diverse?</v>
      </c>
      <c r="C169" s="243" t="s">
        <v>2869</v>
      </c>
      <c r="D169" s="253" t="s">
        <v>2870</v>
      </c>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6"/>
      <c r="AN169" s="136"/>
      <c r="AO169" s="136"/>
      <c r="AP169" s="136"/>
      <c r="AQ169" s="136"/>
      <c r="AR169" s="136"/>
      <c r="AS169" s="136"/>
      <c r="AT169" s="136"/>
      <c r="AU169" s="136"/>
      <c r="AV169" s="136"/>
      <c r="AW169" s="136"/>
      <c r="AX169" s="136"/>
      <c r="AY169" s="136"/>
      <c r="AZ169" s="136"/>
      <c r="BA169" s="136"/>
      <c r="BB169" s="136"/>
      <c r="BC169" s="136"/>
      <c r="BD169" s="136"/>
      <c r="BE169" s="136"/>
      <c r="BF169" s="136"/>
      <c r="BG169" s="136"/>
      <c r="BH169" s="136"/>
      <c r="BI169" s="136"/>
      <c r="BJ169" s="136"/>
      <c r="BK169" s="136"/>
      <c r="BL169" s="136"/>
      <c r="BM169" s="136"/>
      <c r="BN169" s="136"/>
      <c r="BO169" s="136"/>
      <c r="BP169" s="136"/>
      <c r="BQ169" s="136"/>
      <c r="BR169" s="136"/>
      <c r="BS169" s="136"/>
      <c r="BT169" s="136"/>
      <c r="BU169" s="136"/>
      <c r="BV169" s="136"/>
      <c r="BW169" s="136"/>
      <c r="BX169" s="136"/>
      <c r="BY169" s="136"/>
      <c r="BZ169" s="136"/>
      <c r="CA169" s="136"/>
      <c r="CB169" s="136"/>
      <c r="CC169" s="136"/>
      <c r="CD169" s="136"/>
      <c r="CE169" s="136"/>
      <c r="CF169" s="136"/>
      <c r="CG169" s="136"/>
      <c r="CH169" s="136"/>
      <c r="CI169" s="136"/>
      <c r="CJ169" s="136"/>
      <c r="CK169" s="136"/>
      <c r="CL169" s="136"/>
      <c r="CM169" s="136"/>
      <c r="CN169" s="136"/>
      <c r="CO169" s="136"/>
      <c r="CP169" s="136"/>
      <c r="CQ169" s="136"/>
      <c r="CR169" s="136"/>
      <c r="CS169" s="136"/>
      <c r="CT169" s="136"/>
      <c r="CU169" s="136"/>
      <c r="CV169" s="136"/>
      <c r="CW169" s="136"/>
      <c r="CX169" s="136"/>
      <c r="CY169" s="136"/>
      <c r="CZ169" s="136"/>
      <c r="DA169" s="136"/>
      <c r="DB169" s="136"/>
      <c r="DC169" s="136"/>
      <c r="DD169" s="136"/>
      <c r="DE169" s="136"/>
      <c r="DF169" s="136"/>
      <c r="DG169" s="136"/>
      <c r="DH169" s="136"/>
      <c r="DI169" s="136"/>
      <c r="DJ169" s="136"/>
      <c r="DK169" s="136"/>
      <c r="DL169" s="136"/>
      <c r="DM169" s="136"/>
      <c r="DN169" s="136"/>
      <c r="DO169" s="136"/>
      <c r="DP169" s="136"/>
      <c r="DQ169" s="136"/>
      <c r="DR169" s="136"/>
      <c r="DS169" s="136"/>
      <c r="DT169" s="136"/>
      <c r="DU169" s="136"/>
      <c r="DV169" s="136"/>
      <c r="DW169" s="136"/>
      <c r="DX169" s="136"/>
      <c r="DY169" s="136"/>
      <c r="DZ169" s="136"/>
      <c r="EA169" s="136"/>
      <c r="EB169" s="136"/>
      <c r="EC169" s="136"/>
      <c r="ED169" s="136"/>
      <c r="EE169" s="136"/>
      <c r="EF169" s="136"/>
      <c r="EG169" s="136"/>
      <c r="EH169" s="136"/>
      <c r="EI169" s="136"/>
      <c r="EJ169" s="136"/>
      <c r="EK169" s="136"/>
      <c r="EL169" s="136"/>
      <c r="EM169" s="136"/>
      <c r="EN169" s="136"/>
      <c r="EO169" s="136"/>
      <c r="EP169" s="136"/>
      <c r="EQ169" s="136"/>
      <c r="ER169" s="136"/>
      <c r="ES169" s="136"/>
      <c r="ET169" s="136"/>
      <c r="EU169" s="136"/>
      <c r="EV169" s="136"/>
      <c r="EW169" s="136"/>
      <c r="EX169" s="136"/>
      <c r="EY169" s="136"/>
      <c r="EZ169" s="136"/>
      <c r="FA169" s="136"/>
      <c r="FB169" s="136"/>
      <c r="FC169" s="136"/>
      <c r="FD169" s="136"/>
      <c r="FE169" s="136"/>
      <c r="FF169" s="136"/>
      <c r="FG169" s="136"/>
      <c r="FH169" s="136"/>
      <c r="FI169" s="136"/>
      <c r="FJ169" s="136"/>
      <c r="FK169" s="136"/>
      <c r="FL169" s="136"/>
      <c r="FM169" s="136"/>
      <c r="FN169" s="136"/>
      <c r="FO169" s="136"/>
      <c r="FP169" s="136"/>
      <c r="FQ169" s="136"/>
      <c r="FR169" s="136"/>
      <c r="FS169" s="136"/>
      <c r="FT169" s="136"/>
      <c r="FU169" s="136"/>
      <c r="FV169" s="136"/>
      <c r="FW169" s="136"/>
      <c r="FX169" s="136"/>
      <c r="FY169" s="136"/>
      <c r="FZ169" s="136"/>
      <c r="GA169" s="136"/>
      <c r="GB169" s="136"/>
      <c r="GC169" s="136"/>
      <c r="GD169" s="136"/>
      <c r="GE169" s="136"/>
      <c r="GF169" s="136"/>
      <c r="GG169" s="136"/>
      <c r="GH169" s="136"/>
      <c r="GI169" s="136"/>
      <c r="GJ169" s="136"/>
      <c r="GK169" s="136"/>
      <c r="GL169" s="136"/>
      <c r="GM169" s="136"/>
      <c r="GN169" s="136"/>
      <c r="GO169" s="136"/>
      <c r="GP169" s="136"/>
      <c r="GQ169" s="136"/>
      <c r="GR169" s="136"/>
      <c r="GS169" s="136"/>
      <c r="GT169" s="136"/>
      <c r="GU169" s="136"/>
      <c r="GV169" s="136"/>
      <c r="GW169" s="136"/>
      <c r="GX169" s="136"/>
      <c r="GY169" s="136"/>
      <c r="GZ169" s="136"/>
      <c r="HA169" s="136"/>
      <c r="HB169" s="136"/>
      <c r="HC169" s="136"/>
      <c r="HD169" s="136"/>
      <c r="HE169" s="136"/>
      <c r="HF169" s="136"/>
      <c r="HG169" s="136"/>
      <c r="HH169" s="136"/>
      <c r="HI169" s="136"/>
      <c r="HJ169" s="136"/>
      <c r="HK169" s="136"/>
      <c r="HL169" s="136"/>
      <c r="HM169" s="136"/>
      <c r="HN169" s="136"/>
      <c r="HO169" s="136"/>
      <c r="HP169" s="136"/>
      <c r="HQ169" s="136"/>
      <c r="HR169" s="136"/>
      <c r="HS169" s="136"/>
      <c r="HT169" s="136"/>
      <c r="HU169" s="136"/>
      <c r="HV169" s="136"/>
      <c r="HW169" s="136"/>
      <c r="HX169" s="136"/>
      <c r="HY169" s="136"/>
      <c r="HZ169" s="136"/>
      <c r="IA169" s="136"/>
      <c r="IB169" s="136"/>
      <c r="IC169" s="136"/>
      <c r="ID169" s="136"/>
      <c r="IE169" s="136"/>
      <c r="IF169" s="136"/>
      <c r="IG169" s="136"/>
      <c r="IH169" s="136"/>
      <c r="II169" s="136"/>
      <c r="IJ169" s="136"/>
      <c r="IK169" s="136"/>
      <c r="IL169" s="136"/>
      <c r="IM169" s="136"/>
      <c r="IN169" s="136"/>
      <c r="IO169" s="136"/>
      <c r="IP169" s="136"/>
      <c r="IQ169" s="136"/>
      <c r="IR169" s="136"/>
      <c r="IS169" s="136"/>
      <c r="IT169" s="136"/>
      <c r="IU169" s="136"/>
    </row>
    <row r="170" spans="1:255" ht="85.5" x14ac:dyDescent="0.2">
      <c r="A170" s="242" t="str">
        <f>'HECVAT - Full'!A170</f>
        <v>DCTR-12</v>
      </c>
      <c r="B170" s="242" t="str">
        <f>VLOOKUP(A170,'HECVAT - Full'!A$24:B$312,2,FALSE)</f>
        <v>If outsourced or co-located, is there a contract in place to prevent data from leaving the Institution's Data Zone?</v>
      </c>
      <c r="C170" s="245" t="s">
        <v>2844</v>
      </c>
      <c r="D170" s="250" t="s">
        <v>2871</v>
      </c>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6"/>
      <c r="AN170" s="136"/>
      <c r="AO170" s="136"/>
      <c r="AP170" s="136"/>
      <c r="AQ170" s="136"/>
      <c r="AR170" s="136"/>
      <c r="AS170" s="136"/>
      <c r="AT170" s="136"/>
      <c r="AU170" s="136"/>
      <c r="AV170" s="136"/>
      <c r="AW170" s="136"/>
      <c r="AX170" s="136"/>
      <c r="AY170" s="136"/>
      <c r="AZ170" s="136"/>
      <c r="BA170" s="136"/>
      <c r="BB170" s="136"/>
      <c r="BC170" s="136"/>
      <c r="BD170" s="136"/>
      <c r="BE170" s="136"/>
      <c r="BF170" s="136"/>
      <c r="BG170" s="136"/>
      <c r="BH170" s="136"/>
      <c r="BI170" s="136"/>
      <c r="BJ170" s="136"/>
      <c r="BK170" s="136"/>
      <c r="BL170" s="136"/>
      <c r="BM170" s="136"/>
      <c r="BN170" s="136"/>
      <c r="BO170" s="136"/>
      <c r="BP170" s="136"/>
      <c r="BQ170" s="136"/>
      <c r="BR170" s="136"/>
      <c r="BS170" s="136"/>
      <c r="BT170" s="136"/>
      <c r="BU170" s="136"/>
      <c r="BV170" s="136"/>
      <c r="BW170" s="136"/>
      <c r="BX170" s="136"/>
      <c r="BY170" s="136"/>
      <c r="BZ170" s="136"/>
      <c r="CA170" s="136"/>
      <c r="CB170" s="136"/>
      <c r="CC170" s="136"/>
      <c r="CD170" s="136"/>
      <c r="CE170" s="136"/>
      <c r="CF170" s="136"/>
      <c r="CG170" s="136"/>
      <c r="CH170" s="136"/>
      <c r="CI170" s="136"/>
      <c r="CJ170" s="136"/>
      <c r="CK170" s="136"/>
      <c r="CL170" s="136"/>
      <c r="CM170" s="136"/>
      <c r="CN170" s="136"/>
      <c r="CO170" s="136"/>
      <c r="CP170" s="136"/>
      <c r="CQ170" s="136"/>
      <c r="CR170" s="136"/>
      <c r="CS170" s="136"/>
      <c r="CT170" s="136"/>
      <c r="CU170" s="136"/>
      <c r="CV170" s="136"/>
      <c r="CW170" s="136"/>
      <c r="CX170" s="136"/>
      <c r="CY170" s="136"/>
      <c r="CZ170" s="136"/>
      <c r="DA170" s="136"/>
      <c r="DB170" s="136"/>
      <c r="DC170" s="136"/>
      <c r="DD170" s="136"/>
      <c r="DE170" s="136"/>
      <c r="DF170" s="136"/>
      <c r="DG170" s="136"/>
      <c r="DH170" s="136"/>
      <c r="DI170" s="136"/>
      <c r="DJ170" s="136"/>
      <c r="DK170" s="136"/>
      <c r="DL170" s="136"/>
      <c r="DM170" s="136"/>
      <c r="DN170" s="136"/>
      <c r="DO170" s="136"/>
      <c r="DP170" s="136"/>
      <c r="DQ170" s="136"/>
      <c r="DR170" s="136"/>
      <c r="DS170" s="136"/>
      <c r="DT170" s="136"/>
      <c r="DU170" s="136"/>
      <c r="DV170" s="136"/>
      <c r="DW170" s="136"/>
      <c r="DX170" s="136"/>
      <c r="DY170" s="136"/>
      <c r="DZ170" s="136"/>
      <c r="EA170" s="136"/>
      <c r="EB170" s="136"/>
      <c r="EC170" s="136"/>
      <c r="ED170" s="136"/>
      <c r="EE170" s="136"/>
      <c r="EF170" s="136"/>
      <c r="EG170" s="136"/>
      <c r="EH170" s="136"/>
      <c r="EI170" s="136"/>
      <c r="EJ170" s="136"/>
      <c r="EK170" s="136"/>
      <c r="EL170" s="136"/>
      <c r="EM170" s="136"/>
      <c r="EN170" s="136"/>
      <c r="EO170" s="136"/>
      <c r="EP170" s="136"/>
      <c r="EQ170" s="136"/>
      <c r="ER170" s="136"/>
      <c r="ES170" s="136"/>
      <c r="ET170" s="136"/>
      <c r="EU170" s="136"/>
      <c r="EV170" s="136"/>
      <c r="EW170" s="136"/>
      <c r="EX170" s="136"/>
      <c r="EY170" s="136"/>
      <c r="EZ170" s="136"/>
      <c r="FA170" s="136"/>
      <c r="FB170" s="136"/>
      <c r="FC170" s="136"/>
      <c r="FD170" s="136"/>
      <c r="FE170" s="136"/>
      <c r="FF170" s="136"/>
      <c r="FG170" s="136"/>
      <c r="FH170" s="136"/>
      <c r="FI170" s="136"/>
      <c r="FJ170" s="136"/>
      <c r="FK170" s="136"/>
      <c r="FL170" s="136"/>
      <c r="FM170" s="136"/>
      <c r="FN170" s="136"/>
      <c r="FO170" s="136"/>
      <c r="FP170" s="136"/>
      <c r="FQ170" s="136"/>
      <c r="FR170" s="136"/>
      <c r="FS170" s="136"/>
      <c r="FT170" s="136"/>
      <c r="FU170" s="136"/>
      <c r="FV170" s="136"/>
      <c r="FW170" s="136"/>
      <c r="FX170" s="136"/>
      <c r="FY170" s="136"/>
      <c r="FZ170" s="136"/>
      <c r="GA170" s="136"/>
      <c r="GB170" s="136"/>
      <c r="GC170" s="136"/>
      <c r="GD170" s="136"/>
      <c r="GE170" s="136"/>
      <c r="GF170" s="136"/>
      <c r="GG170" s="136"/>
      <c r="GH170" s="136"/>
      <c r="GI170" s="136"/>
      <c r="GJ170" s="136"/>
      <c r="GK170" s="136"/>
      <c r="GL170" s="136"/>
      <c r="GM170" s="136"/>
      <c r="GN170" s="136"/>
      <c r="GO170" s="136"/>
      <c r="GP170" s="136"/>
      <c r="GQ170" s="136"/>
      <c r="GR170" s="136"/>
      <c r="GS170" s="136"/>
      <c r="GT170" s="136"/>
      <c r="GU170" s="136"/>
      <c r="GV170" s="136"/>
      <c r="GW170" s="136"/>
      <c r="GX170" s="136"/>
      <c r="GY170" s="136"/>
      <c r="GZ170" s="136"/>
      <c r="HA170" s="136"/>
      <c r="HB170" s="136"/>
      <c r="HC170" s="136"/>
      <c r="HD170" s="136"/>
      <c r="HE170" s="136"/>
      <c r="HF170" s="136"/>
      <c r="HG170" s="136"/>
      <c r="HH170" s="136"/>
      <c r="HI170" s="136"/>
      <c r="HJ170" s="136"/>
      <c r="HK170" s="136"/>
      <c r="HL170" s="136"/>
      <c r="HM170" s="136"/>
      <c r="HN170" s="136"/>
      <c r="HO170" s="136"/>
      <c r="HP170" s="136"/>
      <c r="HQ170" s="136"/>
      <c r="HR170" s="136"/>
      <c r="HS170" s="136"/>
      <c r="HT170" s="136"/>
      <c r="HU170" s="136"/>
      <c r="HV170" s="136"/>
      <c r="HW170" s="136"/>
      <c r="HX170" s="136"/>
      <c r="HY170" s="136"/>
      <c r="HZ170" s="136"/>
      <c r="IA170" s="136"/>
      <c r="IB170" s="136"/>
      <c r="IC170" s="136"/>
      <c r="ID170" s="136"/>
      <c r="IE170" s="136"/>
      <c r="IF170" s="136"/>
      <c r="IG170" s="136"/>
      <c r="IH170" s="136"/>
      <c r="II170" s="136"/>
      <c r="IJ170" s="136"/>
      <c r="IK170" s="136"/>
      <c r="IL170" s="136"/>
      <c r="IM170" s="136"/>
      <c r="IN170" s="136"/>
      <c r="IO170" s="136"/>
      <c r="IP170" s="136"/>
      <c r="IQ170" s="136"/>
      <c r="IR170" s="136"/>
      <c r="IS170" s="136"/>
      <c r="IT170" s="136"/>
      <c r="IU170" s="136"/>
    </row>
    <row r="171" spans="1:255" ht="64.349999999999994" customHeight="1" x14ac:dyDescent="0.2">
      <c r="A171" s="242" t="str">
        <f>'HECVAT - Full'!A171</f>
        <v>DCTR-13</v>
      </c>
      <c r="B171" s="242" t="str">
        <f>VLOOKUP(A171,'HECVAT - Full'!A$24:B$312,2,FALSE)</f>
        <v>What Tier Level is your data center (per levels defined by the Uptime Institute)?</v>
      </c>
      <c r="C171" s="275" t="s">
        <v>3035</v>
      </c>
      <c r="D171" s="250" t="s">
        <v>2872</v>
      </c>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6"/>
      <c r="AN171" s="136"/>
      <c r="AO171" s="136"/>
      <c r="AP171" s="136"/>
      <c r="AQ171" s="136"/>
      <c r="AR171" s="136"/>
      <c r="AS171" s="136"/>
      <c r="AT171" s="136"/>
      <c r="AU171" s="136"/>
      <c r="AV171" s="136"/>
      <c r="AW171" s="136"/>
      <c r="AX171" s="136"/>
      <c r="AY171" s="136"/>
      <c r="AZ171" s="136"/>
      <c r="BA171" s="136"/>
      <c r="BB171" s="136"/>
      <c r="BC171" s="136"/>
      <c r="BD171" s="136"/>
      <c r="BE171" s="136"/>
      <c r="BF171" s="136"/>
      <c r="BG171" s="136"/>
      <c r="BH171" s="136"/>
      <c r="BI171" s="136"/>
      <c r="BJ171" s="136"/>
      <c r="BK171" s="136"/>
      <c r="BL171" s="136"/>
      <c r="BM171" s="136"/>
      <c r="BN171" s="136"/>
      <c r="BO171" s="136"/>
      <c r="BP171" s="136"/>
      <c r="BQ171" s="136"/>
      <c r="BR171" s="136"/>
      <c r="BS171" s="136"/>
      <c r="BT171" s="136"/>
      <c r="BU171" s="136"/>
      <c r="BV171" s="136"/>
      <c r="BW171" s="136"/>
      <c r="BX171" s="136"/>
      <c r="BY171" s="136"/>
      <c r="BZ171" s="136"/>
      <c r="CA171" s="136"/>
      <c r="CB171" s="136"/>
      <c r="CC171" s="136"/>
      <c r="CD171" s="136"/>
      <c r="CE171" s="136"/>
      <c r="CF171" s="136"/>
      <c r="CG171" s="136"/>
      <c r="CH171" s="136"/>
      <c r="CI171" s="136"/>
      <c r="CJ171" s="136"/>
      <c r="CK171" s="136"/>
      <c r="CL171" s="136"/>
      <c r="CM171" s="136"/>
      <c r="CN171" s="136"/>
      <c r="CO171" s="136"/>
      <c r="CP171" s="136"/>
      <c r="CQ171" s="136"/>
      <c r="CR171" s="136"/>
      <c r="CS171" s="136"/>
      <c r="CT171" s="136"/>
      <c r="CU171" s="136"/>
      <c r="CV171" s="136"/>
      <c r="CW171" s="136"/>
      <c r="CX171" s="136"/>
      <c r="CY171" s="136"/>
      <c r="CZ171" s="136"/>
      <c r="DA171" s="136"/>
      <c r="DB171" s="136"/>
      <c r="DC171" s="136"/>
      <c r="DD171" s="136"/>
      <c r="DE171" s="136"/>
      <c r="DF171" s="136"/>
      <c r="DG171" s="136"/>
      <c r="DH171" s="136"/>
      <c r="DI171" s="136"/>
      <c r="DJ171" s="136"/>
      <c r="DK171" s="136"/>
      <c r="DL171" s="136"/>
      <c r="DM171" s="136"/>
      <c r="DN171" s="136"/>
      <c r="DO171" s="136"/>
      <c r="DP171" s="136"/>
      <c r="DQ171" s="136"/>
      <c r="DR171" s="136"/>
      <c r="DS171" s="136"/>
      <c r="DT171" s="136"/>
      <c r="DU171" s="136"/>
      <c r="DV171" s="136"/>
      <c r="DW171" s="136"/>
      <c r="DX171" s="136"/>
      <c r="DY171" s="136"/>
      <c r="DZ171" s="136"/>
      <c r="EA171" s="136"/>
      <c r="EB171" s="136"/>
      <c r="EC171" s="136"/>
      <c r="ED171" s="136"/>
      <c r="EE171" s="136"/>
      <c r="EF171" s="136"/>
      <c r="EG171" s="136"/>
      <c r="EH171" s="136"/>
      <c r="EI171" s="136"/>
      <c r="EJ171" s="136"/>
      <c r="EK171" s="136"/>
      <c r="EL171" s="136"/>
      <c r="EM171" s="136"/>
      <c r="EN171" s="136"/>
      <c r="EO171" s="136"/>
      <c r="EP171" s="136"/>
      <c r="EQ171" s="136"/>
      <c r="ER171" s="136"/>
      <c r="ES171" s="136"/>
      <c r="ET171" s="136"/>
      <c r="EU171" s="136"/>
      <c r="EV171" s="136"/>
      <c r="EW171" s="136"/>
      <c r="EX171" s="136"/>
      <c r="EY171" s="136"/>
      <c r="EZ171" s="136"/>
      <c r="FA171" s="136"/>
      <c r="FB171" s="136"/>
      <c r="FC171" s="136"/>
      <c r="FD171" s="136"/>
      <c r="FE171" s="136"/>
      <c r="FF171" s="136"/>
      <c r="FG171" s="136"/>
      <c r="FH171" s="136"/>
      <c r="FI171" s="136"/>
      <c r="FJ171" s="136"/>
      <c r="FK171" s="136"/>
      <c r="FL171" s="136"/>
      <c r="FM171" s="136"/>
      <c r="FN171" s="136"/>
      <c r="FO171" s="136"/>
      <c r="FP171" s="136"/>
      <c r="FQ171" s="136"/>
      <c r="FR171" s="136"/>
      <c r="FS171" s="136"/>
      <c r="FT171" s="136"/>
      <c r="FU171" s="136"/>
      <c r="FV171" s="136"/>
      <c r="FW171" s="136"/>
      <c r="FX171" s="136"/>
      <c r="FY171" s="136"/>
      <c r="FZ171" s="136"/>
      <c r="GA171" s="136"/>
      <c r="GB171" s="136"/>
      <c r="GC171" s="136"/>
      <c r="GD171" s="136"/>
      <c r="GE171" s="136"/>
      <c r="GF171" s="136"/>
      <c r="GG171" s="136"/>
      <c r="GH171" s="136"/>
      <c r="GI171" s="136"/>
      <c r="GJ171" s="136"/>
      <c r="GK171" s="136"/>
      <c r="GL171" s="136"/>
      <c r="GM171" s="136"/>
      <c r="GN171" s="136"/>
      <c r="GO171" s="136"/>
      <c r="GP171" s="136"/>
      <c r="GQ171" s="136"/>
      <c r="GR171" s="136"/>
      <c r="GS171" s="136"/>
      <c r="GT171" s="136"/>
      <c r="GU171" s="136"/>
      <c r="GV171" s="136"/>
      <c r="GW171" s="136"/>
      <c r="GX171" s="136"/>
      <c r="GY171" s="136"/>
      <c r="GZ171" s="136"/>
      <c r="HA171" s="136"/>
      <c r="HB171" s="136"/>
      <c r="HC171" s="136"/>
      <c r="HD171" s="136"/>
      <c r="HE171" s="136"/>
      <c r="HF171" s="136"/>
      <c r="HG171" s="136"/>
      <c r="HH171" s="136"/>
      <c r="HI171" s="136"/>
      <c r="HJ171" s="136"/>
      <c r="HK171" s="136"/>
      <c r="HL171" s="136"/>
      <c r="HM171" s="136"/>
      <c r="HN171" s="136"/>
      <c r="HO171" s="136"/>
      <c r="HP171" s="136"/>
      <c r="HQ171" s="136"/>
      <c r="HR171" s="136"/>
      <c r="HS171" s="136"/>
      <c r="HT171" s="136"/>
      <c r="HU171" s="136"/>
      <c r="HV171" s="136"/>
      <c r="HW171" s="136"/>
      <c r="HX171" s="136"/>
      <c r="HY171" s="136"/>
      <c r="HZ171" s="136"/>
      <c r="IA171" s="136"/>
      <c r="IB171" s="136"/>
      <c r="IC171" s="136"/>
      <c r="ID171" s="136"/>
      <c r="IE171" s="136"/>
      <c r="IF171" s="136"/>
      <c r="IG171" s="136"/>
      <c r="IH171" s="136"/>
      <c r="II171" s="136"/>
      <c r="IJ171" s="136"/>
      <c r="IK171" s="136"/>
      <c r="IL171" s="136"/>
      <c r="IM171" s="136"/>
      <c r="IN171" s="136"/>
      <c r="IO171" s="136"/>
      <c r="IP171" s="136"/>
      <c r="IQ171" s="136"/>
      <c r="IR171" s="136"/>
      <c r="IS171" s="136"/>
      <c r="IT171" s="136"/>
      <c r="IU171" s="136"/>
    </row>
    <row r="172" spans="1:255" s="1" customFormat="1" ht="48" customHeight="1" x14ac:dyDescent="0.2">
      <c r="A172" s="242" t="str">
        <f>'HECVAT - Full'!A172</f>
        <v>DCTR-14</v>
      </c>
      <c r="B172" s="242" t="str">
        <f>VLOOKUP(A172,'HECVAT - Full'!A$24:B$312,2,FALSE)</f>
        <v>Is the service hosted in a high availability environment?</v>
      </c>
      <c r="C172" s="243" t="s">
        <v>2873</v>
      </c>
      <c r="D172" s="253" t="s">
        <v>2874</v>
      </c>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row>
    <row r="173" spans="1:255" ht="48" customHeight="1" x14ac:dyDescent="0.2">
      <c r="A173" s="242" t="str">
        <f>'HECVAT - Full'!A173</f>
        <v>DCTR-15</v>
      </c>
      <c r="B173" s="242" t="str">
        <f>VLOOKUP(A173,'HECVAT - Full'!A$24:B$312,2,FALSE)</f>
        <v xml:space="preserve">Is redundant power available for all datacenters where institution data will reside? </v>
      </c>
      <c r="C173" s="243" t="s">
        <v>2873</v>
      </c>
      <c r="D173" s="253" t="s">
        <v>2874</v>
      </c>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6"/>
      <c r="AN173" s="136"/>
      <c r="AO173" s="136"/>
      <c r="AP173" s="136"/>
      <c r="AQ173" s="136"/>
      <c r="AR173" s="136"/>
      <c r="AS173" s="136"/>
      <c r="AT173" s="136"/>
      <c r="AU173" s="136"/>
      <c r="AV173" s="136"/>
      <c r="AW173" s="136"/>
      <c r="AX173" s="136"/>
      <c r="AY173" s="136"/>
      <c r="AZ173" s="136"/>
      <c r="BA173" s="136"/>
      <c r="BB173" s="136"/>
      <c r="BC173" s="136"/>
      <c r="BD173" s="136"/>
      <c r="BE173" s="136"/>
      <c r="BF173" s="136"/>
      <c r="BG173" s="136"/>
      <c r="BH173" s="136"/>
      <c r="BI173" s="136"/>
      <c r="BJ173" s="136"/>
      <c r="BK173" s="136"/>
      <c r="BL173" s="136"/>
      <c r="BM173" s="136"/>
      <c r="BN173" s="136"/>
      <c r="BO173" s="136"/>
      <c r="BP173" s="136"/>
      <c r="BQ173" s="136"/>
      <c r="BR173" s="136"/>
      <c r="BS173" s="136"/>
      <c r="BT173" s="136"/>
      <c r="BU173" s="136"/>
      <c r="BV173" s="136"/>
      <c r="BW173" s="136"/>
      <c r="BX173" s="136"/>
      <c r="BY173" s="136"/>
      <c r="BZ173" s="136"/>
      <c r="CA173" s="136"/>
      <c r="CB173" s="136"/>
      <c r="CC173" s="136"/>
      <c r="CD173" s="136"/>
      <c r="CE173" s="136"/>
      <c r="CF173" s="136"/>
      <c r="CG173" s="136"/>
      <c r="CH173" s="136"/>
      <c r="CI173" s="136"/>
      <c r="CJ173" s="136"/>
      <c r="CK173" s="136"/>
      <c r="CL173" s="136"/>
      <c r="CM173" s="136"/>
      <c r="CN173" s="136"/>
      <c r="CO173" s="136"/>
      <c r="CP173" s="136"/>
      <c r="CQ173" s="136"/>
      <c r="CR173" s="136"/>
      <c r="CS173" s="136"/>
      <c r="CT173" s="136"/>
      <c r="CU173" s="136"/>
      <c r="CV173" s="136"/>
      <c r="CW173" s="136"/>
      <c r="CX173" s="136"/>
      <c r="CY173" s="136"/>
      <c r="CZ173" s="136"/>
      <c r="DA173" s="136"/>
      <c r="DB173" s="136"/>
      <c r="DC173" s="136"/>
      <c r="DD173" s="136"/>
      <c r="DE173" s="136"/>
      <c r="DF173" s="136"/>
      <c r="DG173" s="136"/>
      <c r="DH173" s="136"/>
      <c r="DI173" s="136"/>
      <c r="DJ173" s="136"/>
      <c r="DK173" s="136"/>
      <c r="DL173" s="136"/>
      <c r="DM173" s="136"/>
      <c r="DN173" s="136"/>
      <c r="DO173" s="136"/>
      <c r="DP173" s="136"/>
      <c r="DQ173" s="136"/>
      <c r="DR173" s="136"/>
      <c r="DS173" s="136"/>
      <c r="DT173" s="136"/>
      <c r="DU173" s="136"/>
      <c r="DV173" s="136"/>
      <c r="DW173" s="136"/>
      <c r="DX173" s="136"/>
      <c r="DY173" s="136"/>
      <c r="DZ173" s="136"/>
      <c r="EA173" s="136"/>
      <c r="EB173" s="136"/>
      <c r="EC173" s="136"/>
      <c r="ED173" s="136"/>
      <c r="EE173" s="136"/>
      <c r="EF173" s="136"/>
      <c r="EG173" s="136"/>
      <c r="EH173" s="136"/>
      <c r="EI173" s="136"/>
      <c r="EJ173" s="136"/>
      <c r="EK173" s="136"/>
      <c r="EL173" s="136"/>
      <c r="EM173" s="136"/>
      <c r="EN173" s="136"/>
      <c r="EO173" s="136"/>
      <c r="EP173" s="136"/>
      <c r="EQ173" s="136"/>
      <c r="ER173" s="136"/>
      <c r="ES173" s="136"/>
      <c r="ET173" s="136"/>
      <c r="EU173" s="136"/>
      <c r="EV173" s="136"/>
      <c r="EW173" s="136"/>
      <c r="EX173" s="136"/>
      <c r="EY173" s="136"/>
      <c r="EZ173" s="136"/>
      <c r="FA173" s="136"/>
      <c r="FB173" s="136"/>
      <c r="FC173" s="136"/>
      <c r="FD173" s="136"/>
      <c r="FE173" s="136"/>
      <c r="FF173" s="136"/>
      <c r="FG173" s="136"/>
      <c r="FH173" s="136"/>
      <c r="FI173" s="136"/>
      <c r="FJ173" s="136"/>
      <c r="FK173" s="136"/>
      <c r="FL173" s="136"/>
      <c r="FM173" s="136"/>
      <c r="FN173" s="136"/>
      <c r="FO173" s="136"/>
      <c r="FP173" s="136"/>
      <c r="FQ173" s="136"/>
      <c r="FR173" s="136"/>
      <c r="FS173" s="136"/>
      <c r="FT173" s="136"/>
      <c r="FU173" s="136"/>
      <c r="FV173" s="136"/>
      <c r="FW173" s="136"/>
      <c r="FX173" s="136"/>
      <c r="FY173" s="136"/>
      <c r="FZ173" s="136"/>
      <c r="GA173" s="136"/>
      <c r="GB173" s="136"/>
      <c r="GC173" s="136"/>
      <c r="GD173" s="136"/>
      <c r="GE173" s="136"/>
      <c r="GF173" s="136"/>
      <c r="GG173" s="136"/>
      <c r="GH173" s="136"/>
      <c r="GI173" s="136"/>
      <c r="GJ173" s="136"/>
      <c r="GK173" s="136"/>
      <c r="GL173" s="136"/>
      <c r="GM173" s="136"/>
      <c r="GN173" s="136"/>
      <c r="GO173" s="136"/>
      <c r="GP173" s="136"/>
      <c r="GQ173" s="136"/>
      <c r="GR173" s="136"/>
      <c r="GS173" s="136"/>
      <c r="GT173" s="136"/>
      <c r="GU173" s="136"/>
      <c r="GV173" s="136"/>
      <c r="GW173" s="136"/>
      <c r="GX173" s="136"/>
      <c r="GY173" s="136"/>
      <c r="GZ173" s="136"/>
      <c r="HA173" s="136"/>
      <c r="HB173" s="136"/>
      <c r="HC173" s="136"/>
      <c r="HD173" s="136"/>
      <c r="HE173" s="136"/>
      <c r="HF173" s="136"/>
      <c r="HG173" s="136"/>
      <c r="HH173" s="136"/>
      <c r="HI173" s="136"/>
      <c r="HJ173" s="136"/>
      <c r="HK173" s="136"/>
      <c r="HL173" s="136"/>
      <c r="HM173" s="136"/>
      <c r="HN173" s="136"/>
      <c r="HO173" s="136"/>
      <c r="HP173" s="136"/>
      <c r="HQ173" s="136"/>
      <c r="HR173" s="136"/>
      <c r="HS173" s="136"/>
      <c r="HT173" s="136"/>
      <c r="HU173" s="136"/>
      <c r="HV173" s="136"/>
      <c r="HW173" s="136"/>
      <c r="HX173" s="136"/>
      <c r="HY173" s="136"/>
      <c r="HZ173" s="136"/>
      <c r="IA173" s="136"/>
      <c r="IB173" s="136"/>
      <c r="IC173" s="136"/>
      <c r="ID173" s="136"/>
      <c r="IE173" s="136"/>
      <c r="IF173" s="136"/>
      <c r="IG173" s="136"/>
      <c r="IH173" s="136"/>
      <c r="II173" s="136"/>
      <c r="IJ173" s="136"/>
      <c r="IK173" s="136"/>
      <c r="IL173" s="136"/>
      <c r="IM173" s="136"/>
      <c r="IN173" s="136"/>
      <c r="IO173" s="136"/>
      <c r="IP173" s="136"/>
      <c r="IQ173" s="136"/>
      <c r="IR173" s="136"/>
      <c r="IS173" s="136"/>
      <c r="IT173" s="136"/>
      <c r="IU173" s="136"/>
    </row>
    <row r="174" spans="1:255" ht="85.5" x14ac:dyDescent="0.2">
      <c r="A174" s="242" t="str">
        <f>'HECVAT - Full'!A174</f>
        <v>DCTR-16</v>
      </c>
      <c r="B174" s="242" t="str">
        <f>VLOOKUP(A174,'HECVAT - Full'!A$24:B$312,2,FALSE)</f>
        <v>Are redundant power strategies tested?</v>
      </c>
      <c r="C174" s="243" t="s">
        <v>2875</v>
      </c>
      <c r="D174" s="250" t="s">
        <v>2876</v>
      </c>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6"/>
      <c r="AN174" s="136"/>
      <c r="AO174" s="136"/>
      <c r="AP174" s="136"/>
      <c r="AQ174" s="136"/>
      <c r="AR174" s="136"/>
      <c r="AS174" s="136"/>
      <c r="AT174" s="136"/>
      <c r="AU174" s="136"/>
      <c r="AV174" s="136"/>
      <c r="AW174" s="136"/>
      <c r="AX174" s="136"/>
      <c r="AY174" s="136"/>
      <c r="AZ174" s="136"/>
      <c r="BA174" s="136"/>
      <c r="BB174" s="136"/>
      <c r="BC174" s="136"/>
      <c r="BD174" s="136"/>
      <c r="BE174" s="136"/>
      <c r="BF174" s="136"/>
      <c r="BG174" s="136"/>
      <c r="BH174" s="136"/>
      <c r="BI174" s="136"/>
      <c r="BJ174" s="136"/>
      <c r="BK174" s="136"/>
      <c r="BL174" s="136"/>
      <c r="BM174" s="136"/>
      <c r="BN174" s="136"/>
      <c r="BO174" s="136"/>
      <c r="BP174" s="136"/>
      <c r="BQ174" s="136"/>
      <c r="BR174" s="136"/>
      <c r="BS174" s="136"/>
      <c r="BT174" s="136"/>
      <c r="BU174" s="136"/>
      <c r="BV174" s="136"/>
      <c r="BW174" s="136"/>
      <c r="BX174" s="136"/>
      <c r="BY174" s="136"/>
      <c r="BZ174" s="136"/>
      <c r="CA174" s="136"/>
      <c r="CB174" s="136"/>
      <c r="CC174" s="136"/>
      <c r="CD174" s="136"/>
      <c r="CE174" s="136"/>
      <c r="CF174" s="136"/>
      <c r="CG174" s="136"/>
      <c r="CH174" s="136"/>
      <c r="CI174" s="136"/>
      <c r="CJ174" s="136"/>
      <c r="CK174" s="136"/>
      <c r="CL174" s="136"/>
      <c r="CM174" s="136"/>
      <c r="CN174" s="136"/>
      <c r="CO174" s="136"/>
      <c r="CP174" s="136"/>
      <c r="CQ174" s="136"/>
      <c r="CR174" s="136"/>
      <c r="CS174" s="136"/>
      <c r="CT174" s="136"/>
      <c r="CU174" s="136"/>
      <c r="CV174" s="136"/>
      <c r="CW174" s="136"/>
      <c r="CX174" s="136"/>
      <c r="CY174" s="136"/>
      <c r="CZ174" s="136"/>
      <c r="DA174" s="136"/>
      <c r="DB174" s="136"/>
      <c r="DC174" s="136"/>
      <c r="DD174" s="136"/>
      <c r="DE174" s="136"/>
      <c r="DF174" s="136"/>
      <c r="DG174" s="136"/>
      <c r="DH174" s="136"/>
      <c r="DI174" s="136"/>
      <c r="DJ174" s="136"/>
      <c r="DK174" s="136"/>
      <c r="DL174" s="136"/>
      <c r="DM174" s="136"/>
      <c r="DN174" s="136"/>
      <c r="DO174" s="136"/>
      <c r="DP174" s="136"/>
      <c r="DQ174" s="136"/>
      <c r="DR174" s="136"/>
      <c r="DS174" s="136"/>
      <c r="DT174" s="136"/>
      <c r="DU174" s="136"/>
      <c r="DV174" s="136"/>
      <c r="DW174" s="136"/>
      <c r="DX174" s="136"/>
      <c r="DY174" s="136"/>
      <c r="DZ174" s="136"/>
      <c r="EA174" s="136"/>
      <c r="EB174" s="136"/>
      <c r="EC174" s="136"/>
      <c r="ED174" s="136"/>
      <c r="EE174" s="136"/>
      <c r="EF174" s="136"/>
      <c r="EG174" s="136"/>
      <c r="EH174" s="136"/>
      <c r="EI174" s="136"/>
      <c r="EJ174" s="136"/>
      <c r="EK174" s="136"/>
      <c r="EL174" s="136"/>
      <c r="EM174" s="136"/>
      <c r="EN174" s="136"/>
      <c r="EO174" s="136"/>
      <c r="EP174" s="136"/>
      <c r="EQ174" s="136"/>
      <c r="ER174" s="136"/>
      <c r="ES174" s="136"/>
      <c r="ET174" s="136"/>
      <c r="EU174" s="136"/>
      <c r="EV174" s="136"/>
      <c r="EW174" s="136"/>
      <c r="EX174" s="136"/>
      <c r="EY174" s="136"/>
      <c r="EZ174" s="136"/>
      <c r="FA174" s="136"/>
      <c r="FB174" s="136"/>
      <c r="FC174" s="136"/>
      <c r="FD174" s="136"/>
      <c r="FE174" s="136"/>
      <c r="FF174" s="136"/>
      <c r="FG174" s="136"/>
      <c r="FH174" s="136"/>
      <c r="FI174" s="136"/>
      <c r="FJ174" s="136"/>
      <c r="FK174" s="136"/>
      <c r="FL174" s="136"/>
      <c r="FM174" s="136"/>
      <c r="FN174" s="136"/>
      <c r="FO174" s="136"/>
      <c r="FP174" s="136"/>
      <c r="FQ174" s="136"/>
      <c r="FR174" s="136"/>
      <c r="FS174" s="136"/>
      <c r="FT174" s="136"/>
      <c r="FU174" s="136"/>
      <c r="FV174" s="136"/>
      <c r="FW174" s="136"/>
      <c r="FX174" s="136"/>
      <c r="FY174" s="136"/>
      <c r="FZ174" s="136"/>
      <c r="GA174" s="136"/>
      <c r="GB174" s="136"/>
      <c r="GC174" s="136"/>
      <c r="GD174" s="136"/>
      <c r="GE174" s="136"/>
      <c r="GF174" s="136"/>
      <c r="GG174" s="136"/>
      <c r="GH174" s="136"/>
      <c r="GI174" s="136"/>
      <c r="GJ174" s="136"/>
      <c r="GK174" s="136"/>
      <c r="GL174" s="136"/>
      <c r="GM174" s="136"/>
      <c r="GN174" s="136"/>
      <c r="GO174" s="136"/>
      <c r="GP174" s="136"/>
      <c r="GQ174" s="136"/>
      <c r="GR174" s="136"/>
      <c r="GS174" s="136"/>
      <c r="GT174" s="136"/>
      <c r="GU174" s="136"/>
      <c r="GV174" s="136"/>
      <c r="GW174" s="136"/>
      <c r="GX174" s="136"/>
      <c r="GY174" s="136"/>
      <c r="GZ174" s="136"/>
      <c r="HA174" s="136"/>
      <c r="HB174" s="136"/>
      <c r="HC174" s="136"/>
      <c r="HD174" s="136"/>
      <c r="HE174" s="136"/>
      <c r="HF174" s="136"/>
      <c r="HG174" s="136"/>
      <c r="HH174" s="136"/>
      <c r="HI174" s="136"/>
      <c r="HJ174" s="136"/>
      <c r="HK174" s="136"/>
      <c r="HL174" s="136"/>
      <c r="HM174" s="136"/>
      <c r="HN174" s="136"/>
      <c r="HO174" s="136"/>
      <c r="HP174" s="136"/>
      <c r="HQ174" s="136"/>
      <c r="HR174" s="136"/>
      <c r="HS174" s="136"/>
      <c r="HT174" s="136"/>
      <c r="HU174" s="136"/>
      <c r="HV174" s="136"/>
      <c r="HW174" s="136"/>
      <c r="HX174" s="136"/>
      <c r="HY174" s="136"/>
      <c r="HZ174" s="136"/>
      <c r="IA174" s="136"/>
      <c r="IB174" s="136"/>
      <c r="IC174" s="136"/>
      <c r="ID174" s="136"/>
      <c r="IE174" s="136"/>
      <c r="IF174" s="136"/>
      <c r="IG174" s="136"/>
      <c r="IH174" s="136"/>
      <c r="II174" s="136"/>
      <c r="IJ174" s="136"/>
      <c r="IK174" s="136"/>
      <c r="IL174" s="136"/>
      <c r="IM174" s="136"/>
      <c r="IN174" s="136"/>
      <c r="IO174" s="136"/>
      <c r="IP174" s="136"/>
      <c r="IQ174" s="136"/>
      <c r="IR174" s="136"/>
      <c r="IS174" s="136"/>
      <c r="IT174" s="136"/>
      <c r="IU174" s="136"/>
    </row>
    <row r="175" spans="1:255" ht="80.25" customHeight="1" x14ac:dyDescent="0.2">
      <c r="A175" s="242" t="str">
        <f>'HECVAT - Full'!A175</f>
        <v>DCTR-17</v>
      </c>
      <c r="B175" s="242" t="str">
        <f>VLOOKUP(A175,'HECVAT - Full'!A$24:B$312,2,FALSE)</f>
        <v>Describe or provide a reference to the availability of cooling and fire suppression systems in all datacenters where institution data will reside.</v>
      </c>
      <c r="C175" s="243" t="s">
        <v>2877</v>
      </c>
      <c r="D175" s="250" t="s">
        <v>2878</v>
      </c>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6"/>
      <c r="AN175" s="136"/>
      <c r="AO175" s="136"/>
      <c r="AP175" s="136"/>
      <c r="AQ175" s="136"/>
      <c r="AR175" s="136"/>
      <c r="AS175" s="136"/>
      <c r="AT175" s="136"/>
      <c r="AU175" s="136"/>
      <c r="AV175" s="136"/>
      <c r="AW175" s="136"/>
      <c r="AX175" s="136"/>
      <c r="AY175" s="136"/>
      <c r="AZ175" s="136"/>
      <c r="BA175" s="136"/>
      <c r="BB175" s="136"/>
      <c r="BC175" s="136"/>
      <c r="BD175" s="136"/>
      <c r="BE175" s="136"/>
      <c r="BF175" s="136"/>
      <c r="BG175" s="136"/>
      <c r="BH175" s="136"/>
      <c r="BI175" s="136"/>
      <c r="BJ175" s="136"/>
      <c r="BK175" s="136"/>
      <c r="BL175" s="136"/>
      <c r="BM175" s="136"/>
      <c r="BN175" s="136"/>
      <c r="BO175" s="136"/>
      <c r="BP175" s="136"/>
      <c r="BQ175" s="136"/>
      <c r="BR175" s="136"/>
      <c r="BS175" s="136"/>
      <c r="BT175" s="136"/>
      <c r="BU175" s="136"/>
      <c r="BV175" s="136"/>
      <c r="BW175" s="136"/>
      <c r="BX175" s="136"/>
      <c r="BY175" s="136"/>
      <c r="BZ175" s="136"/>
      <c r="CA175" s="136"/>
      <c r="CB175" s="136"/>
      <c r="CC175" s="136"/>
      <c r="CD175" s="136"/>
      <c r="CE175" s="136"/>
      <c r="CF175" s="136"/>
      <c r="CG175" s="136"/>
      <c r="CH175" s="136"/>
      <c r="CI175" s="136"/>
      <c r="CJ175" s="136"/>
      <c r="CK175" s="136"/>
      <c r="CL175" s="136"/>
      <c r="CM175" s="136"/>
      <c r="CN175" s="136"/>
      <c r="CO175" s="136"/>
      <c r="CP175" s="136"/>
      <c r="CQ175" s="136"/>
      <c r="CR175" s="136"/>
      <c r="CS175" s="136"/>
      <c r="CT175" s="136"/>
      <c r="CU175" s="136"/>
      <c r="CV175" s="136"/>
      <c r="CW175" s="136"/>
      <c r="CX175" s="136"/>
      <c r="CY175" s="136"/>
      <c r="CZ175" s="136"/>
      <c r="DA175" s="136"/>
      <c r="DB175" s="136"/>
      <c r="DC175" s="136"/>
      <c r="DD175" s="136"/>
      <c r="DE175" s="136"/>
      <c r="DF175" s="136"/>
      <c r="DG175" s="136"/>
      <c r="DH175" s="136"/>
      <c r="DI175" s="136"/>
      <c r="DJ175" s="136"/>
      <c r="DK175" s="136"/>
      <c r="DL175" s="136"/>
      <c r="DM175" s="136"/>
      <c r="DN175" s="136"/>
      <c r="DO175" s="136"/>
      <c r="DP175" s="136"/>
      <c r="DQ175" s="136"/>
      <c r="DR175" s="136"/>
      <c r="DS175" s="136"/>
      <c r="DT175" s="136"/>
      <c r="DU175" s="136"/>
      <c r="DV175" s="136"/>
      <c r="DW175" s="136"/>
      <c r="DX175" s="136"/>
      <c r="DY175" s="136"/>
      <c r="DZ175" s="136"/>
      <c r="EA175" s="136"/>
      <c r="EB175" s="136"/>
      <c r="EC175" s="136"/>
      <c r="ED175" s="136"/>
      <c r="EE175" s="136"/>
      <c r="EF175" s="136"/>
      <c r="EG175" s="136"/>
      <c r="EH175" s="136"/>
      <c r="EI175" s="136"/>
      <c r="EJ175" s="136"/>
      <c r="EK175" s="136"/>
      <c r="EL175" s="136"/>
      <c r="EM175" s="136"/>
      <c r="EN175" s="136"/>
      <c r="EO175" s="136"/>
      <c r="EP175" s="136"/>
      <c r="EQ175" s="136"/>
      <c r="ER175" s="136"/>
      <c r="ES175" s="136"/>
      <c r="ET175" s="136"/>
      <c r="EU175" s="136"/>
      <c r="EV175" s="136"/>
      <c r="EW175" s="136"/>
      <c r="EX175" s="136"/>
      <c r="EY175" s="136"/>
      <c r="EZ175" s="136"/>
      <c r="FA175" s="136"/>
      <c r="FB175" s="136"/>
      <c r="FC175" s="136"/>
      <c r="FD175" s="136"/>
      <c r="FE175" s="136"/>
      <c r="FF175" s="136"/>
      <c r="FG175" s="136"/>
      <c r="FH175" s="136"/>
      <c r="FI175" s="136"/>
      <c r="FJ175" s="136"/>
      <c r="FK175" s="136"/>
      <c r="FL175" s="136"/>
      <c r="FM175" s="136"/>
      <c r="FN175" s="136"/>
      <c r="FO175" s="136"/>
      <c r="FP175" s="136"/>
      <c r="FQ175" s="136"/>
      <c r="FR175" s="136"/>
      <c r="FS175" s="136"/>
      <c r="FT175" s="136"/>
      <c r="FU175" s="136"/>
      <c r="FV175" s="136"/>
      <c r="FW175" s="136"/>
      <c r="FX175" s="136"/>
      <c r="FY175" s="136"/>
      <c r="FZ175" s="136"/>
      <c r="GA175" s="136"/>
      <c r="GB175" s="136"/>
      <c r="GC175" s="136"/>
      <c r="GD175" s="136"/>
      <c r="GE175" s="136"/>
      <c r="GF175" s="136"/>
      <c r="GG175" s="136"/>
      <c r="GH175" s="136"/>
      <c r="GI175" s="136"/>
      <c r="GJ175" s="136"/>
      <c r="GK175" s="136"/>
      <c r="GL175" s="136"/>
      <c r="GM175" s="136"/>
      <c r="GN175" s="136"/>
      <c r="GO175" s="136"/>
      <c r="GP175" s="136"/>
      <c r="GQ175" s="136"/>
      <c r="GR175" s="136"/>
      <c r="GS175" s="136"/>
      <c r="GT175" s="136"/>
      <c r="GU175" s="136"/>
      <c r="GV175" s="136"/>
      <c r="GW175" s="136"/>
      <c r="GX175" s="136"/>
      <c r="GY175" s="136"/>
      <c r="GZ175" s="136"/>
      <c r="HA175" s="136"/>
      <c r="HB175" s="136"/>
      <c r="HC175" s="136"/>
      <c r="HD175" s="136"/>
      <c r="HE175" s="136"/>
      <c r="HF175" s="136"/>
      <c r="HG175" s="136"/>
      <c r="HH175" s="136"/>
      <c r="HI175" s="136"/>
      <c r="HJ175" s="136"/>
      <c r="HK175" s="136"/>
      <c r="HL175" s="136"/>
      <c r="HM175" s="136"/>
      <c r="HN175" s="136"/>
      <c r="HO175" s="136"/>
      <c r="HP175" s="136"/>
      <c r="HQ175" s="136"/>
      <c r="HR175" s="136"/>
      <c r="HS175" s="136"/>
      <c r="HT175" s="136"/>
      <c r="HU175" s="136"/>
      <c r="HV175" s="136"/>
      <c r="HW175" s="136"/>
      <c r="HX175" s="136"/>
      <c r="HY175" s="136"/>
      <c r="HZ175" s="136"/>
      <c r="IA175" s="136"/>
      <c r="IB175" s="136"/>
      <c r="IC175" s="136"/>
      <c r="ID175" s="136"/>
      <c r="IE175" s="136"/>
      <c r="IF175" s="136"/>
      <c r="IG175" s="136"/>
      <c r="IH175" s="136"/>
      <c r="II175" s="136"/>
      <c r="IJ175" s="136"/>
      <c r="IK175" s="136"/>
      <c r="IL175" s="136"/>
      <c r="IM175" s="136"/>
      <c r="IN175" s="136"/>
      <c r="IO175" s="136"/>
      <c r="IP175" s="136"/>
      <c r="IQ175" s="136"/>
      <c r="IR175" s="136"/>
      <c r="IS175" s="136"/>
      <c r="IT175" s="136"/>
      <c r="IU175" s="136"/>
    </row>
    <row r="176" spans="1:255" ht="48" customHeight="1" x14ac:dyDescent="0.2">
      <c r="A176" s="242" t="str">
        <f>'HECVAT - Full'!A176</f>
        <v>DCTR-18</v>
      </c>
      <c r="B176" s="242" t="str">
        <f>VLOOKUP(A176,'HECVAT - Full'!A$24:B$312,2,FALSE)</f>
        <v xml:space="preserve">State how many Internet Service Providers (ISPs) provide connectivity to each datacenter where the institution's data will reside. </v>
      </c>
      <c r="C176" s="243" t="s">
        <v>2873</v>
      </c>
      <c r="D176" s="253" t="s">
        <v>2874</v>
      </c>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36"/>
      <c r="AO176" s="136"/>
      <c r="AP176" s="136"/>
      <c r="AQ176" s="136"/>
      <c r="AR176" s="136"/>
      <c r="AS176" s="136"/>
      <c r="AT176" s="136"/>
      <c r="AU176" s="136"/>
      <c r="AV176" s="136"/>
      <c r="AW176" s="136"/>
      <c r="AX176" s="136"/>
      <c r="AY176" s="136"/>
      <c r="AZ176" s="136"/>
      <c r="BA176" s="136"/>
      <c r="BB176" s="136"/>
      <c r="BC176" s="136"/>
      <c r="BD176" s="136"/>
      <c r="BE176" s="136"/>
      <c r="BF176" s="136"/>
      <c r="BG176" s="136"/>
      <c r="BH176" s="136"/>
      <c r="BI176" s="136"/>
      <c r="BJ176" s="136"/>
      <c r="BK176" s="136"/>
      <c r="BL176" s="136"/>
      <c r="BM176" s="136"/>
      <c r="BN176" s="136"/>
      <c r="BO176" s="136"/>
      <c r="BP176" s="136"/>
      <c r="BQ176" s="136"/>
      <c r="BR176" s="136"/>
      <c r="BS176" s="136"/>
      <c r="BT176" s="136"/>
      <c r="BU176" s="136"/>
      <c r="BV176" s="136"/>
      <c r="BW176" s="136"/>
      <c r="BX176" s="136"/>
      <c r="BY176" s="136"/>
      <c r="BZ176" s="136"/>
      <c r="CA176" s="136"/>
      <c r="CB176" s="136"/>
      <c r="CC176" s="136"/>
      <c r="CD176" s="136"/>
      <c r="CE176" s="136"/>
      <c r="CF176" s="136"/>
      <c r="CG176" s="136"/>
      <c r="CH176" s="136"/>
      <c r="CI176" s="136"/>
      <c r="CJ176" s="136"/>
      <c r="CK176" s="136"/>
      <c r="CL176" s="136"/>
      <c r="CM176" s="136"/>
      <c r="CN176" s="136"/>
      <c r="CO176" s="136"/>
      <c r="CP176" s="136"/>
      <c r="CQ176" s="136"/>
      <c r="CR176" s="136"/>
      <c r="CS176" s="136"/>
      <c r="CT176" s="136"/>
      <c r="CU176" s="136"/>
      <c r="CV176" s="136"/>
      <c r="CW176" s="136"/>
      <c r="CX176" s="136"/>
      <c r="CY176" s="136"/>
      <c r="CZ176" s="136"/>
      <c r="DA176" s="136"/>
      <c r="DB176" s="136"/>
      <c r="DC176" s="136"/>
      <c r="DD176" s="136"/>
      <c r="DE176" s="136"/>
      <c r="DF176" s="136"/>
      <c r="DG176" s="136"/>
      <c r="DH176" s="136"/>
      <c r="DI176" s="136"/>
      <c r="DJ176" s="136"/>
      <c r="DK176" s="136"/>
      <c r="DL176" s="136"/>
      <c r="DM176" s="136"/>
      <c r="DN176" s="136"/>
      <c r="DO176" s="136"/>
      <c r="DP176" s="136"/>
      <c r="DQ176" s="136"/>
      <c r="DR176" s="136"/>
      <c r="DS176" s="136"/>
      <c r="DT176" s="136"/>
      <c r="DU176" s="136"/>
      <c r="DV176" s="136"/>
      <c r="DW176" s="136"/>
      <c r="DX176" s="136"/>
      <c r="DY176" s="136"/>
      <c r="DZ176" s="136"/>
      <c r="EA176" s="136"/>
      <c r="EB176" s="136"/>
      <c r="EC176" s="136"/>
      <c r="ED176" s="136"/>
      <c r="EE176" s="136"/>
      <c r="EF176" s="136"/>
      <c r="EG176" s="136"/>
      <c r="EH176" s="136"/>
      <c r="EI176" s="136"/>
      <c r="EJ176" s="136"/>
      <c r="EK176" s="136"/>
      <c r="EL176" s="136"/>
      <c r="EM176" s="136"/>
      <c r="EN176" s="136"/>
      <c r="EO176" s="136"/>
      <c r="EP176" s="136"/>
      <c r="EQ176" s="136"/>
      <c r="ER176" s="136"/>
      <c r="ES176" s="136"/>
      <c r="ET176" s="136"/>
      <c r="EU176" s="136"/>
      <c r="EV176" s="136"/>
      <c r="EW176" s="136"/>
      <c r="EX176" s="136"/>
      <c r="EY176" s="136"/>
      <c r="EZ176" s="136"/>
      <c r="FA176" s="136"/>
      <c r="FB176" s="136"/>
      <c r="FC176" s="136"/>
      <c r="FD176" s="136"/>
      <c r="FE176" s="136"/>
      <c r="FF176" s="136"/>
      <c r="FG176" s="136"/>
      <c r="FH176" s="136"/>
      <c r="FI176" s="136"/>
      <c r="FJ176" s="136"/>
      <c r="FK176" s="136"/>
      <c r="FL176" s="136"/>
      <c r="FM176" s="136"/>
      <c r="FN176" s="136"/>
      <c r="FO176" s="136"/>
      <c r="FP176" s="136"/>
      <c r="FQ176" s="136"/>
      <c r="FR176" s="136"/>
      <c r="FS176" s="136"/>
      <c r="FT176" s="136"/>
      <c r="FU176" s="136"/>
      <c r="FV176" s="136"/>
      <c r="FW176" s="136"/>
      <c r="FX176" s="136"/>
      <c r="FY176" s="136"/>
      <c r="FZ176" s="136"/>
      <c r="GA176" s="136"/>
      <c r="GB176" s="136"/>
      <c r="GC176" s="136"/>
      <c r="GD176" s="136"/>
      <c r="GE176" s="136"/>
      <c r="GF176" s="136"/>
      <c r="GG176" s="136"/>
      <c r="GH176" s="136"/>
      <c r="GI176" s="136"/>
      <c r="GJ176" s="136"/>
      <c r="GK176" s="136"/>
      <c r="GL176" s="136"/>
      <c r="GM176" s="136"/>
      <c r="GN176" s="136"/>
      <c r="GO176" s="136"/>
      <c r="GP176" s="136"/>
      <c r="GQ176" s="136"/>
      <c r="GR176" s="136"/>
      <c r="GS176" s="136"/>
      <c r="GT176" s="136"/>
      <c r="GU176" s="136"/>
      <c r="GV176" s="136"/>
      <c r="GW176" s="136"/>
      <c r="GX176" s="136"/>
      <c r="GY176" s="136"/>
      <c r="GZ176" s="136"/>
      <c r="HA176" s="136"/>
      <c r="HB176" s="136"/>
      <c r="HC176" s="136"/>
      <c r="HD176" s="136"/>
      <c r="HE176" s="136"/>
      <c r="HF176" s="136"/>
      <c r="HG176" s="136"/>
      <c r="HH176" s="136"/>
      <c r="HI176" s="136"/>
      <c r="HJ176" s="136"/>
      <c r="HK176" s="136"/>
      <c r="HL176" s="136"/>
      <c r="HM176" s="136"/>
      <c r="HN176" s="136"/>
      <c r="HO176" s="136"/>
      <c r="HP176" s="136"/>
      <c r="HQ176" s="136"/>
      <c r="HR176" s="136"/>
      <c r="HS176" s="136"/>
      <c r="HT176" s="136"/>
      <c r="HU176" s="136"/>
      <c r="HV176" s="136"/>
      <c r="HW176" s="136"/>
      <c r="HX176" s="136"/>
      <c r="HY176" s="136"/>
      <c r="HZ176" s="136"/>
      <c r="IA176" s="136"/>
      <c r="IB176" s="136"/>
      <c r="IC176" s="136"/>
      <c r="ID176" s="136"/>
      <c r="IE176" s="136"/>
      <c r="IF176" s="136"/>
      <c r="IG176" s="136"/>
      <c r="IH176" s="136"/>
      <c r="II176" s="136"/>
      <c r="IJ176" s="136"/>
      <c r="IK176" s="136"/>
      <c r="IL176" s="136"/>
      <c r="IM176" s="136"/>
      <c r="IN176" s="136"/>
      <c r="IO176" s="136"/>
      <c r="IP176" s="136"/>
      <c r="IQ176" s="136"/>
      <c r="IR176" s="136"/>
      <c r="IS176" s="136"/>
      <c r="IT176" s="136"/>
      <c r="IU176" s="136"/>
    </row>
    <row r="177" spans="1:255" ht="48" customHeight="1" x14ac:dyDescent="0.2">
      <c r="A177" s="242" t="str">
        <f>'HECVAT - Full'!A177</f>
        <v>DCTR-19</v>
      </c>
      <c r="B177" s="242" t="str">
        <f>VLOOKUP(A177,'HECVAT - Full'!A$24:B$312,2,FALSE)</f>
        <v>Does every datacenter where the Institution's data will reside have multiple telephone company or network provider entrances to the facility?</v>
      </c>
      <c r="C177" s="243" t="s">
        <v>2873</v>
      </c>
      <c r="D177" s="253" t="s">
        <v>2874</v>
      </c>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36"/>
      <c r="AO177" s="136"/>
      <c r="AP177" s="136"/>
      <c r="AQ177" s="136"/>
      <c r="AR177" s="136"/>
      <c r="AS177" s="136"/>
      <c r="AT177" s="136"/>
      <c r="AU177" s="136"/>
      <c r="AV177" s="136"/>
      <c r="AW177" s="136"/>
      <c r="AX177" s="136"/>
      <c r="AY177" s="136"/>
      <c r="AZ177" s="136"/>
      <c r="BA177" s="136"/>
      <c r="BB177" s="136"/>
      <c r="BC177" s="136"/>
      <c r="BD177" s="136"/>
      <c r="BE177" s="136"/>
      <c r="BF177" s="136"/>
      <c r="BG177" s="136"/>
      <c r="BH177" s="136"/>
      <c r="BI177" s="136"/>
      <c r="BJ177" s="136"/>
      <c r="BK177" s="136"/>
      <c r="BL177" s="136"/>
      <c r="BM177" s="136"/>
      <c r="BN177" s="136"/>
      <c r="BO177" s="136"/>
      <c r="BP177" s="136"/>
      <c r="BQ177" s="136"/>
      <c r="BR177" s="136"/>
      <c r="BS177" s="136"/>
      <c r="BT177" s="136"/>
      <c r="BU177" s="136"/>
      <c r="BV177" s="136"/>
      <c r="BW177" s="136"/>
      <c r="BX177" s="136"/>
      <c r="BY177" s="136"/>
      <c r="BZ177" s="136"/>
      <c r="CA177" s="136"/>
      <c r="CB177" s="136"/>
      <c r="CC177" s="136"/>
      <c r="CD177" s="136"/>
      <c r="CE177" s="136"/>
      <c r="CF177" s="136"/>
      <c r="CG177" s="136"/>
      <c r="CH177" s="136"/>
      <c r="CI177" s="136"/>
      <c r="CJ177" s="136"/>
      <c r="CK177" s="136"/>
      <c r="CL177" s="136"/>
      <c r="CM177" s="136"/>
      <c r="CN177" s="136"/>
      <c r="CO177" s="136"/>
      <c r="CP177" s="136"/>
      <c r="CQ177" s="136"/>
      <c r="CR177" s="136"/>
      <c r="CS177" s="136"/>
      <c r="CT177" s="136"/>
      <c r="CU177" s="136"/>
      <c r="CV177" s="136"/>
      <c r="CW177" s="136"/>
      <c r="CX177" s="136"/>
      <c r="CY177" s="136"/>
      <c r="CZ177" s="136"/>
      <c r="DA177" s="136"/>
      <c r="DB177" s="136"/>
      <c r="DC177" s="136"/>
      <c r="DD177" s="136"/>
      <c r="DE177" s="136"/>
      <c r="DF177" s="136"/>
      <c r="DG177" s="136"/>
      <c r="DH177" s="136"/>
      <c r="DI177" s="136"/>
      <c r="DJ177" s="136"/>
      <c r="DK177" s="136"/>
      <c r="DL177" s="136"/>
      <c r="DM177" s="136"/>
      <c r="DN177" s="136"/>
      <c r="DO177" s="136"/>
      <c r="DP177" s="136"/>
      <c r="DQ177" s="136"/>
      <c r="DR177" s="136"/>
      <c r="DS177" s="136"/>
      <c r="DT177" s="136"/>
      <c r="DU177" s="136"/>
      <c r="DV177" s="136"/>
      <c r="DW177" s="136"/>
      <c r="DX177" s="136"/>
      <c r="DY177" s="136"/>
      <c r="DZ177" s="136"/>
      <c r="EA177" s="136"/>
      <c r="EB177" s="136"/>
      <c r="EC177" s="136"/>
      <c r="ED177" s="136"/>
      <c r="EE177" s="136"/>
      <c r="EF177" s="136"/>
      <c r="EG177" s="136"/>
      <c r="EH177" s="136"/>
      <c r="EI177" s="136"/>
      <c r="EJ177" s="136"/>
      <c r="EK177" s="136"/>
      <c r="EL177" s="136"/>
      <c r="EM177" s="136"/>
      <c r="EN177" s="136"/>
      <c r="EO177" s="136"/>
      <c r="EP177" s="136"/>
      <c r="EQ177" s="136"/>
      <c r="ER177" s="136"/>
      <c r="ES177" s="136"/>
      <c r="ET177" s="136"/>
      <c r="EU177" s="136"/>
      <c r="EV177" s="136"/>
      <c r="EW177" s="136"/>
      <c r="EX177" s="136"/>
      <c r="EY177" s="136"/>
      <c r="EZ177" s="136"/>
      <c r="FA177" s="136"/>
      <c r="FB177" s="136"/>
      <c r="FC177" s="136"/>
      <c r="FD177" s="136"/>
      <c r="FE177" s="136"/>
      <c r="FF177" s="136"/>
      <c r="FG177" s="136"/>
      <c r="FH177" s="136"/>
      <c r="FI177" s="136"/>
      <c r="FJ177" s="136"/>
      <c r="FK177" s="136"/>
      <c r="FL177" s="136"/>
      <c r="FM177" s="136"/>
      <c r="FN177" s="136"/>
      <c r="FO177" s="136"/>
      <c r="FP177" s="136"/>
      <c r="FQ177" s="136"/>
      <c r="FR177" s="136"/>
      <c r="FS177" s="136"/>
      <c r="FT177" s="136"/>
      <c r="FU177" s="136"/>
      <c r="FV177" s="136"/>
      <c r="FW177" s="136"/>
      <c r="FX177" s="136"/>
      <c r="FY177" s="136"/>
      <c r="FZ177" s="136"/>
      <c r="GA177" s="136"/>
      <c r="GB177" s="136"/>
      <c r="GC177" s="136"/>
      <c r="GD177" s="136"/>
      <c r="GE177" s="136"/>
      <c r="GF177" s="136"/>
      <c r="GG177" s="136"/>
      <c r="GH177" s="136"/>
      <c r="GI177" s="136"/>
      <c r="GJ177" s="136"/>
      <c r="GK177" s="136"/>
      <c r="GL177" s="136"/>
      <c r="GM177" s="136"/>
      <c r="GN177" s="136"/>
      <c r="GO177" s="136"/>
      <c r="GP177" s="136"/>
      <c r="GQ177" s="136"/>
      <c r="GR177" s="136"/>
      <c r="GS177" s="136"/>
      <c r="GT177" s="136"/>
      <c r="GU177" s="136"/>
      <c r="GV177" s="136"/>
      <c r="GW177" s="136"/>
      <c r="GX177" s="136"/>
      <c r="GY177" s="136"/>
      <c r="GZ177" s="136"/>
      <c r="HA177" s="136"/>
      <c r="HB177" s="136"/>
      <c r="HC177" s="136"/>
      <c r="HD177" s="136"/>
      <c r="HE177" s="136"/>
      <c r="HF177" s="136"/>
      <c r="HG177" s="136"/>
      <c r="HH177" s="136"/>
      <c r="HI177" s="136"/>
      <c r="HJ177" s="136"/>
      <c r="HK177" s="136"/>
      <c r="HL177" s="136"/>
      <c r="HM177" s="136"/>
      <c r="HN177" s="136"/>
      <c r="HO177" s="136"/>
      <c r="HP177" s="136"/>
      <c r="HQ177" s="136"/>
      <c r="HR177" s="136"/>
      <c r="HS177" s="136"/>
      <c r="HT177" s="136"/>
      <c r="HU177" s="136"/>
      <c r="HV177" s="136"/>
      <c r="HW177" s="136"/>
      <c r="HX177" s="136"/>
      <c r="HY177" s="136"/>
      <c r="HZ177" s="136"/>
      <c r="IA177" s="136"/>
      <c r="IB177" s="136"/>
      <c r="IC177" s="136"/>
      <c r="ID177" s="136"/>
      <c r="IE177" s="136"/>
      <c r="IF177" s="136"/>
      <c r="IG177" s="136"/>
      <c r="IH177" s="136"/>
      <c r="II177" s="136"/>
      <c r="IJ177" s="136"/>
      <c r="IK177" s="136"/>
      <c r="IL177" s="136"/>
      <c r="IM177" s="136"/>
      <c r="IN177" s="136"/>
      <c r="IO177" s="136"/>
      <c r="IP177" s="136"/>
      <c r="IQ177" s="136"/>
      <c r="IR177" s="136"/>
      <c r="IS177" s="136"/>
      <c r="IT177" s="136"/>
      <c r="IU177" s="136"/>
    </row>
    <row r="178" spans="1:255" ht="36" customHeight="1" x14ac:dyDescent="0.2">
      <c r="A178" s="335" t="str">
        <f>IF(OR($C$28="No",$C$30="Yes"),"DRP - Respond to as many questions below as possible.","Disaster Recovery Plan")</f>
        <v>Disaster Recovery Plan</v>
      </c>
      <c r="B178" s="335"/>
      <c r="C178" s="240" t="str">
        <f>$C$22</f>
        <v>Reason for Question</v>
      </c>
      <c r="D178" s="240" t="str">
        <f>$D$22</f>
        <v>Follow-up Inquiries/Responses</v>
      </c>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36"/>
      <c r="AO178" s="136"/>
      <c r="AP178" s="136"/>
      <c r="AQ178" s="136"/>
      <c r="AR178" s="136"/>
      <c r="AS178" s="136"/>
      <c r="AT178" s="136"/>
      <c r="AU178" s="136"/>
      <c r="AV178" s="136"/>
      <c r="AW178" s="136"/>
      <c r="AX178" s="136"/>
      <c r="AY178" s="136"/>
      <c r="AZ178" s="136"/>
      <c r="BA178" s="136"/>
      <c r="BB178" s="136"/>
      <c r="BC178" s="136"/>
      <c r="BD178" s="136"/>
      <c r="BE178" s="136"/>
      <c r="BF178" s="136"/>
      <c r="BG178" s="136"/>
      <c r="BH178" s="136"/>
      <c r="BI178" s="136"/>
      <c r="BJ178" s="136"/>
      <c r="BK178" s="136"/>
      <c r="BL178" s="136"/>
      <c r="BM178" s="136"/>
      <c r="BN178" s="136"/>
      <c r="BO178" s="136"/>
      <c r="BP178" s="136"/>
      <c r="BQ178" s="136"/>
      <c r="BR178" s="136"/>
      <c r="BS178" s="136"/>
      <c r="BT178" s="136"/>
      <c r="BU178" s="136"/>
      <c r="BV178" s="136"/>
      <c r="BW178" s="136"/>
      <c r="BX178" s="136"/>
      <c r="BY178" s="136"/>
      <c r="BZ178" s="136"/>
      <c r="CA178" s="136"/>
      <c r="CB178" s="136"/>
      <c r="CC178" s="136"/>
      <c r="CD178" s="136"/>
      <c r="CE178" s="136"/>
      <c r="CF178" s="136"/>
      <c r="CG178" s="136"/>
      <c r="CH178" s="136"/>
      <c r="CI178" s="136"/>
      <c r="CJ178" s="136"/>
      <c r="CK178" s="136"/>
      <c r="CL178" s="136"/>
      <c r="CM178" s="136"/>
      <c r="CN178" s="136"/>
      <c r="CO178" s="136"/>
      <c r="CP178" s="136"/>
      <c r="CQ178" s="136"/>
      <c r="CR178" s="136"/>
      <c r="CS178" s="136"/>
      <c r="CT178" s="136"/>
      <c r="CU178" s="136"/>
      <c r="CV178" s="136"/>
      <c r="CW178" s="136"/>
      <c r="CX178" s="136"/>
      <c r="CY178" s="136"/>
      <c r="CZ178" s="136"/>
      <c r="DA178" s="136"/>
      <c r="DB178" s="136"/>
      <c r="DC178" s="136"/>
      <c r="DD178" s="136"/>
      <c r="DE178" s="136"/>
      <c r="DF178" s="136"/>
      <c r="DG178" s="136"/>
      <c r="DH178" s="136"/>
      <c r="DI178" s="136"/>
      <c r="DJ178" s="136"/>
      <c r="DK178" s="136"/>
      <c r="DL178" s="136"/>
      <c r="DM178" s="136"/>
      <c r="DN178" s="136"/>
      <c r="DO178" s="136"/>
      <c r="DP178" s="136"/>
      <c r="DQ178" s="136"/>
      <c r="DR178" s="136"/>
      <c r="DS178" s="136"/>
      <c r="DT178" s="136"/>
      <c r="DU178" s="136"/>
      <c r="DV178" s="136"/>
      <c r="DW178" s="136"/>
      <c r="DX178" s="136"/>
      <c r="DY178" s="136"/>
      <c r="DZ178" s="136"/>
      <c r="EA178" s="136"/>
      <c r="EB178" s="136"/>
      <c r="EC178" s="136"/>
      <c r="ED178" s="136"/>
      <c r="EE178" s="136"/>
      <c r="EF178" s="136"/>
      <c r="EG178" s="136"/>
      <c r="EH178" s="136"/>
      <c r="EI178" s="136"/>
      <c r="EJ178" s="136"/>
      <c r="EK178" s="136"/>
      <c r="EL178" s="136"/>
      <c r="EM178" s="136"/>
      <c r="EN178" s="136"/>
      <c r="EO178" s="136"/>
      <c r="EP178" s="136"/>
      <c r="EQ178" s="136"/>
      <c r="ER178" s="136"/>
      <c r="ES178" s="136"/>
      <c r="ET178" s="136"/>
      <c r="EU178" s="136"/>
      <c r="EV178" s="136"/>
      <c r="EW178" s="136"/>
      <c r="EX178" s="136"/>
      <c r="EY178" s="136"/>
      <c r="EZ178" s="136"/>
      <c r="FA178" s="136"/>
      <c r="FB178" s="136"/>
      <c r="FC178" s="136"/>
      <c r="FD178" s="136"/>
      <c r="FE178" s="136"/>
      <c r="FF178" s="136"/>
      <c r="FG178" s="136"/>
      <c r="FH178" s="136"/>
      <c r="FI178" s="136"/>
      <c r="FJ178" s="136"/>
      <c r="FK178" s="136"/>
      <c r="FL178" s="136"/>
      <c r="FM178" s="136"/>
      <c r="FN178" s="136"/>
      <c r="FO178" s="136"/>
      <c r="FP178" s="136"/>
      <c r="FQ178" s="136"/>
      <c r="FR178" s="136"/>
      <c r="FS178" s="136"/>
      <c r="FT178" s="136"/>
      <c r="FU178" s="136"/>
      <c r="FV178" s="136"/>
      <c r="FW178" s="136"/>
      <c r="FX178" s="136"/>
      <c r="FY178" s="136"/>
      <c r="FZ178" s="136"/>
      <c r="GA178" s="136"/>
      <c r="GB178" s="136"/>
      <c r="GC178" s="136"/>
      <c r="GD178" s="136"/>
      <c r="GE178" s="136"/>
      <c r="GF178" s="136"/>
      <c r="GG178" s="136"/>
      <c r="GH178" s="136"/>
      <c r="GI178" s="136"/>
      <c r="GJ178" s="136"/>
      <c r="GK178" s="136"/>
      <c r="GL178" s="136"/>
      <c r="GM178" s="136"/>
      <c r="GN178" s="136"/>
      <c r="GO178" s="136"/>
      <c r="GP178" s="136"/>
      <c r="GQ178" s="136"/>
      <c r="GR178" s="136"/>
      <c r="GS178" s="136"/>
      <c r="GT178" s="136"/>
      <c r="GU178" s="136"/>
      <c r="GV178" s="136"/>
      <c r="GW178" s="136"/>
      <c r="GX178" s="136"/>
      <c r="GY178" s="136"/>
      <c r="GZ178" s="136"/>
      <c r="HA178" s="136"/>
      <c r="HB178" s="136"/>
      <c r="HC178" s="136"/>
      <c r="HD178" s="136"/>
      <c r="HE178" s="136"/>
      <c r="HF178" s="136"/>
      <c r="HG178" s="136"/>
      <c r="HH178" s="136"/>
      <c r="HI178" s="136"/>
      <c r="HJ178" s="136"/>
      <c r="HK178" s="136"/>
      <c r="HL178" s="136"/>
      <c r="HM178" s="136"/>
      <c r="HN178" s="136"/>
      <c r="HO178" s="136"/>
      <c r="HP178" s="136"/>
      <c r="HQ178" s="136"/>
      <c r="HR178" s="136"/>
      <c r="HS178" s="136"/>
      <c r="HT178" s="136"/>
      <c r="HU178" s="136"/>
      <c r="HV178" s="136"/>
      <c r="HW178" s="136"/>
      <c r="HX178" s="136"/>
      <c r="HY178" s="136"/>
      <c r="HZ178" s="136"/>
      <c r="IA178" s="136"/>
      <c r="IB178" s="136"/>
      <c r="IC178" s="136"/>
      <c r="ID178" s="136"/>
      <c r="IE178" s="136"/>
      <c r="IF178" s="136"/>
      <c r="IG178" s="136"/>
      <c r="IH178" s="136"/>
      <c r="II178" s="136"/>
      <c r="IJ178" s="136"/>
      <c r="IK178" s="136"/>
      <c r="IL178" s="136"/>
      <c r="IM178" s="136"/>
      <c r="IN178" s="136"/>
      <c r="IO178" s="136"/>
      <c r="IP178" s="136"/>
      <c r="IQ178" s="136"/>
      <c r="IR178" s="136"/>
      <c r="IS178" s="136"/>
      <c r="IT178" s="136"/>
      <c r="IU178" s="136"/>
    </row>
    <row r="179" spans="1:255" ht="111.75" customHeight="1" x14ac:dyDescent="0.2">
      <c r="A179" s="242" t="str">
        <f>'HECVAT - Full'!A179</f>
        <v>DRPL-01</v>
      </c>
      <c r="B179" s="242" t="str">
        <f>VLOOKUP(A179,'HECVAT - Full'!A$24:B$312,2,FALSE)</f>
        <v>Describe or provide a reference to your Disaster Recovery Plan (DRP).</v>
      </c>
      <c r="C179" s="275" t="s">
        <v>3036</v>
      </c>
      <c r="D179" s="257" t="s">
        <v>2879</v>
      </c>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36"/>
      <c r="AO179" s="136"/>
      <c r="AP179" s="136"/>
      <c r="AQ179" s="136"/>
      <c r="AR179" s="136"/>
      <c r="AS179" s="136"/>
      <c r="AT179" s="136"/>
      <c r="AU179" s="136"/>
      <c r="AV179" s="136"/>
      <c r="AW179" s="136"/>
      <c r="AX179" s="136"/>
      <c r="AY179" s="136"/>
      <c r="AZ179" s="136"/>
      <c r="BA179" s="136"/>
      <c r="BB179" s="136"/>
      <c r="BC179" s="136"/>
      <c r="BD179" s="136"/>
      <c r="BE179" s="136"/>
      <c r="BF179" s="136"/>
      <c r="BG179" s="136"/>
      <c r="BH179" s="136"/>
      <c r="BI179" s="136"/>
      <c r="BJ179" s="136"/>
      <c r="BK179" s="136"/>
      <c r="BL179" s="136"/>
      <c r="BM179" s="136"/>
      <c r="BN179" s="136"/>
      <c r="BO179" s="136"/>
      <c r="BP179" s="136"/>
      <c r="BQ179" s="136"/>
      <c r="BR179" s="136"/>
      <c r="BS179" s="136"/>
      <c r="BT179" s="136"/>
      <c r="BU179" s="136"/>
      <c r="BV179" s="136"/>
      <c r="BW179" s="136"/>
      <c r="BX179" s="136"/>
      <c r="BY179" s="136"/>
      <c r="BZ179" s="136"/>
      <c r="CA179" s="136"/>
      <c r="CB179" s="136"/>
      <c r="CC179" s="136"/>
      <c r="CD179" s="136"/>
      <c r="CE179" s="136"/>
      <c r="CF179" s="136"/>
      <c r="CG179" s="136"/>
      <c r="CH179" s="136"/>
      <c r="CI179" s="136"/>
      <c r="CJ179" s="136"/>
      <c r="CK179" s="136"/>
      <c r="CL179" s="136"/>
      <c r="CM179" s="136"/>
      <c r="CN179" s="136"/>
      <c r="CO179" s="136"/>
      <c r="CP179" s="136"/>
      <c r="CQ179" s="136"/>
      <c r="CR179" s="136"/>
      <c r="CS179" s="136"/>
      <c r="CT179" s="136"/>
      <c r="CU179" s="136"/>
      <c r="CV179" s="136"/>
      <c r="CW179" s="136"/>
      <c r="CX179" s="136"/>
      <c r="CY179" s="136"/>
      <c r="CZ179" s="136"/>
      <c r="DA179" s="136"/>
      <c r="DB179" s="136"/>
      <c r="DC179" s="136"/>
      <c r="DD179" s="136"/>
      <c r="DE179" s="136"/>
      <c r="DF179" s="136"/>
      <c r="DG179" s="136"/>
      <c r="DH179" s="136"/>
      <c r="DI179" s="136"/>
      <c r="DJ179" s="136"/>
      <c r="DK179" s="136"/>
      <c r="DL179" s="136"/>
      <c r="DM179" s="136"/>
      <c r="DN179" s="136"/>
      <c r="DO179" s="136"/>
      <c r="DP179" s="136"/>
      <c r="DQ179" s="136"/>
      <c r="DR179" s="136"/>
      <c r="DS179" s="136"/>
      <c r="DT179" s="136"/>
      <c r="DU179" s="136"/>
      <c r="DV179" s="136"/>
      <c r="DW179" s="136"/>
      <c r="DX179" s="136"/>
      <c r="DY179" s="136"/>
      <c r="DZ179" s="136"/>
      <c r="EA179" s="136"/>
      <c r="EB179" s="136"/>
      <c r="EC179" s="136"/>
      <c r="ED179" s="136"/>
      <c r="EE179" s="136"/>
      <c r="EF179" s="136"/>
      <c r="EG179" s="136"/>
      <c r="EH179" s="136"/>
      <c r="EI179" s="136"/>
      <c r="EJ179" s="136"/>
      <c r="EK179" s="136"/>
      <c r="EL179" s="136"/>
      <c r="EM179" s="136"/>
      <c r="EN179" s="136"/>
      <c r="EO179" s="136"/>
      <c r="EP179" s="136"/>
      <c r="EQ179" s="136"/>
      <c r="ER179" s="136"/>
      <c r="ES179" s="136"/>
      <c r="ET179" s="136"/>
      <c r="EU179" s="136"/>
      <c r="EV179" s="136"/>
      <c r="EW179" s="136"/>
      <c r="EX179" s="136"/>
      <c r="EY179" s="136"/>
      <c r="EZ179" s="136"/>
      <c r="FA179" s="136"/>
      <c r="FB179" s="136"/>
      <c r="FC179" s="136"/>
      <c r="FD179" s="136"/>
      <c r="FE179" s="136"/>
      <c r="FF179" s="136"/>
      <c r="FG179" s="136"/>
      <c r="FH179" s="136"/>
      <c r="FI179" s="136"/>
      <c r="FJ179" s="136"/>
      <c r="FK179" s="136"/>
      <c r="FL179" s="136"/>
      <c r="FM179" s="136"/>
      <c r="FN179" s="136"/>
      <c r="FO179" s="136"/>
      <c r="FP179" s="136"/>
      <c r="FQ179" s="136"/>
      <c r="FR179" s="136"/>
      <c r="FS179" s="136"/>
      <c r="FT179" s="136"/>
      <c r="FU179" s="136"/>
      <c r="FV179" s="136"/>
      <c r="FW179" s="136"/>
      <c r="FX179" s="136"/>
      <c r="FY179" s="136"/>
      <c r="FZ179" s="136"/>
      <c r="GA179" s="136"/>
      <c r="GB179" s="136"/>
      <c r="GC179" s="136"/>
      <c r="GD179" s="136"/>
      <c r="GE179" s="136"/>
      <c r="GF179" s="136"/>
      <c r="GG179" s="136"/>
      <c r="GH179" s="136"/>
      <c r="GI179" s="136"/>
      <c r="GJ179" s="136"/>
      <c r="GK179" s="136"/>
      <c r="GL179" s="136"/>
      <c r="GM179" s="136"/>
      <c r="GN179" s="136"/>
      <c r="GO179" s="136"/>
      <c r="GP179" s="136"/>
      <c r="GQ179" s="136"/>
      <c r="GR179" s="136"/>
      <c r="GS179" s="136"/>
      <c r="GT179" s="136"/>
      <c r="GU179" s="136"/>
      <c r="GV179" s="136"/>
      <c r="GW179" s="136"/>
      <c r="GX179" s="136"/>
      <c r="GY179" s="136"/>
      <c r="GZ179" s="136"/>
      <c r="HA179" s="136"/>
      <c r="HB179" s="136"/>
      <c r="HC179" s="136"/>
      <c r="HD179" s="136"/>
      <c r="HE179" s="136"/>
      <c r="HF179" s="136"/>
      <c r="HG179" s="136"/>
      <c r="HH179" s="136"/>
      <c r="HI179" s="136"/>
      <c r="HJ179" s="136"/>
      <c r="HK179" s="136"/>
      <c r="HL179" s="136"/>
      <c r="HM179" s="136"/>
      <c r="HN179" s="136"/>
      <c r="HO179" s="136"/>
      <c r="HP179" s="136"/>
      <c r="HQ179" s="136"/>
      <c r="HR179" s="136"/>
      <c r="HS179" s="136"/>
      <c r="HT179" s="136"/>
      <c r="HU179" s="136"/>
      <c r="HV179" s="136"/>
      <c r="HW179" s="136"/>
      <c r="HX179" s="136"/>
      <c r="HY179" s="136"/>
      <c r="HZ179" s="136"/>
      <c r="IA179" s="136"/>
      <c r="IB179" s="136"/>
      <c r="IC179" s="136"/>
      <c r="ID179" s="136"/>
      <c r="IE179" s="136"/>
      <c r="IF179" s="136"/>
      <c r="IG179" s="136"/>
      <c r="IH179" s="136"/>
      <c r="II179" s="136"/>
      <c r="IJ179" s="136"/>
      <c r="IK179" s="136"/>
      <c r="IL179" s="136"/>
      <c r="IM179" s="136"/>
      <c r="IN179" s="136"/>
      <c r="IO179" s="136"/>
      <c r="IP179" s="136"/>
      <c r="IQ179" s="136"/>
      <c r="IR179" s="136"/>
      <c r="IS179" s="136"/>
      <c r="IT179" s="136"/>
      <c r="IU179" s="136"/>
    </row>
    <row r="180" spans="1:255" ht="64.5" customHeight="1" x14ac:dyDescent="0.2">
      <c r="A180" s="242" t="str">
        <f>'HECVAT - Full'!A180</f>
        <v>DRPL-02</v>
      </c>
      <c r="B180" s="242" t="str">
        <f>VLOOKUP(A180,'HECVAT - Full'!A$24:B$312,2,FALSE)</f>
        <v>Is an owner assigned who is responsible for the maintenance and review of the DRP?</v>
      </c>
      <c r="C180" s="271" t="s">
        <v>3037</v>
      </c>
      <c r="D180" s="250" t="s">
        <v>2880</v>
      </c>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36"/>
      <c r="AO180" s="136"/>
      <c r="AP180" s="136"/>
      <c r="AQ180" s="136"/>
      <c r="AR180" s="136"/>
      <c r="AS180" s="136"/>
      <c r="AT180" s="136"/>
      <c r="AU180" s="136"/>
      <c r="AV180" s="136"/>
      <c r="AW180" s="136"/>
      <c r="AX180" s="136"/>
      <c r="AY180" s="136"/>
      <c r="AZ180" s="136"/>
      <c r="BA180" s="136"/>
      <c r="BB180" s="136"/>
      <c r="BC180" s="136"/>
      <c r="BD180" s="136"/>
      <c r="BE180" s="136"/>
      <c r="BF180" s="136"/>
      <c r="BG180" s="136"/>
      <c r="BH180" s="136"/>
      <c r="BI180" s="136"/>
      <c r="BJ180" s="136"/>
      <c r="BK180" s="136"/>
      <c r="BL180" s="136"/>
      <c r="BM180" s="136"/>
      <c r="BN180" s="136"/>
      <c r="BO180" s="136"/>
      <c r="BP180" s="136"/>
      <c r="BQ180" s="136"/>
      <c r="BR180" s="136"/>
      <c r="BS180" s="136"/>
      <c r="BT180" s="136"/>
      <c r="BU180" s="136"/>
      <c r="BV180" s="136"/>
      <c r="BW180" s="136"/>
      <c r="BX180" s="136"/>
      <c r="BY180" s="136"/>
      <c r="BZ180" s="136"/>
      <c r="CA180" s="136"/>
      <c r="CB180" s="136"/>
      <c r="CC180" s="136"/>
      <c r="CD180" s="136"/>
      <c r="CE180" s="136"/>
      <c r="CF180" s="136"/>
      <c r="CG180" s="136"/>
      <c r="CH180" s="136"/>
      <c r="CI180" s="136"/>
      <c r="CJ180" s="136"/>
      <c r="CK180" s="136"/>
      <c r="CL180" s="136"/>
      <c r="CM180" s="136"/>
      <c r="CN180" s="136"/>
      <c r="CO180" s="136"/>
      <c r="CP180" s="136"/>
      <c r="CQ180" s="136"/>
      <c r="CR180" s="136"/>
      <c r="CS180" s="136"/>
      <c r="CT180" s="136"/>
      <c r="CU180" s="136"/>
      <c r="CV180" s="136"/>
      <c r="CW180" s="136"/>
      <c r="CX180" s="136"/>
      <c r="CY180" s="136"/>
      <c r="CZ180" s="136"/>
      <c r="DA180" s="136"/>
      <c r="DB180" s="136"/>
      <c r="DC180" s="136"/>
      <c r="DD180" s="136"/>
      <c r="DE180" s="136"/>
      <c r="DF180" s="136"/>
      <c r="DG180" s="136"/>
      <c r="DH180" s="136"/>
      <c r="DI180" s="136"/>
      <c r="DJ180" s="136"/>
      <c r="DK180" s="136"/>
      <c r="DL180" s="136"/>
      <c r="DM180" s="136"/>
      <c r="DN180" s="136"/>
      <c r="DO180" s="136"/>
      <c r="DP180" s="136"/>
      <c r="DQ180" s="136"/>
      <c r="DR180" s="136"/>
      <c r="DS180" s="136"/>
      <c r="DT180" s="136"/>
      <c r="DU180" s="136"/>
      <c r="DV180" s="136"/>
      <c r="DW180" s="136"/>
      <c r="DX180" s="136"/>
      <c r="DY180" s="136"/>
      <c r="DZ180" s="136"/>
      <c r="EA180" s="136"/>
      <c r="EB180" s="136"/>
      <c r="EC180" s="136"/>
      <c r="ED180" s="136"/>
      <c r="EE180" s="136"/>
      <c r="EF180" s="136"/>
      <c r="EG180" s="136"/>
      <c r="EH180" s="136"/>
      <c r="EI180" s="136"/>
      <c r="EJ180" s="136"/>
      <c r="EK180" s="136"/>
      <c r="EL180" s="136"/>
      <c r="EM180" s="136"/>
      <c r="EN180" s="136"/>
      <c r="EO180" s="136"/>
      <c r="EP180" s="136"/>
      <c r="EQ180" s="136"/>
      <c r="ER180" s="136"/>
      <c r="ES180" s="136"/>
      <c r="ET180" s="136"/>
      <c r="EU180" s="136"/>
      <c r="EV180" s="136"/>
      <c r="EW180" s="136"/>
      <c r="EX180" s="136"/>
      <c r="EY180" s="136"/>
      <c r="EZ180" s="136"/>
      <c r="FA180" s="136"/>
      <c r="FB180" s="136"/>
      <c r="FC180" s="136"/>
      <c r="FD180" s="136"/>
      <c r="FE180" s="136"/>
      <c r="FF180" s="136"/>
      <c r="FG180" s="136"/>
      <c r="FH180" s="136"/>
      <c r="FI180" s="136"/>
      <c r="FJ180" s="136"/>
      <c r="FK180" s="136"/>
      <c r="FL180" s="136"/>
      <c r="FM180" s="136"/>
      <c r="FN180" s="136"/>
      <c r="FO180" s="136"/>
      <c r="FP180" s="136"/>
      <c r="FQ180" s="136"/>
      <c r="FR180" s="136"/>
      <c r="FS180" s="136"/>
      <c r="FT180" s="136"/>
      <c r="FU180" s="136"/>
      <c r="FV180" s="136"/>
      <c r="FW180" s="136"/>
      <c r="FX180" s="136"/>
      <c r="FY180" s="136"/>
      <c r="FZ180" s="136"/>
      <c r="GA180" s="136"/>
      <c r="GB180" s="136"/>
      <c r="GC180" s="136"/>
      <c r="GD180" s="136"/>
      <c r="GE180" s="136"/>
      <c r="GF180" s="136"/>
      <c r="GG180" s="136"/>
      <c r="GH180" s="136"/>
      <c r="GI180" s="136"/>
      <c r="GJ180" s="136"/>
      <c r="GK180" s="136"/>
      <c r="GL180" s="136"/>
      <c r="GM180" s="136"/>
      <c r="GN180" s="136"/>
      <c r="GO180" s="136"/>
      <c r="GP180" s="136"/>
      <c r="GQ180" s="136"/>
      <c r="GR180" s="136"/>
      <c r="GS180" s="136"/>
      <c r="GT180" s="136"/>
      <c r="GU180" s="136"/>
      <c r="GV180" s="136"/>
      <c r="GW180" s="136"/>
      <c r="GX180" s="136"/>
      <c r="GY180" s="136"/>
      <c r="GZ180" s="136"/>
      <c r="HA180" s="136"/>
      <c r="HB180" s="136"/>
      <c r="HC180" s="136"/>
      <c r="HD180" s="136"/>
      <c r="HE180" s="136"/>
      <c r="HF180" s="136"/>
      <c r="HG180" s="136"/>
      <c r="HH180" s="136"/>
      <c r="HI180" s="136"/>
      <c r="HJ180" s="136"/>
      <c r="HK180" s="136"/>
      <c r="HL180" s="136"/>
      <c r="HM180" s="136"/>
      <c r="HN180" s="136"/>
      <c r="HO180" s="136"/>
      <c r="HP180" s="136"/>
      <c r="HQ180" s="136"/>
      <c r="HR180" s="136"/>
      <c r="HS180" s="136"/>
      <c r="HT180" s="136"/>
      <c r="HU180" s="136"/>
      <c r="HV180" s="136"/>
      <c r="HW180" s="136"/>
      <c r="HX180" s="136"/>
      <c r="HY180" s="136"/>
      <c r="HZ180" s="136"/>
      <c r="IA180" s="136"/>
      <c r="IB180" s="136"/>
      <c r="IC180" s="136"/>
      <c r="ID180" s="136"/>
      <c r="IE180" s="136"/>
      <c r="IF180" s="136"/>
      <c r="IG180" s="136"/>
      <c r="IH180" s="136"/>
      <c r="II180" s="136"/>
      <c r="IJ180" s="136"/>
      <c r="IK180" s="136"/>
      <c r="IL180" s="136"/>
      <c r="IM180" s="136"/>
      <c r="IN180" s="136"/>
      <c r="IO180" s="136"/>
      <c r="IP180" s="136"/>
      <c r="IQ180" s="136"/>
      <c r="IR180" s="136"/>
      <c r="IS180" s="136"/>
      <c r="IT180" s="136"/>
      <c r="IU180" s="136"/>
    </row>
    <row r="181" spans="1:255" ht="57" x14ac:dyDescent="0.2">
      <c r="A181" s="242" t="str">
        <f>'HECVAT - Full'!A181</f>
        <v>DRPL-03</v>
      </c>
      <c r="B181" s="242" t="str">
        <f>VLOOKUP(A181,'HECVAT - Full'!A$24:B$312,2,FALSE)</f>
        <v>Can the Institution review your DRP and supporting documentation?</v>
      </c>
      <c r="C181" s="271" t="s">
        <v>3038</v>
      </c>
      <c r="D181" s="253" t="s">
        <v>2881</v>
      </c>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36"/>
      <c r="AO181" s="136"/>
      <c r="AP181" s="136"/>
      <c r="AQ181" s="136"/>
      <c r="AR181" s="136"/>
      <c r="AS181" s="136"/>
      <c r="AT181" s="136"/>
      <c r="AU181" s="136"/>
      <c r="AV181" s="136"/>
      <c r="AW181" s="136"/>
      <c r="AX181" s="136"/>
      <c r="AY181" s="136"/>
      <c r="AZ181" s="136"/>
      <c r="BA181" s="136"/>
      <c r="BB181" s="136"/>
      <c r="BC181" s="136"/>
      <c r="BD181" s="136"/>
      <c r="BE181" s="136"/>
      <c r="BF181" s="136"/>
      <c r="BG181" s="136"/>
      <c r="BH181" s="136"/>
      <c r="BI181" s="136"/>
      <c r="BJ181" s="136"/>
      <c r="BK181" s="136"/>
      <c r="BL181" s="136"/>
      <c r="BM181" s="136"/>
      <c r="BN181" s="136"/>
      <c r="BO181" s="136"/>
      <c r="BP181" s="136"/>
      <c r="BQ181" s="136"/>
      <c r="BR181" s="136"/>
      <c r="BS181" s="136"/>
      <c r="BT181" s="136"/>
      <c r="BU181" s="136"/>
      <c r="BV181" s="136"/>
      <c r="BW181" s="136"/>
      <c r="BX181" s="136"/>
      <c r="BY181" s="136"/>
      <c r="BZ181" s="136"/>
      <c r="CA181" s="136"/>
      <c r="CB181" s="136"/>
      <c r="CC181" s="136"/>
      <c r="CD181" s="136"/>
      <c r="CE181" s="136"/>
      <c r="CF181" s="136"/>
      <c r="CG181" s="136"/>
      <c r="CH181" s="136"/>
      <c r="CI181" s="136"/>
      <c r="CJ181" s="136"/>
      <c r="CK181" s="136"/>
      <c r="CL181" s="136"/>
      <c r="CM181" s="136"/>
      <c r="CN181" s="136"/>
      <c r="CO181" s="136"/>
      <c r="CP181" s="136"/>
      <c r="CQ181" s="136"/>
      <c r="CR181" s="136"/>
      <c r="CS181" s="136"/>
      <c r="CT181" s="136"/>
      <c r="CU181" s="136"/>
      <c r="CV181" s="136"/>
      <c r="CW181" s="136"/>
      <c r="CX181" s="136"/>
      <c r="CY181" s="136"/>
      <c r="CZ181" s="136"/>
      <c r="DA181" s="136"/>
      <c r="DB181" s="136"/>
      <c r="DC181" s="136"/>
      <c r="DD181" s="136"/>
      <c r="DE181" s="136"/>
      <c r="DF181" s="136"/>
      <c r="DG181" s="136"/>
      <c r="DH181" s="136"/>
      <c r="DI181" s="136"/>
      <c r="DJ181" s="136"/>
      <c r="DK181" s="136"/>
      <c r="DL181" s="136"/>
      <c r="DM181" s="136"/>
      <c r="DN181" s="136"/>
      <c r="DO181" s="136"/>
      <c r="DP181" s="136"/>
      <c r="DQ181" s="136"/>
      <c r="DR181" s="136"/>
      <c r="DS181" s="136"/>
      <c r="DT181" s="136"/>
      <c r="DU181" s="136"/>
      <c r="DV181" s="136"/>
      <c r="DW181" s="136"/>
      <c r="DX181" s="136"/>
      <c r="DY181" s="136"/>
      <c r="DZ181" s="136"/>
      <c r="EA181" s="136"/>
      <c r="EB181" s="136"/>
      <c r="EC181" s="136"/>
      <c r="ED181" s="136"/>
      <c r="EE181" s="136"/>
      <c r="EF181" s="136"/>
      <c r="EG181" s="136"/>
      <c r="EH181" s="136"/>
      <c r="EI181" s="136"/>
      <c r="EJ181" s="136"/>
      <c r="EK181" s="136"/>
      <c r="EL181" s="136"/>
      <c r="EM181" s="136"/>
      <c r="EN181" s="136"/>
      <c r="EO181" s="136"/>
      <c r="EP181" s="136"/>
      <c r="EQ181" s="136"/>
      <c r="ER181" s="136"/>
      <c r="ES181" s="136"/>
      <c r="ET181" s="136"/>
      <c r="EU181" s="136"/>
      <c r="EV181" s="136"/>
      <c r="EW181" s="136"/>
      <c r="EX181" s="136"/>
      <c r="EY181" s="136"/>
      <c r="EZ181" s="136"/>
      <c r="FA181" s="136"/>
      <c r="FB181" s="136"/>
      <c r="FC181" s="136"/>
      <c r="FD181" s="136"/>
      <c r="FE181" s="136"/>
      <c r="FF181" s="136"/>
      <c r="FG181" s="136"/>
      <c r="FH181" s="136"/>
      <c r="FI181" s="136"/>
      <c r="FJ181" s="136"/>
      <c r="FK181" s="136"/>
      <c r="FL181" s="136"/>
      <c r="FM181" s="136"/>
      <c r="FN181" s="136"/>
      <c r="FO181" s="136"/>
      <c r="FP181" s="136"/>
      <c r="FQ181" s="136"/>
      <c r="FR181" s="136"/>
      <c r="FS181" s="136"/>
      <c r="FT181" s="136"/>
      <c r="FU181" s="136"/>
      <c r="FV181" s="136"/>
      <c r="FW181" s="136"/>
      <c r="FX181" s="136"/>
      <c r="FY181" s="136"/>
      <c r="FZ181" s="136"/>
      <c r="GA181" s="136"/>
      <c r="GB181" s="136"/>
      <c r="GC181" s="136"/>
      <c r="GD181" s="136"/>
      <c r="GE181" s="136"/>
      <c r="GF181" s="136"/>
      <c r="GG181" s="136"/>
      <c r="GH181" s="136"/>
      <c r="GI181" s="136"/>
      <c r="GJ181" s="136"/>
      <c r="GK181" s="136"/>
      <c r="GL181" s="136"/>
      <c r="GM181" s="136"/>
      <c r="GN181" s="136"/>
      <c r="GO181" s="136"/>
      <c r="GP181" s="136"/>
      <c r="GQ181" s="136"/>
      <c r="GR181" s="136"/>
      <c r="GS181" s="136"/>
      <c r="GT181" s="136"/>
      <c r="GU181" s="136"/>
      <c r="GV181" s="136"/>
      <c r="GW181" s="136"/>
      <c r="GX181" s="136"/>
      <c r="GY181" s="136"/>
      <c r="GZ181" s="136"/>
      <c r="HA181" s="136"/>
      <c r="HB181" s="136"/>
      <c r="HC181" s="136"/>
      <c r="HD181" s="136"/>
      <c r="HE181" s="136"/>
      <c r="HF181" s="136"/>
      <c r="HG181" s="136"/>
      <c r="HH181" s="136"/>
      <c r="HI181" s="136"/>
      <c r="HJ181" s="136"/>
      <c r="HK181" s="136"/>
      <c r="HL181" s="136"/>
      <c r="HM181" s="136"/>
      <c r="HN181" s="136"/>
      <c r="HO181" s="136"/>
      <c r="HP181" s="136"/>
      <c r="HQ181" s="136"/>
      <c r="HR181" s="136"/>
      <c r="HS181" s="136"/>
      <c r="HT181" s="136"/>
      <c r="HU181" s="136"/>
      <c r="HV181" s="136"/>
      <c r="HW181" s="136"/>
      <c r="HX181" s="136"/>
      <c r="HY181" s="136"/>
      <c r="HZ181" s="136"/>
      <c r="IA181" s="136"/>
      <c r="IB181" s="136"/>
      <c r="IC181" s="136"/>
      <c r="ID181" s="136"/>
      <c r="IE181" s="136"/>
      <c r="IF181" s="136"/>
      <c r="IG181" s="136"/>
      <c r="IH181" s="136"/>
      <c r="II181" s="136"/>
      <c r="IJ181" s="136"/>
      <c r="IK181" s="136"/>
      <c r="IL181" s="136"/>
      <c r="IM181" s="136"/>
      <c r="IN181" s="136"/>
      <c r="IO181" s="136"/>
      <c r="IP181" s="136"/>
      <c r="IQ181" s="136"/>
      <c r="IR181" s="136"/>
      <c r="IS181" s="136"/>
      <c r="IT181" s="136"/>
      <c r="IU181" s="136"/>
    </row>
    <row r="182" spans="1:255" ht="85.5" x14ac:dyDescent="0.2">
      <c r="A182" s="242" t="str">
        <f>'HECVAT - Full'!A182</f>
        <v>DRPL-04</v>
      </c>
      <c r="B182" s="242" t="str">
        <f>VLOOKUP(A182,'HECVAT - Full'!A$24:B$312,2,FALSE)</f>
        <v>Are any disaster recovery locations outside the Institution's Data Zone?</v>
      </c>
      <c r="C182" s="245" t="s">
        <v>2844</v>
      </c>
      <c r="D182" s="250" t="s">
        <v>2845</v>
      </c>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36"/>
      <c r="AW182" s="136"/>
      <c r="AX182" s="136"/>
      <c r="AY182" s="136"/>
      <c r="AZ182" s="136"/>
      <c r="BA182" s="136"/>
      <c r="BB182" s="136"/>
      <c r="BC182" s="136"/>
      <c r="BD182" s="136"/>
      <c r="BE182" s="136"/>
      <c r="BF182" s="136"/>
      <c r="BG182" s="136"/>
      <c r="BH182" s="136"/>
      <c r="BI182" s="136"/>
      <c r="BJ182" s="136"/>
      <c r="BK182" s="136"/>
      <c r="BL182" s="136"/>
      <c r="BM182" s="136"/>
      <c r="BN182" s="136"/>
      <c r="BO182" s="136"/>
      <c r="BP182" s="136"/>
      <c r="BQ182" s="136"/>
      <c r="BR182" s="136"/>
      <c r="BS182" s="136"/>
      <c r="BT182" s="136"/>
      <c r="BU182" s="136"/>
      <c r="BV182" s="136"/>
      <c r="BW182" s="136"/>
      <c r="BX182" s="136"/>
      <c r="BY182" s="136"/>
      <c r="BZ182" s="136"/>
      <c r="CA182" s="136"/>
      <c r="CB182" s="136"/>
      <c r="CC182" s="136"/>
      <c r="CD182" s="136"/>
      <c r="CE182" s="136"/>
      <c r="CF182" s="136"/>
      <c r="CG182" s="136"/>
      <c r="CH182" s="136"/>
      <c r="CI182" s="136"/>
      <c r="CJ182" s="136"/>
      <c r="CK182" s="136"/>
      <c r="CL182" s="136"/>
      <c r="CM182" s="136"/>
      <c r="CN182" s="136"/>
      <c r="CO182" s="136"/>
      <c r="CP182" s="136"/>
      <c r="CQ182" s="136"/>
      <c r="CR182" s="136"/>
      <c r="CS182" s="136"/>
      <c r="CT182" s="136"/>
      <c r="CU182" s="136"/>
      <c r="CV182" s="136"/>
      <c r="CW182" s="136"/>
      <c r="CX182" s="136"/>
      <c r="CY182" s="136"/>
      <c r="CZ182" s="136"/>
      <c r="DA182" s="136"/>
      <c r="DB182" s="136"/>
      <c r="DC182" s="136"/>
      <c r="DD182" s="136"/>
      <c r="DE182" s="136"/>
      <c r="DF182" s="136"/>
      <c r="DG182" s="136"/>
      <c r="DH182" s="136"/>
      <c r="DI182" s="136"/>
      <c r="DJ182" s="136"/>
      <c r="DK182" s="136"/>
      <c r="DL182" s="136"/>
      <c r="DM182" s="136"/>
      <c r="DN182" s="136"/>
      <c r="DO182" s="136"/>
      <c r="DP182" s="136"/>
      <c r="DQ182" s="136"/>
      <c r="DR182" s="136"/>
      <c r="DS182" s="136"/>
      <c r="DT182" s="136"/>
      <c r="DU182" s="136"/>
      <c r="DV182" s="136"/>
      <c r="DW182" s="136"/>
      <c r="DX182" s="136"/>
      <c r="DY182" s="136"/>
      <c r="DZ182" s="136"/>
      <c r="EA182" s="136"/>
      <c r="EB182" s="136"/>
      <c r="EC182" s="136"/>
      <c r="ED182" s="136"/>
      <c r="EE182" s="136"/>
      <c r="EF182" s="136"/>
      <c r="EG182" s="136"/>
      <c r="EH182" s="136"/>
      <c r="EI182" s="136"/>
      <c r="EJ182" s="136"/>
      <c r="EK182" s="136"/>
      <c r="EL182" s="136"/>
      <c r="EM182" s="136"/>
      <c r="EN182" s="136"/>
      <c r="EO182" s="136"/>
      <c r="EP182" s="136"/>
      <c r="EQ182" s="136"/>
      <c r="ER182" s="136"/>
      <c r="ES182" s="136"/>
      <c r="ET182" s="136"/>
      <c r="EU182" s="136"/>
      <c r="EV182" s="136"/>
      <c r="EW182" s="136"/>
      <c r="EX182" s="136"/>
      <c r="EY182" s="136"/>
      <c r="EZ182" s="136"/>
      <c r="FA182" s="136"/>
      <c r="FB182" s="136"/>
      <c r="FC182" s="136"/>
      <c r="FD182" s="136"/>
      <c r="FE182" s="136"/>
      <c r="FF182" s="136"/>
      <c r="FG182" s="136"/>
      <c r="FH182" s="136"/>
      <c r="FI182" s="136"/>
      <c r="FJ182" s="136"/>
      <c r="FK182" s="136"/>
      <c r="FL182" s="136"/>
      <c r="FM182" s="136"/>
      <c r="FN182" s="136"/>
      <c r="FO182" s="136"/>
      <c r="FP182" s="136"/>
      <c r="FQ182" s="136"/>
      <c r="FR182" s="136"/>
      <c r="FS182" s="136"/>
      <c r="FT182" s="136"/>
      <c r="FU182" s="136"/>
      <c r="FV182" s="136"/>
      <c r="FW182" s="136"/>
      <c r="FX182" s="136"/>
      <c r="FY182" s="136"/>
      <c r="FZ182" s="136"/>
      <c r="GA182" s="136"/>
      <c r="GB182" s="136"/>
      <c r="GC182" s="136"/>
      <c r="GD182" s="136"/>
      <c r="GE182" s="136"/>
      <c r="GF182" s="136"/>
      <c r="GG182" s="136"/>
      <c r="GH182" s="136"/>
      <c r="GI182" s="136"/>
      <c r="GJ182" s="136"/>
      <c r="GK182" s="136"/>
      <c r="GL182" s="136"/>
      <c r="GM182" s="136"/>
      <c r="GN182" s="136"/>
      <c r="GO182" s="136"/>
      <c r="GP182" s="136"/>
      <c r="GQ182" s="136"/>
      <c r="GR182" s="136"/>
      <c r="GS182" s="136"/>
      <c r="GT182" s="136"/>
      <c r="GU182" s="136"/>
      <c r="GV182" s="136"/>
      <c r="GW182" s="136"/>
      <c r="GX182" s="136"/>
      <c r="GY182" s="136"/>
      <c r="GZ182" s="136"/>
      <c r="HA182" s="136"/>
      <c r="HB182" s="136"/>
      <c r="HC182" s="136"/>
      <c r="HD182" s="136"/>
      <c r="HE182" s="136"/>
      <c r="HF182" s="136"/>
      <c r="HG182" s="136"/>
      <c r="HH182" s="136"/>
      <c r="HI182" s="136"/>
      <c r="HJ182" s="136"/>
      <c r="HK182" s="136"/>
      <c r="HL182" s="136"/>
      <c r="HM182" s="136"/>
      <c r="HN182" s="136"/>
      <c r="HO182" s="136"/>
      <c r="HP182" s="136"/>
      <c r="HQ182" s="136"/>
      <c r="HR182" s="136"/>
      <c r="HS182" s="136"/>
      <c r="HT182" s="136"/>
      <c r="HU182" s="136"/>
      <c r="HV182" s="136"/>
      <c r="HW182" s="136"/>
      <c r="HX182" s="136"/>
      <c r="HY182" s="136"/>
      <c r="HZ182" s="136"/>
      <c r="IA182" s="136"/>
      <c r="IB182" s="136"/>
      <c r="IC182" s="136"/>
      <c r="ID182" s="136"/>
      <c r="IE182" s="136"/>
      <c r="IF182" s="136"/>
      <c r="IG182" s="136"/>
      <c r="IH182" s="136"/>
      <c r="II182" s="136"/>
      <c r="IJ182" s="136"/>
      <c r="IK182" s="136"/>
      <c r="IL182" s="136"/>
      <c r="IM182" s="136"/>
      <c r="IN182" s="136"/>
      <c r="IO182" s="136"/>
      <c r="IP182" s="136"/>
      <c r="IQ182" s="136"/>
      <c r="IR182" s="136"/>
      <c r="IS182" s="136"/>
      <c r="IT182" s="136"/>
      <c r="IU182" s="136"/>
    </row>
    <row r="183" spans="1:255" ht="84.75" customHeight="1" x14ac:dyDescent="0.2">
      <c r="A183" s="242" t="str">
        <f>'HECVAT - Full'!A183</f>
        <v>DRPL-05</v>
      </c>
      <c r="B183" s="242" t="str">
        <f>VLOOKUP(A183,'HECVAT - Full'!A$24:B$312,2,FALSE)</f>
        <v>Does your organization have a disaster recovery site or a contracted Disaster Recovery provider?</v>
      </c>
      <c r="C183" s="243" t="s">
        <v>2882</v>
      </c>
      <c r="D183" s="253" t="s">
        <v>2883</v>
      </c>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36"/>
      <c r="AW183" s="136"/>
      <c r="AX183" s="136"/>
      <c r="AY183" s="136"/>
      <c r="AZ183" s="136"/>
      <c r="BA183" s="136"/>
      <c r="BB183" s="136"/>
      <c r="BC183" s="136"/>
      <c r="BD183" s="136"/>
      <c r="BE183" s="136"/>
      <c r="BF183" s="136"/>
      <c r="BG183" s="136"/>
      <c r="BH183" s="136"/>
      <c r="BI183" s="136"/>
      <c r="BJ183" s="136"/>
      <c r="BK183" s="136"/>
      <c r="BL183" s="136"/>
      <c r="BM183" s="136"/>
      <c r="BN183" s="136"/>
      <c r="BO183" s="136"/>
      <c r="BP183" s="136"/>
      <c r="BQ183" s="136"/>
      <c r="BR183" s="136"/>
      <c r="BS183" s="136"/>
      <c r="BT183" s="136"/>
      <c r="BU183" s="136"/>
      <c r="BV183" s="136"/>
      <c r="BW183" s="136"/>
      <c r="BX183" s="136"/>
      <c r="BY183" s="136"/>
      <c r="BZ183" s="136"/>
      <c r="CA183" s="136"/>
      <c r="CB183" s="136"/>
      <c r="CC183" s="136"/>
      <c r="CD183" s="136"/>
      <c r="CE183" s="136"/>
      <c r="CF183" s="136"/>
      <c r="CG183" s="136"/>
      <c r="CH183" s="136"/>
      <c r="CI183" s="136"/>
      <c r="CJ183" s="136"/>
      <c r="CK183" s="136"/>
      <c r="CL183" s="136"/>
      <c r="CM183" s="136"/>
      <c r="CN183" s="136"/>
      <c r="CO183" s="136"/>
      <c r="CP183" s="136"/>
      <c r="CQ183" s="136"/>
      <c r="CR183" s="136"/>
      <c r="CS183" s="136"/>
      <c r="CT183" s="136"/>
      <c r="CU183" s="136"/>
      <c r="CV183" s="136"/>
      <c r="CW183" s="136"/>
      <c r="CX183" s="136"/>
      <c r="CY183" s="136"/>
      <c r="CZ183" s="136"/>
      <c r="DA183" s="136"/>
      <c r="DB183" s="136"/>
      <c r="DC183" s="136"/>
      <c r="DD183" s="136"/>
      <c r="DE183" s="136"/>
      <c r="DF183" s="136"/>
      <c r="DG183" s="136"/>
      <c r="DH183" s="136"/>
      <c r="DI183" s="136"/>
      <c r="DJ183" s="136"/>
      <c r="DK183" s="136"/>
      <c r="DL183" s="136"/>
      <c r="DM183" s="136"/>
      <c r="DN183" s="136"/>
      <c r="DO183" s="136"/>
      <c r="DP183" s="136"/>
      <c r="DQ183" s="136"/>
      <c r="DR183" s="136"/>
      <c r="DS183" s="136"/>
      <c r="DT183" s="136"/>
      <c r="DU183" s="136"/>
      <c r="DV183" s="136"/>
      <c r="DW183" s="136"/>
      <c r="DX183" s="136"/>
      <c r="DY183" s="136"/>
      <c r="DZ183" s="136"/>
      <c r="EA183" s="136"/>
      <c r="EB183" s="136"/>
      <c r="EC183" s="136"/>
      <c r="ED183" s="136"/>
      <c r="EE183" s="136"/>
      <c r="EF183" s="136"/>
      <c r="EG183" s="136"/>
      <c r="EH183" s="136"/>
      <c r="EI183" s="136"/>
      <c r="EJ183" s="136"/>
      <c r="EK183" s="136"/>
      <c r="EL183" s="136"/>
      <c r="EM183" s="136"/>
      <c r="EN183" s="136"/>
      <c r="EO183" s="136"/>
      <c r="EP183" s="136"/>
      <c r="EQ183" s="136"/>
      <c r="ER183" s="136"/>
      <c r="ES183" s="136"/>
      <c r="ET183" s="136"/>
      <c r="EU183" s="136"/>
      <c r="EV183" s="136"/>
      <c r="EW183" s="136"/>
      <c r="EX183" s="136"/>
      <c r="EY183" s="136"/>
      <c r="EZ183" s="136"/>
      <c r="FA183" s="136"/>
      <c r="FB183" s="136"/>
      <c r="FC183" s="136"/>
      <c r="FD183" s="136"/>
      <c r="FE183" s="136"/>
      <c r="FF183" s="136"/>
      <c r="FG183" s="136"/>
      <c r="FH183" s="136"/>
      <c r="FI183" s="136"/>
      <c r="FJ183" s="136"/>
      <c r="FK183" s="136"/>
      <c r="FL183" s="136"/>
      <c r="FM183" s="136"/>
      <c r="FN183" s="136"/>
      <c r="FO183" s="136"/>
      <c r="FP183" s="136"/>
      <c r="FQ183" s="136"/>
      <c r="FR183" s="136"/>
      <c r="FS183" s="136"/>
      <c r="FT183" s="136"/>
      <c r="FU183" s="136"/>
      <c r="FV183" s="136"/>
      <c r="FW183" s="136"/>
      <c r="FX183" s="136"/>
      <c r="FY183" s="136"/>
      <c r="FZ183" s="136"/>
      <c r="GA183" s="136"/>
      <c r="GB183" s="136"/>
      <c r="GC183" s="136"/>
      <c r="GD183" s="136"/>
      <c r="GE183" s="136"/>
      <c r="GF183" s="136"/>
      <c r="GG183" s="136"/>
      <c r="GH183" s="136"/>
      <c r="GI183" s="136"/>
      <c r="GJ183" s="136"/>
      <c r="GK183" s="136"/>
      <c r="GL183" s="136"/>
      <c r="GM183" s="136"/>
      <c r="GN183" s="136"/>
      <c r="GO183" s="136"/>
      <c r="GP183" s="136"/>
      <c r="GQ183" s="136"/>
      <c r="GR183" s="136"/>
      <c r="GS183" s="136"/>
      <c r="GT183" s="136"/>
      <c r="GU183" s="136"/>
      <c r="GV183" s="136"/>
      <c r="GW183" s="136"/>
      <c r="GX183" s="136"/>
      <c r="GY183" s="136"/>
      <c r="GZ183" s="136"/>
      <c r="HA183" s="136"/>
      <c r="HB183" s="136"/>
      <c r="HC183" s="136"/>
      <c r="HD183" s="136"/>
      <c r="HE183" s="136"/>
      <c r="HF183" s="136"/>
      <c r="HG183" s="136"/>
      <c r="HH183" s="136"/>
      <c r="HI183" s="136"/>
      <c r="HJ183" s="136"/>
      <c r="HK183" s="136"/>
      <c r="HL183" s="136"/>
      <c r="HM183" s="136"/>
      <c r="HN183" s="136"/>
      <c r="HO183" s="136"/>
      <c r="HP183" s="136"/>
      <c r="HQ183" s="136"/>
      <c r="HR183" s="136"/>
      <c r="HS183" s="136"/>
      <c r="HT183" s="136"/>
      <c r="HU183" s="136"/>
      <c r="HV183" s="136"/>
      <c r="HW183" s="136"/>
      <c r="HX183" s="136"/>
      <c r="HY183" s="136"/>
      <c r="HZ183" s="136"/>
      <c r="IA183" s="136"/>
      <c r="IB183" s="136"/>
      <c r="IC183" s="136"/>
      <c r="ID183" s="136"/>
      <c r="IE183" s="136"/>
      <c r="IF183" s="136"/>
      <c r="IG183" s="136"/>
      <c r="IH183" s="136"/>
      <c r="II183" s="136"/>
      <c r="IJ183" s="136"/>
      <c r="IK183" s="136"/>
      <c r="IL183" s="136"/>
      <c r="IM183" s="136"/>
      <c r="IN183" s="136"/>
      <c r="IO183" s="136"/>
      <c r="IP183" s="136"/>
      <c r="IQ183" s="136"/>
      <c r="IR183" s="136"/>
      <c r="IS183" s="136"/>
      <c r="IT183" s="136"/>
      <c r="IU183" s="136"/>
    </row>
    <row r="184" spans="1:255" ht="71.25" x14ac:dyDescent="0.2">
      <c r="A184" s="242" t="str">
        <f>'HECVAT - Full'!A184</f>
        <v>DRPL-06</v>
      </c>
      <c r="B184" s="242" t="str">
        <f>VLOOKUP(A184,'HECVAT - Full'!A$24:B$312,2,FALSE)</f>
        <v>Does your organization conduct an annual test of relocating to this site for disaster recovery purposes?</v>
      </c>
      <c r="C184" s="275" t="s">
        <v>3039</v>
      </c>
      <c r="D184" s="257" t="s">
        <v>2884</v>
      </c>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36"/>
      <c r="AW184" s="136"/>
      <c r="AX184" s="136"/>
      <c r="AY184" s="136"/>
      <c r="AZ184" s="136"/>
      <c r="BA184" s="136"/>
      <c r="BB184" s="136"/>
      <c r="BC184" s="136"/>
      <c r="BD184" s="136"/>
      <c r="BE184" s="136"/>
      <c r="BF184" s="136"/>
      <c r="BG184" s="136"/>
      <c r="BH184" s="136"/>
      <c r="BI184" s="136"/>
      <c r="BJ184" s="136"/>
      <c r="BK184" s="136"/>
      <c r="BL184" s="136"/>
      <c r="BM184" s="136"/>
      <c r="BN184" s="136"/>
      <c r="BO184" s="136"/>
      <c r="BP184" s="136"/>
      <c r="BQ184" s="136"/>
      <c r="BR184" s="136"/>
      <c r="BS184" s="136"/>
      <c r="BT184" s="136"/>
      <c r="BU184" s="136"/>
      <c r="BV184" s="136"/>
      <c r="BW184" s="136"/>
      <c r="BX184" s="136"/>
      <c r="BY184" s="136"/>
      <c r="BZ184" s="136"/>
      <c r="CA184" s="136"/>
      <c r="CB184" s="136"/>
      <c r="CC184" s="136"/>
      <c r="CD184" s="136"/>
      <c r="CE184" s="136"/>
      <c r="CF184" s="136"/>
      <c r="CG184" s="136"/>
      <c r="CH184" s="136"/>
      <c r="CI184" s="136"/>
      <c r="CJ184" s="136"/>
      <c r="CK184" s="136"/>
      <c r="CL184" s="136"/>
      <c r="CM184" s="136"/>
      <c r="CN184" s="136"/>
      <c r="CO184" s="136"/>
      <c r="CP184" s="136"/>
      <c r="CQ184" s="136"/>
      <c r="CR184" s="136"/>
      <c r="CS184" s="136"/>
      <c r="CT184" s="136"/>
      <c r="CU184" s="136"/>
      <c r="CV184" s="136"/>
      <c r="CW184" s="136"/>
      <c r="CX184" s="136"/>
      <c r="CY184" s="136"/>
      <c r="CZ184" s="136"/>
      <c r="DA184" s="136"/>
      <c r="DB184" s="136"/>
      <c r="DC184" s="136"/>
      <c r="DD184" s="136"/>
      <c r="DE184" s="136"/>
      <c r="DF184" s="136"/>
      <c r="DG184" s="136"/>
      <c r="DH184" s="136"/>
      <c r="DI184" s="136"/>
      <c r="DJ184" s="136"/>
      <c r="DK184" s="136"/>
      <c r="DL184" s="136"/>
      <c r="DM184" s="136"/>
      <c r="DN184" s="136"/>
      <c r="DO184" s="136"/>
      <c r="DP184" s="136"/>
      <c r="DQ184" s="136"/>
      <c r="DR184" s="136"/>
      <c r="DS184" s="136"/>
      <c r="DT184" s="136"/>
      <c r="DU184" s="136"/>
      <c r="DV184" s="136"/>
      <c r="DW184" s="136"/>
      <c r="DX184" s="136"/>
      <c r="DY184" s="136"/>
      <c r="DZ184" s="136"/>
      <c r="EA184" s="136"/>
      <c r="EB184" s="136"/>
      <c r="EC184" s="136"/>
      <c r="ED184" s="136"/>
      <c r="EE184" s="136"/>
      <c r="EF184" s="136"/>
      <c r="EG184" s="136"/>
      <c r="EH184" s="136"/>
      <c r="EI184" s="136"/>
      <c r="EJ184" s="136"/>
      <c r="EK184" s="136"/>
      <c r="EL184" s="136"/>
      <c r="EM184" s="136"/>
      <c r="EN184" s="136"/>
      <c r="EO184" s="136"/>
      <c r="EP184" s="136"/>
      <c r="EQ184" s="136"/>
      <c r="ER184" s="136"/>
      <c r="ES184" s="136"/>
      <c r="ET184" s="136"/>
      <c r="EU184" s="136"/>
      <c r="EV184" s="136"/>
      <c r="EW184" s="136"/>
      <c r="EX184" s="136"/>
      <c r="EY184" s="136"/>
      <c r="EZ184" s="136"/>
      <c r="FA184" s="136"/>
      <c r="FB184" s="136"/>
      <c r="FC184" s="136"/>
      <c r="FD184" s="136"/>
      <c r="FE184" s="136"/>
      <c r="FF184" s="136"/>
      <c r="FG184" s="136"/>
      <c r="FH184" s="136"/>
      <c r="FI184" s="136"/>
      <c r="FJ184" s="136"/>
      <c r="FK184" s="136"/>
      <c r="FL184" s="136"/>
      <c r="FM184" s="136"/>
      <c r="FN184" s="136"/>
      <c r="FO184" s="136"/>
      <c r="FP184" s="136"/>
      <c r="FQ184" s="136"/>
      <c r="FR184" s="136"/>
      <c r="FS184" s="136"/>
      <c r="FT184" s="136"/>
      <c r="FU184" s="136"/>
      <c r="FV184" s="136"/>
      <c r="FW184" s="136"/>
      <c r="FX184" s="136"/>
      <c r="FY184" s="136"/>
      <c r="FZ184" s="136"/>
      <c r="GA184" s="136"/>
      <c r="GB184" s="136"/>
      <c r="GC184" s="136"/>
      <c r="GD184" s="136"/>
      <c r="GE184" s="136"/>
      <c r="GF184" s="136"/>
      <c r="GG184" s="136"/>
      <c r="GH184" s="136"/>
      <c r="GI184" s="136"/>
      <c r="GJ184" s="136"/>
      <c r="GK184" s="136"/>
      <c r="GL184" s="136"/>
      <c r="GM184" s="136"/>
      <c r="GN184" s="136"/>
      <c r="GO184" s="136"/>
      <c r="GP184" s="136"/>
      <c r="GQ184" s="136"/>
      <c r="GR184" s="136"/>
      <c r="GS184" s="136"/>
      <c r="GT184" s="136"/>
      <c r="GU184" s="136"/>
      <c r="GV184" s="136"/>
      <c r="GW184" s="136"/>
      <c r="GX184" s="136"/>
      <c r="GY184" s="136"/>
      <c r="GZ184" s="136"/>
      <c r="HA184" s="136"/>
      <c r="HB184" s="136"/>
      <c r="HC184" s="136"/>
      <c r="HD184" s="136"/>
      <c r="HE184" s="136"/>
      <c r="HF184" s="136"/>
      <c r="HG184" s="136"/>
      <c r="HH184" s="136"/>
      <c r="HI184" s="136"/>
      <c r="HJ184" s="136"/>
      <c r="HK184" s="136"/>
      <c r="HL184" s="136"/>
      <c r="HM184" s="136"/>
      <c r="HN184" s="136"/>
      <c r="HO184" s="136"/>
      <c r="HP184" s="136"/>
      <c r="HQ184" s="136"/>
      <c r="HR184" s="136"/>
      <c r="HS184" s="136"/>
      <c r="HT184" s="136"/>
      <c r="HU184" s="136"/>
      <c r="HV184" s="136"/>
      <c r="HW184" s="136"/>
      <c r="HX184" s="136"/>
      <c r="HY184" s="136"/>
      <c r="HZ184" s="136"/>
      <c r="IA184" s="136"/>
      <c r="IB184" s="136"/>
      <c r="IC184" s="136"/>
      <c r="ID184" s="136"/>
      <c r="IE184" s="136"/>
      <c r="IF184" s="136"/>
      <c r="IG184" s="136"/>
      <c r="IH184" s="136"/>
      <c r="II184" s="136"/>
      <c r="IJ184" s="136"/>
      <c r="IK184" s="136"/>
      <c r="IL184" s="136"/>
      <c r="IM184" s="136"/>
      <c r="IN184" s="136"/>
      <c r="IO184" s="136"/>
      <c r="IP184" s="136"/>
      <c r="IQ184" s="136"/>
      <c r="IR184" s="136"/>
      <c r="IS184" s="136"/>
      <c r="IT184" s="136"/>
      <c r="IU184" s="136"/>
    </row>
    <row r="185" spans="1:255" ht="71.25" x14ac:dyDescent="0.2">
      <c r="A185" s="242" t="str">
        <f>'HECVAT - Full'!A185</f>
        <v>DRPL-07</v>
      </c>
      <c r="B185" s="242" t="str">
        <f>VLOOKUP(A185,'HECVAT - Full'!A$24:B$312,2,FALSE)</f>
        <v>Is there a defined problem/issue escalation plan in your DRP for impacted clients?</v>
      </c>
      <c r="C185" s="245" t="s">
        <v>2780</v>
      </c>
      <c r="D185" s="249" t="s">
        <v>2781</v>
      </c>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36"/>
      <c r="AW185" s="136"/>
      <c r="AX185" s="136"/>
      <c r="AY185" s="136"/>
      <c r="AZ185" s="136"/>
      <c r="BA185" s="136"/>
      <c r="BB185" s="136"/>
      <c r="BC185" s="136"/>
      <c r="BD185" s="136"/>
      <c r="BE185" s="136"/>
      <c r="BF185" s="136"/>
      <c r="BG185" s="136"/>
      <c r="BH185" s="136"/>
      <c r="BI185" s="136"/>
      <c r="BJ185" s="136"/>
      <c r="BK185" s="136"/>
      <c r="BL185" s="136"/>
      <c r="BM185" s="136"/>
      <c r="BN185" s="136"/>
      <c r="BO185" s="136"/>
      <c r="BP185" s="136"/>
      <c r="BQ185" s="136"/>
      <c r="BR185" s="136"/>
      <c r="BS185" s="136"/>
      <c r="BT185" s="136"/>
      <c r="BU185" s="136"/>
      <c r="BV185" s="136"/>
      <c r="BW185" s="136"/>
      <c r="BX185" s="136"/>
      <c r="BY185" s="136"/>
      <c r="BZ185" s="136"/>
      <c r="CA185" s="136"/>
      <c r="CB185" s="136"/>
      <c r="CC185" s="136"/>
      <c r="CD185" s="136"/>
      <c r="CE185" s="136"/>
      <c r="CF185" s="136"/>
      <c r="CG185" s="136"/>
      <c r="CH185" s="136"/>
      <c r="CI185" s="136"/>
      <c r="CJ185" s="136"/>
      <c r="CK185" s="136"/>
      <c r="CL185" s="136"/>
      <c r="CM185" s="136"/>
      <c r="CN185" s="136"/>
      <c r="CO185" s="136"/>
      <c r="CP185" s="136"/>
      <c r="CQ185" s="136"/>
      <c r="CR185" s="136"/>
      <c r="CS185" s="136"/>
      <c r="CT185" s="136"/>
      <c r="CU185" s="136"/>
      <c r="CV185" s="136"/>
      <c r="CW185" s="136"/>
      <c r="CX185" s="136"/>
      <c r="CY185" s="136"/>
      <c r="CZ185" s="136"/>
      <c r="DA185" s="136"/>
      <c r="DB185" s="136"/>
      <c r="DC185" s="136"/>
      <c r="DD185" s="136"/>
      <c r="DE185" s="136"/>
      <c r="DF185" s="136"/>
      <c r="DG185" s="136"/>
      <c r="DH185" s="136"/>
      <c r="DI185" s="136"/>
      <c r="DJ185" s="136"/>
      <c r="DK185" s="136"/>
      <c r="DL185" s="136"/>
      <c r="DM185" s="136"/>
      <c r="DN185" s="136"/>
      <c r="DO185" s="136"/>
      <c r="DP185" s="136"/>
      <c r="DQ185" s="136"/>
      <c r="DR185" s="136"/>
      <c r="DS185" s="136"/>
      <c r="DT185" s="136"/>
      <c r="DU185" s="136"/>
      <c r="DV185" s="136"/>
      <c r="DW185" s="136"/>
      <c r="DX185" s="136"/>
      <c r="DY185" s="136"/>
      <c r="DZ185" s="136"/>
      <c r="EA185" s="136"/>
      <c r="EB185" s="136"/>
      <c r="EC185" s="136"/>
      <c r="ED185" s="136"/>
      <c r="EE185" s="136"/>
      <c r="EF185" s="136"/>
      <c r="EG185" s="136"/>
      <c r="EH185" s="136"/>
      <c r="EI185" s="136"/>
      <c r="EJ185" s="136"/>
      <c r="EK185" s="136"/>
      <c r="EL185" s="136"/>
      <c r="EM185" s="136"/>
      <c r="EN185" s="136"/>
      <c r="EO185" s="136"/>
      <c r="EP185" s="136"/>
      <c r="EQ185" s="136"/>
      <c r="ER185" s="136"/>
      <c r="ES185" s="136"/>
      <c r="ET185" s="136"/>
      <c r="EU185" s="136"/>
      <c r="EV185" s="136"/>
      <c r="EW185" s="136"/>
      <c r="EX185" s="136"/>
      <c r="EY185" s="136"/>
      <c r="EZ185" s="136"/>
      <c r="FA185" s="136"/>
      <c r="FB185" s="136"/>
      <c r="FC185" s="136"/>
      <c r="FD185" s="136"/>
      <c r="FE185" s="136"/>
      <c r="FF185" s="136"/>
      <c r="FG185" s="136"/>
      <c r="FH185" s="136"/>
      <c r="FI185" s="136"/>
      <c r="FJ185" s="136"/>
      <c r="FK185" s="136"/>
      <c r="FL185" s="136"/>
      <c r="FM185" s="136"/>
      <c r="FN185" s="136"/>
      <c r="FO185" s="136"/>
      <c r="FP185" s="136"/>
      <c r="FQ185" s="136"/>
      <c r="FR185" s="136"/>
      <c r="FS185" s="136"/>
      <c r="FT185" s="136"/>
      <c r="FU185" s="136"/>
      <c r="FV185" s="136"/>
      <c r="FW185" s="136"/>
      <c r="FX185" s="136"/>
      <c r="FY185" s="136"/>
      <c r="FZ185" s="136"/>
      <c r="GA185" s="136"/>
      <c r="GB185" s="136"/>
      <c r="GC185" s="136"/>
      <c r="GD185" s="136"/>
      <c r="GE185" s="136"/>
      <c r="GF185" s="136"/>
      <c r="GG185" s="136"/>
      <c r="GH185" s="136"/>
      <c r="GI185" s="136"/>
      <c r="GJ185" s="136"/>
      <c r="GK185" s="136"/>
      <c r="GL185" s="136"/>
      <c r="GM185" s="136"/>
      <c r="GN185" s="136"/>
      <c r="GO185" s="136"/>
      <c r="GP185" s="136"/>
      <c r="GQ185" s="136"/>
      <c r="GR185" s="136"/>
      <c r="GS185" s="136"/>
      <c r="GT185" s="136"/>
      <c r="GU185" s="136"/>
      <c r="GV185" s="136"/>
      <c r="GW185" s="136"/>
      <c r="GX185" s="136"/>
      <c r="GY185" s="136"/>
      <c r="GZ185" s="136"/>
      <c r="HA185" s="136"/>
      <c r="HB185" s="136"/>
      <c r="HC185" s="136"/>
      <c r="HD185" s="136"/>
      <c r="HE185" s="136"/>
      <c r="HF185" s="136"/>
      <c r="HG185" s="136"/>
      <c r="HH185" s="136"/>
      <c r="HI185" s="136"/>
      <c r="HJ185" s="136"/>
      <c r="HK185" s="136"/>
      <c r="HL185" s="136"/>
      <c r="HM185" s="136"/>
      <c r="HN185" s="136"/>
      <c r="HO185" s="136"/>
      <c r="HP185" s="136"/>
      <c r="HQ185" s="136"/>
      <c r="HR185" s="136"/>
      <c r="HS185" s="136"/>
      <c r="HT185" s="136"/>
      <c r="HU185" s="136"/>
      <c r="HV185" s="136"/>
      <c r="HW185" s="136"/>
      <c r="HX185" s="136"/>
      <c r="HY185" s="136"/>
      <c r="HZ185" s="136"/>
      <c r="IA185" s="136"/>
      <c r="IB185" s="136"/>
      <c r="IC185" s="136"/>
      <c r="ID185" s="136"/>
      <c r="IE185" s="136"/>
      <c r="IF185" s="136"/>
      <c r="IG185" s="136"/>
      <c r="IH185" s="136"/>
      <c r="II185" s="136"/>
      <c r="IJ185" s="136"/>
      <c r="IK185" s="136"/>
      <c r="IL185" s="136"/>
      <c r="IM185" s="136"/>
      <c r="IN185" s="136"/>
      <c r="IO185" s="136"/>
      <c r="IP185" s="136"/>
      <c r="IQ185" s="136"/>
      <c r="IR185" s="136"/>
      <c r="IS185" s="136"/>
      <c r="IT185" s="136"/>
      <c r="IU185" s="136"/>
    </row>
    <row r="186" spans="1:255" ht="71.25" x14ac:dyDescent="0.2">
      <c r="A186" s="242" t="str">
        <f>'HECVAT - Full'!A186</f>
        <v>DRPL-08</v>
      </c>
      <c r="B186" s="242" t="str">
        <f>VLOOKUP(A186,'HECVAT - Full'!A$24:B$312,2,FALSE)</f>
        <v>Is there a documented communication plan in your DRP for impacted clients?</v>
      </c>
      <c r="C186" s="245" t="s">
        <v>2780</v>
      </c>
      <c r="D186" s="249" t="s">
        <v>2781</v>
      </c>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36"/>
      <c r="AW186" s="136"/>
      <c r="AX186" s="136"/>
      <c r="AY186" s="136"/>
      <c r="AZ186" s="136"/>
      <c r="BA186" s="136"/>
      <c r="BB186" s="136"/>
      <c r="BC186" s="136"/>
      <c r="BD186" s="136"/>
      <c r="BE186" s="136"/>
      <c r="BF186" s="136"/>
      <c r="BG186" s="136"/>
      <c r="BH186" s="136"/>
      <c r="BI186" s="136"/>
      <c r="BJ186" s="136"/>
      <c r="BK186" s="136"/>
      <c r="BL186" s="136"/>
      <c r="BM186" s="136"/>
      <c r="BN186" s="136"/>
      <c r="BO186" s="136"/>
      <c r="BP186" s="136"/>
      <c r="BQ186" s="136"/>
      <c r="BR186" s="136"/>
      <c r="BS186" s="136"/>
      <c r="BT186" s="136"/>
      <c r="BU186" s="136"/>
      <c r="BV186" s="136"/>
      <c r="BW186" s="136"/>
      <c r="BX186" s="136"/>
      <c r="BY186" s="136"/>
      <c r="BZ186" s="136"/>
      <c r="CA186" s="136"/>
      <c r="CB186" s="136"/>
      <c r="CC186" s="136"/>
      <c r="CD186" s="136"/>
      <c r="CE186" s="136"/>
      <c r="CF186" s="136"/>
      <c r="CG186" s="136"/>
      <c r="CH186" s="136"/>
      <c r="CI186" s="136"/>
      <c r="CJ186" s="136"/>
      <c r="CK186" s="136"/>
      <c r="CL186" s="136"/>
      <c r="CM186" s="136"/>
      <c r="CN186" s="136"/>
      <c r="CO186" s="136"/>
      <c r="CP186" s="136"/>
      <c r="CQ186" s="136"/>
      <c r="CR186" s="136"/>
      <c r="CS186" s="136"/>
      <c r="CT186" s="136"/>
      <c r="CU186" s="136"/>
      <c r="CV186" s="136"/>
      <c r="CW186" s="136"/>
      <c r="CX186" s="136"/>
      <c r="CY186" s="136"/>
      <c r="CZ186" s="136"/>
      <c r="DA186" s="136"/>
      <c r="DB186" s="136"/>
      <c r="DC186" s="136"/>
      <c r="DD186" s="136"/>
      <c r="DE186" s="136"/>
      <c r="DF186" s="136"/>
      <c r="DG186" s="136"/>
      <c r="DH186" s="136"/>
      <c r="DI186" s="136"/>
      <c r="DJ186" s="136"/>
      <c r="DK186" s="136"/>
      <c r="DL186" s="136"/>
      <c r="DM186" s="136"/>
      <c r="DN186" s="136"/>
      <c r="DO186" s="136"/>
      <c r="DP186" s="136"/>
      <c r="DQ186" s="136"/>
      <c r="DR186" s="136"/>
      <c r="DS186" s="136"/>
      <c r="DT186" s="136"/>
      <c r="DU186" s="136"/>
      <c r="DV186" s="136"/>
      <c r="DW186" s="136"/>
      <c r="DX186" s="136"/>
      <c r="DY186" s="136"/>
      <c r="DZ186" s="136"/>
      <c r="EA186" s="136"/>
      <c r="EB186" s="136"/>
      <c r="EC186" s="136"/>
      <c r="ED186" s="136"/>
      <c r="EE186" s="136"/>
      <c r="EF186" s="136"/>
      <c r="EG186" s="136"/>
      <c r="EH186" s="136"/>
      <c r="EI186" s="136"/>
      <c r="EJ186" s="136"/>
      <c r="EK186" s="136"/>
      <c r="EL186" s="136"/>
      <c r="EM186" s="136"/>
      <c r="EN186" s="136"/>
      <c r="EO186" s="136"/>
      <c r="EP186" s="136"/>
      <c r="EQ186" s="136"/>
      <c r="ER186" s="136"/>
      <c r="ES186" s="136"/>
      <c r="ET186" s="136"/>
      <c r="EU186" s="136"/>
      <c r="EV186" s="136"/>
      <c r="EW186" s="136"/>
      <c r="EX186" s="136"/>
      <c r="EY186" s="136"/>
      <c r="EZ186" s="136"/>
      <c r="FA186" s="136"/>
      <c r="FB186" s="136"/>
      <c r="FC186" s="136"/>
      <c r="FD186" s="136"/>
      <c r="FE186" s="136"/>
      <c r="FF186" s="136"/>
      <c r="FG186" s="136"/>
      <c r="FH186" s="136"/>
      <c r="FI186" s="136"/>
      <c r="FJ186" s="136"/>
      <c r="FK186" s="136"/>
      <c r="FL186" s="136"/>
      <c r="FM186" s="136"/>
      <c r="FN186" s="136"/>
      <c r="FO186" s="136"/>
      <c r="FP186" s="136"/>
      <c r="FQ186" s="136"/>
      <c r="FR186" s="136"/>
      <c r="FS186" s="136"/>
      <c r="FT186" s="136"/>
      <c r="FU186" s="136"/>
      <c r="FV186" s="136"/>
      <c r="FW186" s="136"/>
      <c r="FX186" s="136"/>
      <c r="FY186" s="136"/>
      <c r="FZ186" s="136"/>
      <c r="GA186" s="136"/>
      <c r="GB186" s="136"/>
      <c r="GC186" s="136"/>
      <c r="GD186" s="136"/>
      <c r="GE186" s="136"/>
      <c r="GF186" s="136"/>
      <c r="GG186" s="136"/>
      <c r="GH186" s="136"/>
      <c r="GI186" s="136"/>
      <c r="GJ186" s="136"/>
      <c r="GK186" s="136"/>
      <c r="GL186" s="136"/>
      <c r="GM186" s="136"/>
      <c r="GN186" s="136"/>
      <c r="GO186" s="136"/>
      <c r="GP186" s="136"/>
      <c r="GQ186" s="136"/>
      <c r="GR186" s="136"/>
      <c r="GS186" s="136"/>
      <c r="GT186" s="136"/>
      <c r="GU186" s="136"/>
      <c r="GV186" s="136"/>
      <c r="GW186" s="136"/>
      <c r="GX186" s="136"/>
      <c r="GY186" s="136"/>
      <c r="GZ186" s="136"/>
      <c r="HA186" s="136"/>
      <c r="HB186" s="136"/>
      <c r="HC186" s="136"/>
      <c r="HD186" s="136"/>
      <c r="HE186" s="136"/>
      <c r="HF186" s="136"/>
      <c r="HG186" s="136"/>
      <c r="HH186" s="136"/>
      <c r="HI186" s="136"/>
      <c r="HJ186" s="136"/>
      <c r="HK186" s="136"/>
      <c r="HL186" s="136"/>
      <c r="HM186" s="136"/>
      <c r="HN186" s="136"/>
      <c r="HO186" s="136"/>
      <c r="HP186" s="136"/>
      <c r="HQ186" s="136"/>
      <c r="HR186" s="136"/>
      <c r="HS186" s="136"/>
      <c r="HT186" s="136"/>
      <c r="HU186" s="136"/>
      <c r="HV186" s="136"/>
      <c r="HW186" s="136"/>
      <c r="HX186" s="136"/>
      <c r="HY186" s="136"/>
      <c r="HZ186" s="136"/>
      <c r="IA186" s="136"/>
      <c r="IB186" s="136"/>
      <c r="IC186" s="136"/>
      <c r="ID186" s="136"/>
      <c r="IE186" s="136"/>
      <c r="IF186" s="136"/>
      <c r="IG186" s="136"/>
      <c r="IH186" s="136"/>
      <c r="II186" s="136"/>
      <c r="IJ186" s="136"/>
      <c r="IK186" s="136"/>
      <c r="IL186" s="136"/>
      <c r="IM186" s="136"/>
      <c r="IN186" s="136"/>
      <c r="IO186" s="136"/>
      <c r="IP186" s="136"/>
      <c r="IQ186" s="136"/>
      <c r="IR186" s="136"/>
      <c r="IS186" s="136"/>
      <c r="IT186" s="136"/>
      <c r="IU186" s="136"/>
    </row>
    <row r="187" spans="1:255" ht="83.25" customHeight="1" x14ac:dyDescent="0.2">
      <c r="A187" s="242" t="str">
        <f>'HECVAT - Full'!A187</f>
        <v>DRPL-09</v>
      </c>
      <c r="B187" s="242" t="str">
        <f>VLOOKUP(A187,'HECVAT - Full'!A$24:B$312,2,FALSE)</f>
        <v>Describe or provide a reference to how your disaster recovery plan is tested? (i.e. scope of DR tests, end-to-end testing, etc.)</v>
      </c>
      <c r="C187" s="275" t="s">
        <v>3040</v>
      </c>
      <c r="D187" s="257" t="s">
        <v>2884</v>
      </c>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6"/>
      <c r="AN187" s="136"/>
      <c r="AO187" s="136"/>
      <c r="AP187" s="136"/>
      <c r="AQ187" s="136"/>
      <c r="AR187" s="136"/>
      <c r="AS187" s="136"/>
      <c r="AT187" s="136"/>
      <c r="AU187" s="136"/>
      <c r="AV187" s="136"/>
      <c r="AW187" s="136"/>
      <c r="AX187" s="136"/>
      <c r="AY187" s="136"/>
      <c r="AZ187" s="136"/>
      <c r="BA187" s="136"/>
      <c r="BB187" s="136"/>
      <c r="BC187" s="136"/>
      <c r="BD187" s="136"/>
      <c r="BE187" s="136"/>
      <c r="BF187" s="136"/>
      <c r="BG187" s="136"/>
      <c r="BH187" s="136"/>
      <c r="BI187" s="136"/>
      <c r="BJ187" s="136"/>
      <c r="BK187" s="136"/>
      <c r="BL187" s="136"/>
      <c r="BM187" s="136"/>
      <c r="BN187" s="136"/>
      <c r="BO187" s="136"/>
      <c r="BP187" s="136"/>
      <c r="BQ187" s="136"/>
      <c r="BR187" s="136"/>
      <c r="BS187" s="136"/>
      <c r="BT187" s="136"/>
      <c r="BU187" s="136"/>
      <c r="BV187" s="136"/>
      <c r="BW187" s="136"/>
      <c r="BX187" s="136"/>
      <c r="BY187" s="136"/>
      <c r="BZ187" s="136"/>
      <c r="CA187" s="136"/>
      <c r="CB187" s="136"/>
      <c r="CC187" s="136"/>
      <c r="CD187" s="136"/>
      <c r="CE187" s="136"/>
      <c r="CF187" s="136"/>
      <c r="CG187" s="136"/>
      <c r="CH187" s="136"/>
      <c r="CI187" s="136"/>
      <c r="CJ187" s="136"/>
      <c r="CK187" s="136"/>
      <c r="CL187" s="136"/>
      <c r="CM187" s="136"/>
      <c r="CN187" s="136"/>
      <c r="CO187" s="136"/>
      <c r="CP187" s="136"/>
      <c r="CQ187" s="136"/>
      <c r="CR187" s="136"/>
      <c r="CS187" s="136"/>
      <c r="CT187" s="136"/>
      <c r="CU187" s="136"/>
      <c r="CV187" s="136"/>
      <c r="CW187" s="136"/>
      <c r="CX187" s="136"/>
      <c r="CY187" s="136"/>
      <c r="CZ187" s="136"/>
      <c r="DA187" s="136"/>
      <c r="DB187" s="136"/>
      <c r="DC187" s="136"/>
      <c r="DD187" s="136"/>
      <c r="DE187" s="136"/>
      <c r="DF187" s="136"/>
      <c r="DG187" s="136"/>
      <c r="DH187" s="136"/>
      <c r="DI187" s="136"/>
      <c r="DJ187" s="136"/>
      <c r="DK187" s="136"/>
      <c r="DL187" s="136"/>
      <c r="DM187" s="136"/>
      <c r="DN187" s="136"/>
      <c r="DO187" s="136"/>
      <c r="DP187" s="136"/>
      <c r="DQ187" s="136"/>
      <c r="DR187" s="136"/>
      <c r="DS187" s="136"/>
      <c r="DT187" s="136"/>
      <c r="DU187" s="136"/>
      <c r="DV187" s="136"/>
      <c r="DW187" s="136"/>
      <c r="DX187" s="136"/>
      <c r="DY187" s="136"/>
      <c r="DZ187" s="136"/>
      <c r="EA187" s="136"/>
      <c r="EB187" s="136"/>
      <c r="EC187" s="136"/>
      <c r="ED187" s="136"/>
      <c r="EE187" s="136"/>
      <c r="EF187" s="136"/>
      <c r="EG187" s="136"/>
      <c r="EH187" s="136"/>
      <c r="EI187" s="136"/>
      <c r="EJ187" s="136"/>
      <c r="EK187" s="136"/>
      <c r="EL187" s="136"/>
      <c r="EM187" s="136"/>
      <c r="EN187" s="136"/>
      <c r="EO187" s="136"/>
      <c r="EP187" s="136"/>
      <c r="EQ187" s="136"/>
      <c r="ER187" s="136"/>
      <c r="ES187" s="136"/>
      <c r="ET187" s="136"/>
      <c r="EU187" s="136"/>
      <c r="EV187" s="136"/>
      <c r="EW187" s="136"/>
      <c r="EX187" s="136"/>
      <c r="EY187" s="136"/>
      <c r="EZ187" s="136"/>
      <c r="FA187" s="136"/>
      <c r="FB187" s="136"/>
      <c r="FC187" s="136"/>
      <c r="FD187" s="136"/>
      <c r="FE187" s="136"/>
      <c r="FF187" s="136"/>
      <c r="FG187" s="136"/>
      <c r="FH187" s="136"/>
      <c r="FI187" s="136"/>
      <c r="FJ187" s="136"/>
      <c r="FK187" s="136"/>
      <c r="FL187" s="136"/>
      <c r="FM187" s="136"/>
      <c r="FN187" s="136"/>
      <c r="FO187" s="136"/>
      <c r="FP187" s="136"/>
      <c r="FQ187" s="136"/>
      <c r="FR187" s="136"/>
      <c r="FS187" s="136"/>
      <c r="FT187" s="136"/>
      <c r="FU187" s="136"/>
      <c r="FV187" s="136"/>
      <c r="FW187" s="136"/>
      <c r="FX187" s="136"/>
      <c r="FY187" s="136"/>
      <c r="FZ187" s="136"/>
      <c r="GA187" s="136"/>
      <c r="GB187" s="136"/>
      <c r="GC187" s="136"/>
      <c r="GD187" s="136"/>
      <c r="GE187" s="136"/>
      <c r="GF187" s="136"/>
      <c r="GG187" s="136"/>
      <c r="GH187" s="136"/>
      <c r="GI187" s="136"/>
      <c r="GJ187" s="136"/>
      <c r="GK187" s="136"/>
      <c r="GL187" s="136"/>
      <c r="GM187" s="136"/>
      <c r="GN187" s="136"/>
      <c r="GO187" s="136"/>
      <c r="GP187" s="136"/>
      <c r="GQ187" s="136"/>
      <c r="GR187" s="136"/>
      <c r="GS187" s="136"/>
      <c r="GT187" s="136"/>
      <c r="GU187" s="136"/>
      <c r="GV187" s="136"/>
      <c r="GW187" s="136"/>
      <c r="GX187" s="136"/>
      <c r="GY187" s="136"/>
      <c r="GZ187" s="136"/>
      <c r="HA187" s="136"/>
      <c r="HB187" s="136"/>
      <c r="HC187" s="136"/>
      <c r="HD187" s="136"/>
      <c r="HE187" s="136"/>
      <c r="HF187" s="136"/>
      <c r="HG187" s="136"/>
      <c r="HH187" s="136"/>
      <c r="HI187" s="136"/>
      <c r="HJ187" s="136"/>
      <c r="HK187" s="136"/>
      <c r="HL187" s="136"/>
      <c r="HM187" s="136"/>
      <c r="HN187" s="136"/>
      <c r="HO187" s="136"/>
      <c r="HP187" s="136"/>
      <c r="HQ187" s="136"/>
      <c r="HR187" s="136"/>
      <c r="HS187" s="136"/>
      <c r="HT187" s="136"/>
      <c r="HU187" s="136"/>
      <c r="HV187" s="136"/>
      <c r="HW187" s="136"/>
      <c r="HX187" s="136"/>
      <c r="HY187" s="136"/>
      <c r="HZ187" s="136"/>
      <c r="IA187" s="136"/>
      <c r="IB187" s="136"/>
      <c r="IC187" s="136"/>
      <c r="ID187" s="136"/>
      <c r="IE187" s="136"/>
      <c r="IF187" s="136"/>
      <c r="IG187" s="136"/>
      <c r="IH187" s="136"/>
      <c r="II187" s="136"/>
      <c r="IJ187" s="136"/>
      <c r="IK187" s="136"/>
      <c r="IL187" s="136"/>
      <c r="IM187" s="136"/>
      <c r="IN187" s="136"/>
      <c r="IO187" s="136"/>
      <c r="IP187" s="136"/>
      <c r="IQ187" s="136"/>
      <c r="IR187" s="136"/>
      <c r="IS187" s="136"/>
      <c r="IT187" s="136"/>
      <c r="IU187" s="136"/>
    </row>
    <row r="188" spans="1:255" ht="83.25" customHeight="1" x14ac:dyDescent="0.2">
      <c r="A188" s="242" t="str">
        <f>'HECVAT - Full'!A188</f>
        <v>DRPL-10</v>
      </c>
      <c r="B188" s="242" t="str">
        <f>VLOOKUP(A188,'HECVAT - Full'!A$24:B$312,2,FALSE)</f>
        <v>Has the Disaster Recovery Plan been tested in the last year?  Please provide a summary of the results in Additional Information (including actual recovery time).</v>
      </c>
      <c r="C188" s="275" t="s">
        <v>3039</v>
      </c>
      <c r="D188" s="257" t="s">
        <v>2884</v>
      </c>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36"/>
      <c r="AS188" s="136"/>
      <c r="AT188" s="136"/>
      <c r="AU188" s="136"/>
      <c r="AV188" s="136"/>
      <c r="AW188" s="136"/>
      <c r="AX188" s="136"/>
      <c r="AY188" s="136"/>
      <c r="AZ188" s="136"/>
      <c r="BA188" s="136"/>
      <c r="BB188" s="136"/>
      <c r="BC188" s="136"/>
      <c r="BD188" s="136"/>
      <c r="BE188" s="136"/>
      <c r="BF188" s="136"/>
      <c r="BG188" s="136"/>
      <c r="BH188" s="136"/>
      <c r="BI188" s="136"/>
      <c r="BJ188" s="136"/>
      <c r="BK188" s="136"/>
      <c r="BL188" s="136"/>
      <c r="BM188" s="136"/>
      <c r="BN188" s="136"/>
      <c r="BO188" s="136"/>
      <c r="BP188" s="136"/>
      <c r="BQ188" s="136"/>
      <c r="BR188" s="136"/>
      <c r="BS188" s="136"/>
      <c r="BT188" s="136"/>
      <c r="BU188" s="136"/>
      <c r="BV188" s="136"/>
      <c r="BW188" s="136"/>
      <c r="BX188" s="136"/>
      <c r="BY188" s="136"/>
      <c r="BZ188" s="136"/>
      <c r="CA188" s="136"/>
      <c r="CB188" s="136"/>
      <c r="CC188" s="136"/>
      <c r="CD188" s="136"/>
      <c r="CE188" s="136"/>
      <c r="CF188" s="136"/>
      <c r="CG188" s="136"/>
      <c r="CH188" s="136"/>
      <c r="CI188" s="136"/>
      <c r="CJ188" s="136"/>
      <c r="CK188" s="136"/>
      <c r="CL188" s="136"/>
      <c r="CM188" s="136"/>
      <c r="CN188" s="136"/>
      <c r="CO188" s="136"/>
      <c r="CP188" s="136"/>
      <c r="CQ188" s="136"/>
      <c r="CR188" s="136"/>
      <c r="CS188" s="136"/>
      <c r="CT188" s="136"/>
      <c r="CU188" s="136"/>
      <c r="CV188" s="136"/>
      <c r="CW188" s="136"/>
      <c r="CX188" s="136"/>
      <c r="CY188" s="136"/>
      <c r="CZ188" s="136"/>
      <c r="DA188" s="136"/>
      <c r="DB188" s="136"/>
      <c r="DC188" s="136"/>
      <c r="DD188" s="136"/>
      <c r="DE188" s="136"/>
      <c r="DF188" s="136"/>
      <c r="DG188" s="136"/>
      <c r="DH188" s="136"/>
      <c r="DI188" s="136"/>
      <c r="DJ188" s="136"/>
      <c r="DK188" s="136"/>
      <c r="DL188" s="136"/>
      <c r="DM188" s="136"/>
      <c r="DN188" s="136"/>
      <c r="DO188" s="136"/>
      <c r="DP188" s="136"/>
      <c r="DQ188" s="136"/>
      <c r="DR188" s="136"/>
      <c r="DS188" s="136"/>
      <c r="DT188" s="136"/>
      <c r="DU188" s="136"/>
      <c r="DV188" s="136"/>
      <c r="DW188" s="136"/>
      <c r="DX188" s="136"/>
      <c r="DY188" s="136"/>
      <c r="DZ188" s="136"/>
      <c r="EA188" s="136"/>
      <c r="EB188" s="136"/>
      <c r="EC188" s="136"/>
      <c r="ED188" s="136"/>
      <c r="EE188" s="136"/>
      <c r="EF188" s="136"/>
      <c r="EG188" s="136"/>
      <c r="EH188" s="136"/>
      <c r="EI188" s="136"/>
      <c r="EJ188" s="136"/>
      <c r="EK188" s="136"/>
      <c r="EL188" s="136"/>
      <c r="EM188" s="136"/>
      <c r="EN188" s="136"/>
      <c r="EO188" s="136"/>
      <c r="EP188" s="136"/>
      <c r="EQ188" s="136"/>
      <c r="ER188" s="136"/>
      <c r="ES188" s="136"/>
      <c r="ET188" s="136"/>
      <c r="EU188" s="136"/>
      <c r="EV188" s="136"/>
      <c r="EW188" s="136"/>
      <c r="EX188" s="136"/>
      <c r="EY188" s="136"/>
      <c r="EZ188" s="136"/>
      <c r="FA188" s="136"/>
      <c r="FB188" s="136"/>
      <c r="FC188" s="136"/>
      <c r="FD188" s="136"/>
      <c r="FE188" s="136"/>
      <c r="FF188" s="136"/>
      <c r="FG188" s="136"/>
      <c r="FH188" s="136"/>
      <c r="FI188" s="136"/>
      <c r="FJ188" s="136"/>
      <c r="FK188" s="136"/>
      <c r="FL188" s="136"/>
      <c r="FM188" s="136"/>
      <c r="FN188" s="136"/>
      <c r="FO188" s="136"/>
      <c r="FP188" s="136"/>
      <c r="FQ188" s="136"/>
      <c r="FR188" s="136"/>
      <c r="FS188" s="136"/>
      <c r="FT188" s="136"/>
      <c r="FU188" s="136"/>
      <c r="FV188" s="136"/>
      <c r="FW188" s="136"/>
      <c r="FX188" s="136"/>
      <c r="FY188" s="136"/>
      <c r="FZ188" s="136"/>
      <c r="GA188" s="136"/>
      <c r="GB188" s="136"/>
      <c r="GC188" s="136"/>
      <c r="GD188" s="136"/>
      <c r="GE188" s="136"/>
      <c r="GF188" s="136"/>
      <c r="GG188" s="136"/>
      <c r="GH188" s="136"/>
      <c r="GI188" s="136"/>
      <c r="GJ188" s="136"/>
      <c r="GK188" s="136"/>
      <c r="GL188" s="136"/>
      <c r="GM188" s="136"/>
      <c r="GN188" s="136"/>
      <c r="GO188" s="136"/>
      <c r="GP188" s="136"/>
      <c r="GQ188" s="136"/>
      <c r="GR188" s="136"/>
      <c r="GS188" s="136"/>
      <c r="GT188" s="136"/>
      <c r="GU188" s="136"/>
      <c r="GV188" s="136"/>
      <c r="GW188" s="136"/>
      <c r="GX188" s="136"/>
      <c r="GY188" s="136"/>
      <c r="GZ188" s="136"/>
      <c r="HA188" s="136"/>
      <c r="HB188" s="136"/>
      <c r="HC188" s="136"/>
      <c r="HD188" s="136"/>
      <c r="HE188" s="136"/>
      <c r="HF188" s="136"/>
      <c r="HG188" s="136"/>
      <c r="HH188" s="136"/>
      <c r="HI188" s="136"/>
      <c r="HJ188" s="136"/>
      <c r="HK188" s="136"/>
      <c r="HL188" s="136"/>
      <c r="HM188" s="136"/>
      <c r="HN188" s="136"/>
      <c r="HO188" s="136"/>
      <c r="HP188" s="136"/>
      <c r="HQ188" s="136"/>
      <c r="HR188" s="136"/>
      <c r="HS188" s="136"/>
      <c r="HT188" s="136"/>
      <c r="HU188" s="136"/>
      <c r="HV188" s="136"/>
      <c r="HW188" s="136"/>
      <c r="HX188" s="136"/>
      <c r="HY188" s="136"/>
      <c r="HZ188" s="136"/>
      <c r="IA188" s="136"/>
      <c r="IB188" s="136"/>
      <c r="IC188" s="136"/>
      <c r="ID188" s="136"/>
      <c r="IE188" s="136"/>
      <c r="IF188" s="136"/>
      <c r="IG188" s="136"/>
      <c r="IH188" s="136"/>
      <c r="II188" s="136"/>
      <c r="IJ188" s="136"/>
      <c r="IK188" s="136"/>
      <c r="IL188" s="136"/>
      <c r="IM188" s="136"/>
      <c r="IN188" s="136"/>
      <c r="IO188" s="136"/>
      <c r="IP188" s="136"/>
      <c r="IQ188" s="136"/>
      <c r="IR188" s="136"/>
      <c r="IS188" s="136"/>
      <c r="IT188" s="136"/>
      <c r="IU188" s="136"/>
    </row>
    <row r="189" spans="1:255" ht="64.349999999999994" customHeight="1" x14ac:dyDescent="0.2">
      <c r="A189" s="242" t="str">
        <f>'HECVAT - Full'!A189</f>
        <v>DRPL-11</v>
      </c>
      <c r="B189" s="242" t="str">
        <f>VLOOKUP(A189,'HECVAT - Full'!A$24:B$312,2,FALSE)</f>
        <v>Do the documented test results identify your organizations actual recovery time capabilities for technology and facilities?</v>
      </c>
      <c r="C189" s="243" t="s">
        <v>2885</v>
      </c>
      <c r="D189" s="253" t="s">
        <v>2886</v>
      </c>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36"/>
      <c r="AY189" s="136"/>
      <c r="AZ189" s="136"/>
      <c r="BA189" s="136"/>
      <c r="BB189" s="136"/>
      <c r="BC189" s="136"/>
      <c r="BD189" s="136"/>
      <c r="BE189" s="136"/>
      <c r="BF189" s="136"/>
      <c r="BG189" s="136"/>
      <c r="BH189" s="136"/>
      <c r="BI189" s="136"/>
      <c r="BJ189" s="136"/>
      <c r="BK189" s="136"/>
      <c r="BL189" s="136"/>
      <c r="BM189" s="136"/>
      <c r="BN189" s="136"/>
      <c r="BO189" s="136"/>
      <c r="BP189" s="136"/>
      <c r="BQ189" s="136"/>
      <c r="BR189" s="136"/>
      <c r="BS189" s="136"/>
      <c r="BT189" s="136"/>
      <c r="BU189" s="136"/>
      <c r="BV189" s="136"/>
      <c r="BW189" s="136"/>
      <c r="BX189" s="136"/>
      <c r="BY189" s="136"/>
      <c r="BZ189" s="136"/>
      <c r="CA189" s="136"/>
      <c r="CB189" s="136"/>
      <c r="CC189" s="136"/>
      <c r="CD189" s="136"/>
      <c r="CE189" s="136"/>
      <c r="CF189" s="136"/>
      <c r="CG189" s="136"/>
      <c r="CH189" s="136"/>
      <c r="CI189" s="136"/>
      <c r="CJ189" s="136"/>
      <c r="CK189" s="136"/>
      <c r="CL189" s="136"/>
      <c r="CM189" s="136"/>
      <c r="CN189" s="136"/>
      <c r="CO189" s="136"/>
      <c r="CP189" s="136"/>
      <c r="CQ189" s="136"/>
      <c r="CR189" s="136"/>
      <c r="CS189" s="136"/>
      <c r="CT189" s="136"/>
      <c r="CU189" s="136"/>
      <c r="CV189" s="136"/>
      <c r="CW189" s="136"/>
      <c r="CX189" s="136"/>
      <c r="CY189" s="136"/>
      <c r="CZ189" s="136"/>
      <c r="DA189" s="136"/>
      <c r="DB189" s="136"/>
      <c r="DC189" s="136"/>
      <c r="DD189" s="136"/>
      <c r="DE189" s="136"/>
      <c r="DF189" s="136"/>
      <c r="DG189" s="136"/>
      <c r="DH189" s="136"/>
      <c r="DI189" s="136"/>
      <c r="DJ189" s="136"/>
      <c r="DK189" s="136"/>
      <c r="DL189" s="136"/>
      <c r="DM189" s="136"/>
      <c r="DN189" s="136"/>
      <c r="DO189" s="136"/>
      <c r="DP189" s="136"/>
      <c r="DQ189" s="136"/>
      <c r="DR189" s="136"/>
      <c r="DS189" s="136"/>
      <c r="DT189" s="136"/>
      <c r="DU189" s="136"/>
      <c r="DV189" s="136"/>
      <c r="DW189" s="136"/>
      <c r="DX189" s="136"/>
      <c r="DY189" s="136"/>
      <c r="DZ189" s="136"/>
      <c r="EA189" s="136"/>
      <c r="EB189" s="136"/>
      <c r="EC189" s="136"/>
      <c r="ED189" s="136"/>
      <c r="EE189" s="136"/>
      <c r="EF189" s="136"/>
      <c r="EG189" s="136"/>
      <c r="EH189" s="136"/>
      <c r="EI189" s="136"/>
      <c r="EJ189" s="136"/>
      <c r="EK189" s="136"/>
      <c r="EL189" s="136"/>
      <c r="EM189" s="136"/>
      <c r="EN189" s="136"/>
      <c r="EO189" s="136"/>
      <c r="EP189" s="136"/>
      <c r="EQ189" s="136"/>
      <c r="ER189" s="136"/>
      <c r="ES189" s="136"/>
      <c r="ET189" s="136"/>
      <c r="EU189" s="136"/>
      <c r="EV189" s="136"/>
      <c r="EW189" s="136"/>
      <c r="EX189" s="136"/>
      <c r="EY189" s="136"/>
      <c r="EZ189" s="136"/>
      <c r="FA189" s="136"/>
      <c r="FB189" s="136"/>
      <c r="FC189" s="136"/>
      <c r="FD189" s="136"/>
      <c r="FE189" s="136"/>
      <c r="FF189" s="136"/>
      <c r="FG189" s="136"/>
      <c r="FH189" s="136"/>
      <c r="FI189" s="136"/>
      <c r="FJ189" s="136"/>
      <c r="FK189" s="136"/>
      <c r="FL189" s="136"/>
      <c r="FM189" s="136"/>
      <c r="FN189" s="136"/>
      <c r="FO189" s="136"/>
      <c r="FP189" s="136"/>
      <c r="FQ189" s="136"/>
      <c r="FR189" s="136"/>
      <c r="FS189" s="136"/>
      <c r="FT189" s="136"/>
      <c r="FU189" s="136"/>
      <c r="FV189" s="136"/>
      <c r="FW189" s="136"/>
      <c r="FX189" s="136"/>
      <c r="FY189" s="136"/>
      <c r="FZ189" s="136"/>
      <c r="GA189" s="136"/>
      <c r="GB189" s="136"/>
      <c r="GC189" s="136"/>
      <c r="GD189" s="136"/>
      <c r="GE189" s="136"/>
      <c r="GF189" s="136"/>
      <c r="GG189" s="136"/>
      <c r="GH189" s="136"/>
      <c r="GI189" s="136"/>
      <c r="GJ189" s="136"/>
      <c r="GK189" s="136"/>
      <c r="GL189" s="136"/>
      <c r="GM189" s="136"/>
      <c r="GN189" s="136"/>
      <c r="GO189" s="136"/>
      <c r="GP189" s="136"/>
      <c r="GQ189" s="136"/>
      <c r="GR189" s="136"/>
      <c r="GS189" s="136"/>
      <c r="GT189" s="136"/>
      <c r="GU189" s="136"/>
      <c r="GV189" s="136"/>
      <c r="GW189" s="136"/>
      <c r="GX189" s="136"/>
      <c r="GY189" s="136"/>
      <c r="GZ189" s="136"/>
      <c r="HA189" s="136"/>
      <c r="HB189" s="136"/>
      <c r="HC189" s="136"/>
      <c r="HD189" s="136"/>
      <c r="HE189" s="136"/>
      <c r="HF189" s="136"/>
      <c r="HG189" s="136"/>
      <c r="HH189" s="136"/>
      <c r="HI189" s="136"/>
      <c r="HJ189" s="136"/>
      <c r="HK189" s="136"/>
      <c r="HL189" s="136"/>
      <c r="HM189" s="136"/>
      <c r="HN189" s="136"/>
      <c r="HO189" s="136"/>
      <c r="HP189" s="136"/>
      <c r="HQ189" s="136"/>
      <c r="HR189" s="136"/>
      <c r="HS189" s="136"/>
      <c r="HT189" s="136"/>
      <c r="HU189" s="136"/>
      <c r="HV189" s="136"/>
      <c r="HW189" s="136"/>
      <c r="HX189" s="136"/>
      <c r="HY189" s="136"/>
      <c r="HZ189" s="136"/>
      <c r="IA189" s="136"/>
      <c r="IB189" s="136"/>
      <c r="IC189" s="136"/>
      <c r="ID189" s="136"/>
      <c r="IE189" s="136"/>
      <c r="IF189" s="136"/>
      <c r="IG189" s="136"/>
      <c r="IH189" s="136"/>
      <c r="II189" s="136"/>
      <c r="IJ189" s="136"/>
      <c r="IK189" s="136"/>
      <c r="IL189" s="136"/>
      <c r="IM189" s="136"/>
      <c r="IN189" s="136"/>
      <c r="IO189" s="136"/>
      <c r="IP189" s="136"/>
      <c r="IQ189" s="136"/>
      <c r="IR189" s="136"/>
      <c r="IS189" s="136"/>
      <c r="IT189" s="136"/>
      <c r="IU189" s="136"/>
    </row>
    <row r="190" spans="1:255" ht="84" customHeight="1" x14ac:dyDescent="0.2">
      <c r="A190" s="242" t="str">
        <f>'HECVAT - Full'!A190</f>
        <v>DRPL-12</v>
      </c>
      <c r="B190" s="242" t="str">
        <f>VLOOKUP(A190,'HECVAT - Full'!A$24:B$312,2,FALSE)</f>
        <v xml:space="preserve">Are all components of the DRP reviewed at least annually and updated as needed to reflect change? </v>
      </c>
      <c r="C190" s="275" t="s">
        <v>3039</v>
      </c>
      <c r="D190" s="257" t="s">
        <v>2884</v>
      </c>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36"/>
      <c r="AW190" s="136"/>
      <c r="AX190" s="136"/>
      <c r="AY190" s="136"/>
      <c r="AZ190" s="136"/>
      <c r="BA190" s="136"/>
      <c r="BB190" s="136"/>
      <c r="BC190" s="136"/>
      <c r="BD190" s="136"/>
      <c r="BE190" s="136"/>
      <c r="BF190" s="136"/>
      <c r="BG190" s="136"/>
      <c r="BH190" s="136"/>
      <c r="BI190" s="136"/>
      <c r="BJ190" s="136"/>
      <c r="BK190" s="136"/>
      <c r="BL190" s="136"/>
      <c r="BM190" s="136"/>
      <c r="BN190" s="136"/>
      <c r="BO190" s="136"/>
      <c r="BP190" s="136"/>
      <c r="BQ190" s="136"/>
      <c r="BR190" s="136"/>
      <c r="BS190" s="136"/>
      <c r="BT190" s="136"/>
      <c r="BU190" s="136"/>
      <c r="BV190" s="136"/>
      <c r="BW190" s="136"/>
      <c r="BX190" s="136"/>
      <c r="BY190" s="136"/>
      <c r="BZ190" s="136"/>
      <c r="CA190" s="136"/>
      <c r="CB190" s="136"/>
      <c r="CC190" s="136"/>
      <c r="CD190" s="136"/>
      <c r="CE190" s="136"/>
      <c r="CF190" s="136"/>
      <c r="CG190" s="136"/>
      <c r="CH190" s="136"/>
      <c r="CI190" s="136"/>
      <c r="CJ190" s="136"/>
      <c r="CK190" s="136"/>
      <c r="CL190" s="136"/>
      <c r="CM190" s="136"/>
      <c r="CN190" s="136"/>
      <c r="CO190" s="136"/>
      <c r="CP190" s="136"/>
      <c r="CQ190" s="136"/>
      <c r="CR190" s="136"/>
      <c r="CS190" s="136"/>
      <c r="CT190" s="136"/>
      <c r="CU190" s="136"/>
      <c r="CV190" s="136"/>
      <c r="CW190" s="136"/>
      <c r="CX190" s="136"/>
      <c r="CY190" s="136"/>
      <c r="CZ190" s="136"/>
      <c r="DA190" s="136"/>
      <c r="DB190" s="136"/>
      <c r="DC190" s="136"/>
      <c r="DD190" s="136"/>
      <c r="DE190" s="136"/>
      <c r="DF190" s="136"/>
      <c r="DG190" s="136"/>
      <c r="DH190" s="136"/>
      <c r="DI190" s="136"/>
      <c r="DJ190" s="136"/>
      <c r="DK190" s="136"/>
      <c r="DL190" s="136"/>
      <c r="DM190" s="136"/>
      <c r="DN190" s="136"/>
      <c r="DO190" s="136"/>
      <c r="DP190" s="136"/>
      <c r="DQ190" s="136"/>
      <c r="DR190" s="136"/>
      <c r="DS190" s="136"/>
      <c r="DT190" s="136"/>
      <c r="DU190" s="136"/>
      <c r="DV190" s="136"/>
      <c r="DW190" s="136"/>
      <c r="DX190" s="136"/>
      <c r="DY190" s="136"/>
      <c r="DZ190" s="136"/>
      <c r="EA190" s="136"/>
      <c r="EB190" s="136"/>
      <c r="EC190" s="136"/>
      <c r="ED190" s="136"/>
      <c r="EE190" s="136"/>
      <c r="EF190" s="136"/>
      <c r="EG190" s="136"/>
      <c r="EH190" s="136"/>
      <c r="EI190" s="136"/>
      <c r="EJ190" s="136"/>
      <c r="EK190" s="136"/>
      <c r="EL190" s="136"/>
      <c r="EM190" s="136"/>
      <c r="EN190" s="136"/>
      <c r="EO190" s="136"/>
      <c r="EP190" s="136"/>
      <c r="EQ190" s="136"/>
      <c r="ER190" s="136"/>
      <c r="ES190" s="136"/>
      <c r="ET190" s="136"/>
      <c r="EU190" s="136"/>
      <c r="EV190" s="136"/>
      <c r="EW190" s="136"/>
      <c r="EX190" s="136"/>
      <c r="EY190" s="136"/>
      <c r="EZ190" s="136"/>
      <c r="FA190" s="136"/>
      <c r="FB190" s="136"/>
      <c r="FC190" s="136"/>
      <c r="FD190" s="136"/>
      <c r="FE190" s="136"/>
      <c r="FF190" s="136"/>
      <c r="FG190" s="136"/>
      <c r="FH190" s="136"/>
      <c r="FI190" s="136"/>
      <c r="FJ190" s="136"/>
      <c r="FK190" s="136"/>
      <c r="FL190" s="136"/>
      <c r="FM190" s="136"/>
      <c r="FN190" s="136"/>
      <c r="FO190" s="136"/>
      <c r="FP190" s="136"/>
      <c r="FQ190" s="136"/>
      <c r="FR190" s="136"/>
      <c r="FS190" s="136"/>
      <c r="FT190" s="136"/>
      <c r="FU190" s="136"/>
      <c r="FV190" s="136"/>
      <c r="FW190" s="136"/>
      <c r="FX190" s="136"/>
      <c r="FY190" s="136"/>
      <c r="FZ190" s="136"/>
      <c r="GA190" s="136"/>
      <c r="GB190" s="136"/>
      <c r="GC190" s="136"/>
      <c r="GD190" s="136"/>
      <c r="GE190" s="136"/>
      <c r="GF190" s="136"/>
      <c r="GG190" s="136"/>
      <c r="GH190" s="136"/>
      <c r="GI190" s="136"/>
      <c r="GJ190" s="136"/>
      <c r="GK190" s="136"/>
      <c r="GL190" s="136"/>
      <c r="GM190" s="136"/>
      <c r="GN190" s="136"/>
      <c r="GO190" s="136"/>
      <c r="GP190" s="136"/>
      <c r="GQ190" s="136"/>
      <c r="GR190" s="136"/>
      <c r="GS190" s="136"/>
      <c r="GT190" s="136"/>
      <c r="GU190" s="136"/>
      <c r="GV190" s="136"/>
      <c r="GW190" s="136"/>
      <c r="GX190" s="136"/>
      <c r="GY190" s="136"/>
      <c r="GZ190" s="136"/>
      <c r="HA190" s="136"/>
      <c r="HB190" s="136"/>
      <c r="HC190" s="136"/>
      <c r="HD190" s="136"/>
      <c r="HE190" s="136"/>
      <c r="HF190" s="136"/>
      <c r="HG190" s="136"/>
      <c r="HH190" s="136"/>
      <c r="HI190" s="136"/>
      <c r="HJ190" s="136"/>
      <c r="HK190" s="136"/>
      <c r="HL190" s="136"/>
      <c r="HM190" s="136"/>
      <c r="HN190" s="136"/>
      <c r="HO190" s="136"/>
      <c r="HP190" s="136"/>
      <c r="HQ190" s="136"/>
      <c r="HR190" s="136"/>
      <c r="HS190" s="136"/>
      <c r="HT190" s="136"/>
      <c r="HU190" s="136"/>
      <c r="HV190" s="136"/>
      <c r="HW190" s="136"/>
      <c r="HX190" s="136"/>
      <c r="HY190" s="136"/>
      <c r="HZ190" s="136"/>
      <c r="IA190" s="136"/>
      <c r="IB190" s="136"/>
      <c r="IC190" s="136"/>
      <c r="ID190" s="136"/>
      <c r="IE190" s="136"/>
      <c r="IF190" s="136"/>
      <c r="IG190" s="136"/>
      <c r="IH190" s="136"/>
      <c r="II190" s="136"/>
      <c r="IJ190" s="136"/>
      <c r="IK190" s="136"/>
      <c r="IL190" s="136"/>
      <c r="IM190" s="136"/>
      <c r="IN190" s="136"/>
      <c r="IO190" s="136"/>
      <c r="IP190" s="136"/>
      <c r="IQ190" s="136"/>
      <c r="IR190" s="136"/>
      <c r="IS190" s="136"/>
      <c r="IT190" s="136"/>
      <c r="IU190" s="136"/>
    </row>
    <row r="191" spans="1:255" ht="82.5" customHeight="1" x14ac:dyDescent="0.2">
      <c r="A191" s="242" t="str">
        <f>'HECVAT - Full'!A191</f>
        <v>DRPL-13</v>
      </c>
      <c r="B191" s="242" t="str">
        <f>VLOOKUP(A191,'HECVAT - Full'!A$24:B$312,2,FALSE)</f>
        <v>Do you carry cyber-risk insurance to protect against unforeseen service outages, data that is lost or stolen, and security incidents?</v>
      </c>
      <c r="C191" s="243" t="s">
        <v>2887</v>
      </c>
      <c r="D191" s="253" t="s">
        <v>2888</v>
      </c>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6"/>
      <c r="AN191" s="136"/>
      <c r="AO191" s="136"/>
      <c r="AP191" s="136"/>
      <c r="AQ191" s="136"/>
      <c r="AR191" s="136"/>
      <c r="AS191" s="136"/>
      <c r="AT191" s="136"/>
      <c r="AU191" s="136"/>
      <c r="AV191" s="136"/>
      <c r="AW191" s="136"/>
      <c r="AX191" s="136"/>
      <c r="AY191" s="136"/>
      <c r="AZ191" s="136"/>
      <c r="BA191" s="136"/>
      <c r="BB191" s="136"/>
      <c r="BC191" s="136"/>
      <c r="BD191" s="136"/>
      <c r="BE191" s="136"/>
      <c r="BF191" s="136"/>
      <c r="BG191" s="136"/>
      <c r="BH191" s="136"/>
      <c r="BI191" s="136"/>
      <c r="BJ191" s="136"/>
      <c r="BK191" s="136"/>
      <c r="BL191" s="136"/>
      <c r="BM191" s="136"/>
      <c r="BN191" s="136"/>
      <c r="BO191" s="136"/>
      <c r="BP191" s="136"/>
      <c r="BQ191" s="136"/>
      <c r="BR191" s="136"/>
      <c r="BS191" s="136"/>
      <c r="BT191" s="136"/>
      <c r="BU191" s="136"/>
      <c r="BV191" s="136"/>
      <c r="BW191" s="136"/>
      <c r="BX191" s="136"/>
      <c r="BY191" s="136"/>
      <c r="BZ191" s="136"/>
      <c r="CA191" s="136"/>
      <c r="CB191" s="136"/>
      <c r="CC191" s="136"/>
      <c r="CD191" s="136"/>
      <c r="CE191" s="136"/>
      <c r="CF191" s="136"/>
      <c r="CG191" s="136"/>
      <c r="CH191" s="136"/>
      <c r="CI191" s="136"/>
      <c r="CJ191" s="136"/>
      <c r="CK191" s="136"/>
      <c r="CL191" s="136"/>
      <c r="CM191" s="136"/>
      <c r="CN191" s="136"/>
      <c r="CO191" s="136"/>
      <c r="CP191" s="136"/>
      <c r="CQ191" s="136"/>
      <c r="CR191" s="136"/>
      <c r="CS191" s="136"/>
      <c r="CT191" s="136"/>
      <c r="CU191" s="136"/>
      <c r="CV191" s="136"/>
      <c r="CW191" s="136"/>
      <c r="CX191" s="136"/>
      <c r="CY191" s="136"/>
      <c r="CZ191" s="136"/>
      <c r="DA191" s="136"/>
      <c r="DB191" s="136"/>
      <c r="DC191" s="136"/>
      <c r="DD191" s="136"/>
      <c r="DE191" s="136"/>
      <c r="DF191" s="136"/>
      <c r="DG191" s="136"/>
      <c r="DH191" s="136"/>
      <c r="DI191" s="136"/>
      <c r="DJ191" s="136"/>
      <c r="DK191" s="136"/>
      <c r="DL191" s="136"/>
      <c r="DM191" s="136"/>
      <c r="DN191" s="136"/>
      <c r="DO191" s="136"/>
      <c r="DP191" s="136"/>
      <c r="DQ191" s="136"/>
      <c r="DR191" s="136"/>
      <c r="DS191" s="136"/>
      <c r="DT191" s="136"/>
      <c r="DU191" s="136"/>
      <c r="DV191" s="136"/>
      <c r="DW191" s="136"/>
      <c r="DX191" s="136"/>
      <c r="DY191" s="136"/>
      <c r="DZ191" s="136"/>
      <c r="EA191" s="136"/>
      <c r="EB191" s="136"/>
      <c r="EC191" s="136"/>
      <c r="ED191" s="136"/>
      <c r="EE191" s="136"/>
      <c r="EF191" s="136"/>
      <c r="EG191" s="136"/>
      <c r="EH191" s="136"/>
      <c r="EI191" s="136"/>
      <c r="EJ191" s="136"/>
      <c r="EK191" s="136"/>
      <c r="EL191" s="136"/>
      <c r="EM191" s="136"/>
      <c r="EN191" s="136"/>
      <c r="EO191" s="136"/>
      <c r="EP191" s="136"/>
      <c r="EQ191" s="136"/>
      <c r="ER191" s="136"/>
      <c r="ES191" s="136"/>
      <c r="ET191" s="136"/>
      <c r="EU191" s="136"/>
      <c r="EV191" s="136"/>
      <c r="EW191" s="136"/>
      <c r="EX191" s="136"/>
      <c r="EY191" s="136"/>
      <c r="EZ191" s="136"/>
      <c r="FA191" s="136"/>
      <c r="FB191" s="136"/>
      <c r="FC191" s="136"/>
      <c r="FD191" s="136"/>
      <c r="FE191" s="136"/>
      <c r="FF191" s="136"/>
      <c r="FG191" s="136"/>
      <c r="FH191" s="136"/>
      <c r="FI191" s="136"/>
      <c r="FJ191" s="136"/>
      <c r="FK191" s="136"/>
      <c r="FL191" s="136"/>
      <c r="FM191" s="136"/>
      <c r="FN191" s="136"/>
      <c r="FO191" s="136"/>
      <c r="FP191" s="136"/>
      <c r="FQ191" s="136"/>
      <c r="FR191" s="136"/>
      <c r="FS191" s="136"/>
      <c r="FT191" s="136"/>
      <c r="FU191" s="136"/>
      <c r="FV191" s="136"/>
      <c r="FW191" s="136"/>
      <c r="FX191" s="136"/>
      <c r="FY191" s="136"/>
      <c r="FZ191" s="136"/>
      <c r="GA191" s="136"/>
      <c r="GB191" s="136"/>
      <c r="GC191" s="136"/>
      <c r="GD191" s="136"/>
      <c r="GE191" s="136"/>
      <c r="GF191" s="136"/>
      <c r="GG191" s="136"/>
      <c r="GH191" s="136"/>
      <c r="GI191" s="136"/>
      <c r="GJ191" s="136"/>
      <c r="GK191" s="136"/>
      <c r="GL191" s="136"/>
      <c r="GM191" s="136"/>
      <c r="GN191" s="136"/>
      <c r="GO191" s="136"/>
      <c r="GP191" s="136"/>
      <c r="GQ191" s="136"/>
      <c r="GR191" s="136"/>
      <c r="GS191" s="136"/>
      <c r="GT191" s="136"/>
      <c r="GU191" s="136"/>
      <c r="GV191" s="136"/>
      <c r="GW191" s="136"/>
      <c r="GX191" s="136"/>
      <c r="GY191" s="136"/>
      <c r="GZ191" s="136"/>
      <c r="HA191" s="136"/>
      <c r="HB191" s="136"/>
      <c r="HC191" s="136"/>
      <c r="HD191" s="136"/>
      <c r="HE191" s="136"/>
      <c r="HF191" s="136"/>
      <c r="HG191" s="136"/>
      <c r="HH191" s="136"/>
      <c r="HI191" s="136"/>
      <c r="HJ191" s="136"/>
      <c r="HK191" s="136"/>
      <c r="HL191" s="136"/>
      <c r="HM191" s="136"/>
      <c r="HN191" s="136"/>
      <c r="HO191" s="136"/>
      <c r="HP191" s="136"/>
      <c r="HQ191" s="136"/>
      <c r="HR191" s="136"/>
      <c r="HS191" s="136"/>
      <c r="HT191" s="136"/>
      <c r="HU191" s="136"/>
      <c r="HV191" s="136"/>
      <c r="HW191" s="136"/>
      <c r="HX191" s="136"/>
      <c r="HY191" s="136"/>
      <c r="HZ191" s="136"/>
      <c r="IA191" s="136"/>
      <c r="IB191" s="136"/>
      <c r="IC191" s="136"/>
      <c r="ID191" s="136"/>
      <c r="IE191" s="136"/>
      <c r="IF191" s="136"/>
      <c r="IG191" s="136"/>
      <c r="IH191" s="136"/>
      <c r="II191" s="136"/>
      <c r="IJ191" s="136"/>
      <c r="IK191" s="136"/>
      <c r="IL191" s="136"/>
      <c r="IM191" s="136"/>
      <c r="IN191" s="136"/>
      <c r="IO191" s="136"/>
      <c r="IP191" s="136"/>
      <c r="IQ191" s="136"/>
      <c r="IR191" s="136"/>
      <c r="IS191" s="136"/>
      <c r="IT191" s="136"/>
      <c r="IU191" s="136"/>
    </row>
    <row r="192" spans="1:255" ht="36" customHeight="1" x14ac:dyDescent="0.2">
      <c r="A192" s="335" t="str">
        <f>IF($C$30="","Firewalls, IDS, IPS, and Networking",IF($C$30="Yes","FW/IDPS/Networks - Optional based on QUALIFIER response.","Firewalls, IDS, IPS, and Networking"))</f>
        <v>Firewalls, IDS, IPS, and Networking</v>
      </c>
      <c r="B192" s="335"/>
      <c r="C192" s="240" t="str">
        <f>$C$22</f>
        <v>Reason for Question</v>
      </c>
      <c r="D192" s="240" t="str">
        <f>$D$22</f>
        <v>Follow-up Inquiries/Responses</v>
      </c>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6"/>
      <c r="AN192" s="136"/>
      <c r="AO192" s="136"/>
      <c r="AP192" s="136"/>
      <c r="AQ192" s="136"/>
      <c r="AR192" s="136"/>
      <c r="AS192" s="136"/>
      <c r="AT192" s="136"/>
      <c r="AU192" s="136"/>
      <c r="AV192" s="136"/>
      <c r="AW192" s="136"/>
      <c r="AX192" s="136"/>
      <c r="AY192" s="136"/>
      <c r="AZ192" s="136"/>
      <c r="BA192" s="136"/>
      <c r="BB192" s="136"/>
      <c r="BC192" s="136"/>
      <c r="BD192" s="136"/>
      <c r="BE192" s="136"/>
      <c r="BF192" s="136"/>
      <c r="BG192" s="136"/>
      <c r="BH192" s="136"/>
      <c r="BI192" s="136"/>
      <c r="BJ192" s="136"/>
      <c r="BK192" s="136"/>
      <c r="BL192" s="136"/>
      <c r="BM192" s="136"/>
      <c r="BN192" s="136"/>
      <c r="BO192" s="136"/>
      <c r="BP192" s="136"/>
      <c r="BQ192" s="136"/>
      <c r="BR192" s="136"/>
      <c r="BS192" s="136"/>
      <c r="BT192" s="136"/>
      <c r="BU192" s="136"/>
      <c r="BV192" s="136"/>
      <c r="BW192" s="136"/>
      <c r="BX192" s="136"/>
      <c r="BY192" s="136"/>
      <c r="BZ192" s="136"/>
      <c r="CA192" s="136"/>
      <c r="CB192" s="136"/>
      <c r="CC192" s="136"/>
      <c r="CD192" s="136"/>
      <c r="CE192" s="136"/>
      <c r="CF192" s="136"/>
      <c r="CG192" s="136"/>
      <c r="CH192" s="136"/>
      <c r="CI192" s="136"/>
      <c r="CJ192" s="136"/>
      <c r="CK192" s="136"/>
      <c r="CL192" s="136"/>
      <c r="CM192" s="136"/>
      <c r="CN192" s="136"/>
      <c r="CO192" s="136"/>
      <c r="CP192" s="136"/>
      <c r="CQ192" s="136"/>
      <c r="CR192" s="136"/>
      <c r="CS192" s="136"/>
      <c r="CT192" s="136"/>
      <c r="CU192" s="136"/>
      <c r="CV192" s="136"/>
      <c r="CW192" s="136"/>
      <c r="CX192" s="136"/>
      <c r="CY192" s="136"/>
      <c r="CZ192" s="136"/>
      <c r="DA192" s="136"/>
      <c r="DB192" s="136"/>
      <c r="DC192" s="136"/>
      <c r="DD192" s="136"/>
      <c r="DE192" s="136"/>
      <c r="DF192" s="136"/>
      <c r="DG192" s="136"/>
      <c r="DH192" s="136"/>
      <c r="DI192" s="136"/>
      <c r="DJ192" s="136"/>
      <c r="DK192" s="136"/>
      <c r="DL192" s="136"/>
      <c r="DM192" s="136"/>
      <c r="DN192" s="136"/>
      <c r="DO192" s="136"/>
      <c r="DP192" s="136"/>
      <c r="DQ192" s="136"/>
      <c r="DR192" s="136"/>
      <c r="DS192" s="136"/>
      <c r="DT192" s="136"/>
      <c r="DU192" s="136"/>
      <c r="DV192" s="136"/>
      <c r="DW192" s="136"/>
      <c r="DX192" s="136"/>
      <c r="DY192" s="136"/>
      <c r="DZ192" s="136"/>
      <c r="EA192" s="136"/>
      <c r="EB192" s="136"/>
      <c r="EC192" s="136"/>
      <c r="ED192" s="136"/>
      <c r="EE192" s="136"/>
      <c r="EF192" s="136"/>
      <c r="EG192" s="136"/>
      <c r="EH192" s="136"/>
      <c r="EI192" s="136"/>
      <c r="EJ192" s="136"/>
      <c r="EK192" s="136"/>
      <c r="EL192" s="136"/>
      <c r="EM192" s="136"/>
      <c r="EN192" s="136"/>
      <c r="EO192" s="136"/>
      <c r="EP192" s="136"/>
      <c r="EQ192" s="136"/>
      <c r="ER192" s="136"/>
      <c r="ES192" s="136"/>
      <c r="ET192" s="136"/>
      <c r="EU192" s="136"/>
      <c r="EV192" s="136"/>
      <c r="EW192" s="136"/>
      <c r="EX192" s="136"/>
      <c r="EY192" s="136"/>
      <c r="EZ192" s="136"/>
      <c r="FA192" s="136"/>
      <c r="FB192" s="136"/>
      <c r="FC192" s="136"/>
      <c r="FD192" s="136"/>
      <c r="FE192" s="136"/>
      <c r="FF192" s="136"/>
      <c r="FG192" s="136"/>
      <c r="FH192" s="136"/>
      <c r="FI192" s="136"/>
      <c r="FJ192" s="136"/>
      <c r="FK192" s="136"/>
      <c r="FL192" s="136"/>
      <c r="FM192" s="136"/>
      <c r="FN192" s="136"/>
      <c r="FO192" s="136"/>
      <c r="FP192" s="136"/>
      <c r="FQ192" s="136"/>
      <c r="FR192" s="136"/>
      <c r="FS192" s="136"/>
      <c r="FT192" s="136"/>
      <c r="FU192" s="136"/>
      <c r="FV192" s="136"/>
      <c r="FW192" s="136"/>
      <c r="FX192" s="136"/>
      <c r="FY192" s="136"/>
      <c r="FZ192" s="136"/>
      <c r="GA192" s="136"/>
      <c r="GB192" s="136"/>
      <c r="GC192" s="136"/>
      <c r="GD192" s="136"/>
      <c r="GE192" s="136"/>
      <c r="GF192" s="136"/>
      <c r="GG192" s="136"/>
      <c r="GH192" s="136"/>
      <c r="GI192" s="136"/>
      <c r="GJ192" s="136"/>
      <c r="GK192" s="136"/>
      <c r="GL192" s="136"/>
      <c r="GM192" s="136"/>
      <c r="GN192" s="136"/>
      <c r="GO192" s="136"/>
      <c r="GP192" s="136"/>
      <c r="GQ192" s="136"/>
      <c r="GR192" s="136"/>
      <c r="GS192" s="136"/>
      <c r="GT192" s="136"/>
      <c r="GU192" s="136"/>
      <c r="GV192" s="136"/>
      <c r="GW192" s="136"/>
      <c r="GX192" s="136"/>
      <c r="GY192" s="136"/>
      <c r="GZ192" s="136"/>
      <c r="HA192" s="136"/>
      <c r="HB192" s="136"/>
      <c r="HC192" s="136"/>
      <c r="HD192" s="136"/>
      <c r="HE192" s="136"/>
      <c r="HF192" s="136"/>
      <c r="HG192" s="136"/>
      <c r="HH192" s="136"/>
      <c r="HI192" s="136"/>
      <c r="HJ192" s="136"/>
      <c r="HK192" s="136"/>
      <c r="HL192" s="136"/>
      <c r="HM192" s="136"/>
      <c r="HN192" s="136"/>
      <c r="HO192" s="136"/>
      <c r="HP192" s="136"/>
      <c r="HQ192" s="136"/>
      <c r="HR192" s="136"/>
      <c r="HS192" s="136"/>
      <c r="HT192" s="136"/>
      <c r="HU192" s="136"/>
      <c r="HV192" s="136"/>
      <c r="HW192" s="136"/>
      <c r="HX192" s="136"/>
      <c r="HY192" s="136"/>
      <c r="HZ192" s="136"/>
      <c r="IA192" s="136"/>
      <c r="IB192" s="136"/>
      <c r="IC192" s="136"/>
      <c r="ID192" s="136"/>
      <c r="IE192" s="136"/>
      <c r="IF192" s="136"/>
      <c r="IG192" s="136"/>
      <c r="IH192" s="136"/>
      <c r="II192" s="136"/>
      <c r="IJ192" s="136"/>
      <c r="IK192" s="136"/>
      <c r="IL192" s="136"/>
      <c r="IM192" s="136"/>
      <c r="IN192" s="136"/>
      <c r="IO192" s="136"/>
      <c r="IP192" s="136"/>
      <c r="IQ192" s="136"/>
      <c r="IR192" s="136"/>
      <c r="IS192" s="136"/>
      <c r="IT192" s="136"/>
      <c r="IU192" s="136"/>
    </row>
    <row r="193" spans="1:255" ht="114" x14ac:dyDescent="0.2">
      <c r="A193" s="242" t="str">
        <f>'HECVAT - Full'!A193</f>
        <v>FIDP-01</v>
      </c>
      <c r="B193" s="242" t="str">
        <f>VLOOKUP(A193,'HECVAT - Full'!A$24:B$312,2,FALSE)</f>
        <v>Are you utilizing a web application firewall (WAF)?</v>
      </c>
      <c r="C193" s="245" t="s">
        <v>2889</v>
      </c>
      <c r="D193" s="250" t="s">
        <v>2890</v>
      </c>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6"/>
      <c r="AN193" s="136"/>
      <c r="AO193" s="136"/>
      <c r="AP193" s="136"/>
      <c r="AQ193" s="136"/>
      <c r="AR193" s="136"/>
      <c r="AS193" s="136"/>
      <c r="AT193" s="136"/>
      <c r="AU193" s="136"/>
      <c r="AV193" s="136"/>
      <c r="AW193" s="136"/>
      <c r="AX193" s="136"/>
      <c r="AY193" s="136"/>
      <c r="AZ193" s="136"/>
      <c r="BA193" s="136"/>
      <c r="BB193" s="136"/>
      <c r="BC193" s="136"/>
      <c r="BD193" s="136"/>
      <c r="BE193" s="136"/>
      <c r="BF193" s="136"/>
      <c r="BG193" s="136"/>
      <c r="BH193" s="136"/>
      <c r="BI193" s="136"/>
      <c r="BJ193" s="136"/>
      <c r="BK193" s="136"/>
      <c r="BL193" s="136"/>
      <c r="BM193" s="136"/>
      <c r="BN193" s="136"/>
      <c r="BO193" s="136"/>
      <c r="BP193" s="136"/>
      <c r="BQ193" s="136"/>
      <c r="BR193" s="136"/>
      <c r="BS193" s="136"/>
      <c r="BT193" s="136"/>
      <c r="BU193" s="136"/>
      <c r="BV193" s="136"/>
      <c r="BW193" s="136"/>
      <c r="BX193" s="136"/>
      <c r="BY193" s="136"/>
      <c r="BZ193" s="136"/>
      <c r="CA193" s="136"/>
      <c r="CB193" s="136"/>
      <c r="CC193" s="136"/>
      <c r="CD193" s="136"/>
      <c r="CE193" s="136"/>
      <c r="CF193" s="136"/>
      <c r="CG193" s="136"/>
      <c r="CH193" s="136"/>
      <c r="CI193" s="136"/>
      <c r="CJ193" s="136"/>
      <c r="CK193" s="136"/>
      <c r="CL193" s="136"/>
      <c r="CM193" s="136"/>
      <c r="CN193" s="136"/>
      <c r="CO193" s="136"/>
      <c r="CP193" s="136"/>
      <c r="CQ193" s="136"/>
      <c r="CR193" s="136"/>
      <c r="CS193" s="136"/>
      <c r="CT193" s="136"/>
      <c r="CU193" s="136"/>
      <c r="CV193" s="136"/>
      <c r="CW193" s="136"/>
      <c r="CX193" s="136"/>
      <c r="CY193" s="136"/>
      <c r="CZ193" s="136"/>
      <c r="DA193" s="136"/>
      <c r="DB193" s="136"/>
      <c r="DC193" s="136"/>
      <c r="DD193" s="136"/>
      <c r="DE193" s="136"/>
      <c r="DF193" s="136"/>
      <c r="DG193" s="136"/>
      <c r="DH193" s="136"/>
      <c r="DI193" s="136"/>
      <c r="DJ193" s="136"/>
      <c r="DK193" s="136"/>
      <c r="DL193" s="136"/>
      <c r="DM193" s="136"/>
      <c r="DN193" s="136"/>
      <c r="DO193" s="136"/>
      <c r="DP193" s="136"/>
      <c r="DQ193" s="136"/>
      <c r="DR193" s="136"/>
      <c r="DS193" s="136"/>
      <c r="DT193" s="136"/>
      <c r="DU193" s="136"/>
      <c r="DV193" s="136"/>
      <c r="DW193" s="136"/>
      <c r="DX193" s="136"/>
      <c r="DY193" s="136"/>
      <c r="DZ193" s="136"/>
      <c r="EA193" s="136"/>
      <c r="EB193" s="136"/>
      <c r="EC193" s="136"/>
      <c r="ED193" s="136"/>
      <c r="EE193" s="136"/>
      <c r="EF193" s="136"/>
      <c r="EG193" s="136"/>
      <c r="EH193" s="136"/>
      <c r="EI193" s="136"/>
      <c r="EJ193" s="136"/>
      <c r="EK193" s="136"/>
      <c r="EL193" s="136"/>
      <c r="EM193" s="136"/>
      <c r="EN193" s="136"/>
      <c r="EO193" s="136"/>
      <c r="EP193" s="136"/>
      <c r="EQ193" s="136"/>
      <c r="ER193" s="136"/>
      <c r="ES193" s="136"/>
      <c r="ET193" s="136"/>
      <c r="EU193" s="136"/>
      <c r="EV193" s="136"/>
      <c r="EW193" s="136"/>
      <c r="EX193" s="136"/>
      <c r="EY193" s="136"/>
      <c r="EZ193" s="136"/>
      <c r="FA193" s="136"/>
      <c r="FB193" s="136"/>
      <c r="FC193" s="136"/>
      <c r="FD193" s="136"/>
      <c r="FE193" s="136"/>
      <c r="FF193" s="136"/>
      <c r="FG193" s="136"/>
      <c r="FH193" s="136"/>
      <c r="FI193" s="136"/>
      <c r="FJ193" s="136"/>
      <c r="FK193" s="136"/>
      <c r="FL193" s="136"/>
      <c r="FM193" s="136"/>
      <c r="FN193" s="136"/>
      <c r="FO193" s="136"/>
      <c r="FP193" s="136"/>
      <c r="FQ193" s="136"/>
      <c r="FR193" s="136"/>
      <c r="FS193" s="136"/>
      <c r="FT193" s="136"/>
      <c r="FU193" s="136"/>
      <c r="FV193" s="136"/>
      <c r="FW193" s="136"/>
      <c r="FX193" s="136"/>
      <c r="FY193" s="136"/>
      <c r="FZ193" s="136"/>
      <c r="GA193" s="136"/>
      <c r="GB193" s="136"/>
      <c r="GC193" s="136"/>
      <c r="GD193" s="136"/>
      <c r="GE193" s="136"/>
      <c r="GF193" s="136"/>
      <c r="GG193" s="136"/>
      <c r="GH193" s="136"/>
      <c r="GI193" s="136"/>
      <c r="GJ193" s="136"/>
      <c r="GK193" s="136"/>
      <c r="GL193" s="136"/>
      <c r="GM193" s="136"/>
      <c r="GN193" s="136"/>
      <c r="GO193" s="136"/>
      <c r="GP193" s="136"/>
      <c r="GQ193" s="136"/>
      <c r="GR193" s="136"/>
      <c r="GS193" s="136"/>
      <c r="GT193" s="136"/>
      <c r="GU193" s="136"/>
      <c r="GV193" s="136"/>
      <c r="GW193" s="136"/>
      <c r="GX193" s="136"/>
      <c r="GY193" s="136"/>
      <c r="GZ193" s="136"/>
      <c r="HA193" s="136"/>
      <c r="HB193" s="136"/>
      <c r="HC193" s="136"/>
      <c r="HD193" s="136"/>
      <c r="HE193" s="136"/>
      <c r="HF193" s="136"/>
      <c r="HG193" s="136"/>
      <c r="HH193" s="136"/>
      <c r="HI193" s="136"/>
      <c r="HJ193" s="136"/>
      <c r="HK193" s="136"/>
      <c r="HL193" s="136"/>
      <c r="HM193" s="136"/>
      <c r="HN193" s="136"/>
      <c r="HO193" s="136"/>
      <c r="HP193" s="136"/>
      <c r="HQ193" s="136"/>
      <c r="HR193" s="136"/>
      <c r="HS193" s="136"/>
      <c r="HT193" s="136"/>
      <c r="HU193" s="136"/>
      <c r="HV193" s="136"/>
      <c r="HW193" s="136"/>
      <c r="HX193" s="136"/>
      <c r="HY193" s="136"/>
      <c r="HZ193" s="136"/>
      <c r="IA193" s="136"/>
      <c r="IB193" s="136"/>
      <c r="IC193" s="136"/>
      <c r="ID193" s="136"/>
      <c r="IE193" s="136"/>
      <c r="IF193" s="136"/>
      <c r="IG193" s="136"/>
      <c r="IH193" s="136"/>
      <c r="II193" s="136"/>
      <c r="IJ193" s="136"/>
      <c r="IK193" s="136"/>
      <c r="IL193" s="136"/>
      <c r="IM193" s="136"/>
      <c r="IN193" s="136"/>
      <c r="IO193" s="136"/>
      <c r="IP193" s="136"/>
      <c r="IQ193" s="136"/>
      <c r="IR193" s="136"/>
      <c r="IS193" s="136"/>
      <c r="IT193" s="136"/>
      <c r="IU193" s="136"/>
    </row>
    <row r="194" spans="1:255" ht="114" x14ac:dyDescent="0.2">
      <c r="A194" s="242" t="str">
        <f>'HECVAT - Full'!A194</f>
        <v>FIDP-02</v>
      </c>
      <c r="B194" s="242" t="str">
        <f>VLOOKUP(A194,'HECVAT - Full'!A$24:B$312,2,FALSE)</f>
        <v>Are you utilizing a stateful packet inspection (SPI) firewall?</v>
      </c>
      <c r="C194" s="245" t="s">
        <v>2889</v>
      </c>
      <c r="D194" s="250" t="s">
        <v>2890</v>
      </c>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36"/>
      <c r="AW194" s="136"/>
      <c r="AX194" s="136"/>
      <c r="AY194" s="136"/>
      <c r="AZ194" s="136"/>
      <c r="BA194" s="136"/>
      <c r="BB194" s="136"/>
      <c r="BC194" s="136"/>
      <c r="BD194" s="136"/>
      <c r="BE194" s="136"/>
      <c r="BF194" s="136"/>
      <c r="BG194" s="136"/>
      <c r="BH194" s="136"/>
      <c r="BI194" s="136"/>
      <c r="BJ194" s="136"/>
      <c r="BK194" s="136"/>
      <c r="BL194" s="136"/>
      <c r="BM194" s="136"/>
      <c r="BN194" s="136"/>
      <c r="BO194" s="136"/>
      <c r="BP194" s="136"/>
      <c r="BQ194" s="136"/>
      <c r="BR194" s="136"/>
      <c r="BS194" s="136"/>
      <c r="BT194" s="136"/>
      <c r="BU194" s="136"/>
      <c r="BV194" s="136"/>
      <c r="BW194" s="136"/>
      <c r="BX194" s="136"/>
      <c r="BY194" s="136"/>
      <c r="BZ194" s="136"/>
      <c r="CA194" s="136"/>
      <c r="CB194" s="136"/>
      <c r="CC194" s="136"/>
      <c r="CD194" s="136"/>
      <c r="CE194" s="136"/>
      <c r="CF194" s="136"/>
      <c r="CG194" s="136"/>
      <c r="CH194" s="136"/>
      <c r="CI194" s="136"/>
      <c r="CJ194" s="136"/>
      <c r="CK194" s="136"/>
      <c r="CL194" s="136"/>
      <c r="CM194" s="136"/>
      <c r="CN194" s="136"/>
      <c r="CO194" s="136"/>
      <c r="CP194" s="136"/>
      <c r="CQ194" s="136"/>
      <c r="CR194" s="136"/>
      <c r="CS194" s="136"/>
      <c r="CT194" s="136"/>
      <c r="CU194" s="136"/>
      <c r="CV194" s="136"/>
      <c r="CW194" s="136"/>
      <c r="CX194" s="136"/>
      <c r="CY194" s="136"/>
      <c r="CZ194" s="136"/>
      <c r="DA194" s="136"/>
      <c r="DB194" s="136"/>
      <c r="DC194" s="136"/>
      <c r="DD194" s="136"/>
      <c r="DE194" s="136"/>
      <c r="DF194" s="136"/>
      <c r="DG194" s="136"/>
      <c r="DH194" s="136"/>
      <c r="DI194" s="136"/>
      <c r="DJ194" s="136"/>
      <c r="DK194" s="136"/>
      <c r="DL194" s="136"/>
      <c r="DM194" s="136"/>
      <c r="DN194" s="136"/>
      <c r="DO194" s="136"/>
      <c r="DP194" s="136"/>
      <c r="DQ194" s="136"/>
      <c r="DR194" s="136"/>
      <c r="DS194" s="136"/>
      <c r="DT194" s="136"/>
      <c r="DU194" s="136"/>
      <c r="DV194" s="136"/>
      <c r="DW194" s="136"/>
      <c r="DX194" s="136"/>
      <c r="DY194" s="136"/>
      <c r="DZ194" s="136"/>
      <c r="EA194" s="136"/>
      <c r="EB194" s="136"/>
      <c r="EC194" s="136"/>
      <c r="ED194" s="136"/>
      <c r="EE194" s="136"/>
      <c r="EF194" s="136"/>
      <c r="EG194" s="136"/>
      <c r="EH194" s="136"/>
      <c r="EI194" s="136"/>
      <c r="EJ194" s="136"/>
      <c r="EK194" s="136"/>
      <c r="EL194" s="136"/>
      <c r="EM194" s="136"/>
      <c r="EN194" s="136"/>
      <c r="EO194" s="136"/>
      <c r="EP194" s="136"/>
      <c r="EQ194" s="136"/>
      <c r="ER194" s="136"/>
      <c r="ES194" s="136"/>
      <c r="ET194" s="136"/>
      <c r="EU194" s="136"/>
      <c r="EV194" s="136"/>
      <c r="EW194" s="136"/>
      <c r="EX194" s="136"/>
      <c r="EY194" s="136"/>
      <c r="EZ194" s="136"/>
      <c r="FA194" s="136"/>
      <c r="FB194" s="136"/>
      <c r="FC194" s="136"/>
      <c r="FD194" s="136"/>
      <c r="FE194" s="136"/>
      <c r="FF194" s="136"/>
      <c r="FG194" s="136"/>
      <c r="FH194" s="136"/>
      <c r="FI194" s="136"/>
      <c r="FJ194" s="136"/>
      <c r="FK194" s="136"/>
      <c r="FL194" s="136"/>
      <c r="FM194" s="136"/>
      <c r="FN194" s="136"/>
      <c r="FO194" s="136"/>
      <c r="FP194" s="136"/>
      <c r="FQ194" s="136"/>
      <c r="FR194" s="136"/>
      <c r="FS194" s="136"/>
      <c r="FT194" s="136"/>
      <c r="FU194" s="136"/>
      <c r="FV194" s="136"/>
      <c r="FW194" s="136"/>
      <c r="FX194" s="136"/>
      <c r="FY194" s="136"/>
      <c r="FZ194" s="136"/>
      <c r="GA194" s="136"/>
      <c r="GB194" s="136"/>
      <c r="GC194" s="136"/>
      <c r="GD194" s="136"/>
      <c r="GE194" s="136"/>
      <c r="GF194" s="136"/>
      <c r="GG194" s="136"/>
      <c r="GH194" s="136"/>
      <c r="GI194" s="136"/>
      <c r="GJ194" s="136"/>
      <c r="GK194" s="136"/>
      <c r="GL194" s="136"/>
      <c r="GM194" s="136"/>
      <c r="GN194" s="136"/>
      <c r="GO194" s="136"/>
      <c r="GP194" s="136"/>
      <c r="GQ194" s="136"/>
      <c r="GR194" s="136"/>
      <c r="GS194" s="136"/>
      <c r="GT194" s="136"/>
      <c r="GU194" s="136"/>
      <c r="GV194" s="136"/>
      <c r="GW194" s="136"/>
      <c r="GX194" s="136"/>
      <c r="GY194" s="136"/>
      <c r="GZ194" s="136"/>
      <c r="HA194" s="136"/>
      <c r="HB194" s="136"/>
      <c r="HC194" s="136"/>
      <c r="HD194" s="136"/>
      <c r="HE194" s="136"/>
      <c r="HF194" s="136"/>
      <c r="HG194" s="136"/>
      <c r="HH194" s="136"/>
      <c r="HI194" s="136"/>
      <c r="HJ194" s="136"/>
      <c r="HK194" s="136"/>
      <c r="HL194" s="136"/>
      <c r="HM194" s="136"/>
      <c r="HN194" s="136"/>
      <c r="HO194" s="136"/>
      <c r="HP194" s="136"/>
      <c r="HQ194" s="136"/>
      <c r="HR194" s="136"/>
      <c r="HS194" s="136"/>
      <c r="HT194" s="136"/>
      <c r="HU194" s="136"/>
      <c r="HV194" s="136"/>
      <c r="HW194" s="136"/>
      <c r="HX194" s="136"/>
      <c r="HY194" s="136"/>
      <c r="HZ194" s="136"/>
      <c r="IA194" s="136"/>
      <c r="IB194" s="136"/>
      <c r="IC194" s="136"/>
      <c r="ID194" s="136"/>
      <c r="IE194" s="136"/>
      <c r="IF194" s="136"/>
      <c r="IG194" s="136"/>
      <c r="IH194" s="136"/>
      <c r="II194" s="136"/>
      <c r="IJ194" s="136"/>
      <c r="IK194" s="136"/>
      <c r="IL194" s="136"/>
      <c r="IM194" s="136"/>
      <c r="IN194" s="136"/>
      <c r="IO194" s="136"/>
      <c r="IP194" s="136"/>
      <c r="IQ194" s="136"/>
      <c r="IR194" s="136"/>
      <c r="IS194" s="136"/>
      <c r="IT194" s="136"/>
      <c r="IU194" s="136"/>
    </row>
    <row r="195" spans="1:255" ht="75" customHeight="1" x14ac:dyDescent="0.2">
      <c r="A195" s="242" t="str">
        <f>'HECVAT - Full'!A195</f>
        <v>FIDP-03</v>
      </c>
      <c r="B195" s="242" t="str">
        <f>VLOOKUP(A195,'HECVAT - Full'!A$24:B$312,2,FALSE)</f>
        <v>State and describe who has the authority to change firewall rules?</v>
      </c>
      <c r="C195" s="243" t="s">
        <v>2891</v>
      </c>
      <c r="D195" s="271" t="s">
        <v>3041</v>
      </c>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36"/>
      <c r="AW195" s="136"/>
      <c r="AX195" s="136"/>
      <c r="AY195" s="136"/>
      <c r="AZ195" s="136"/>
      <c r="BA195" s="136"/>
      <c r="BB195" s="136"/>
      <c r="BC195" s="136"/>
      <c r="BD195" s="136"/>
      <c r="BE195" s="136"/>
      <c r="BF195" s="136"/>
      <c r="BG195" s="136"/>
      <c r="BH195" s="136"/>
      <c r="BI195" s="136"/>
      <c r="BJ195" s="136"/>
      <c r="BK195" s="136"/>
      <c r="BL195" s="136"/>
      <c r="BM195" s="136"/>
      <c r="BN195" s="136"/>
      <c r="BO195" s="136"/>
      <c r="BP195" s="136"/>
      <c r="BQ195" s="136"/>
      <c r="BR195" s="136"/>
      <c r="BS195" s="136"/>
      <c r="BT195" s="136"/>
      <c r="BU195" s="136"/>
      <c r="BV195" s="136"/>
      <c r="BW195" s="136"/>
      <c r="BX195" s="136"/>
      <c r="BY195" s="136"/>
      <c r="BZ195" s="136"/>
      <c r="CA195" s="136"/>
      <c r="CB195" s="136"/>
      <c r="CC195" s="136"/>
      <c r="CD195" s="136"/>
      <c r="CE195" s="136"/>
      <c r="CF195" s="136"/>
      <c r="CG195" s="136"/>
      <c r="CH195" s="136"/>
      <c r="CI195" s="136"/>
      <c r="CJ195" s="136"/>
      <c r="CK195" s="136"/>
      <c r="CL195" s="136"/>
      <c r="CM195" s="136"/>
      <c r="CN195" s="136"/>
      <c r="CO195" s="136"/>
      <c r="CP195" s="136"/>
      <c r="CQ195" s="136"/>
      <c r="CR195" s="136"/>
      <c r="CS195" s="136"/>
      <c r="CT195" s="136"/>
      <c r="CU195" s="136"/>
      <c r="CV195" s="136"/>
      <c r="CW195" s="136"/>
      <c r="CX195" s="136"/>
      <c r="CY195" s="136"/>
      <c r="CZ195" s="136"/>
      <c r="DA195" s="136"/>
      <c r="DB195" s="136"/>
      <c r="DC195" s="136"/>
      <c r="DD195" s="136"/>
      <c r="DE195" s="136"/>
      <c r="DF195" s="136"/>
      <c r="DG195" s="136"/>
      <c r="DH195" s="136"/>
      <c r="DI195" s="136"/>
      <c r="DJ195" s="136"/>
      <c r="DK195" s="136"/>
      <c r="DL195" s="136"/>
      <c r="DM195" s="136"/>
      <c r="DN195" s="136"/>
      <c r="DO195" s="136"/>
      <c r="DP195" s="136"/>
      <c r="DQ195" s="136"/>
      <c r="DR195" s="136"/>
      <c r="DS195" s="136"/>
      <c r="DT195" s="136"/>
      <c r="DU195" s="136"/>
      <c r="DV195" s="136"/>
      <c r="DW195" s="136"/>
      <c r="DX195" s="136"/>
      <c r="DY195" s="136"/>
      <c r="DZ195" s="136"/>
      <c r="EA195" s="136"/>
      <c r="EB195" s="136"/>
      <c r="EC195" s="136"/>
      <c r="ED195" s="136"/>
      <c r="EE195" s="136"/>
      <c r="EF195" s="136"/>
      <c r="EG195" s="136"/>
      <c r="EH195" s="136"/>
      <c r="EI195" s="136"/>
      <c r="EJ195" s="136"/>
      <c r="EK195" s="136"/>
      <c r="EL195" s="136"/>
      <c r="EM195" s="136"/>
      <c r="EN195" s="136"/>
      <c r="EO195" s="136"/>
      <c r="EP195" s="136"/>
      <c r="EQ195" s="136"/>
      <c r="ER195" s="136"/>
      <c r="ES195" s="136"/>
      <c r="ET195" s="136"/>
      <c r="EU195" s="136"/>
      <c r="EV195" s="136"/>
      <c r="EW195" s="136"/>
      <c r="EX195" s="136"/>
      <c r="EY195" s="136"/>
      <c r="EZ195" s="136"/>
      <c r="FA195" s="136"/>
      <c r="FB195" s="136"/>
      <c r="FC195" s="136"/>
      <c r="FD195" s="136"/>
      <c r="FE195" s="136"/>
      <c r="FF195" s="136"/>
      <c r="FG195" s="136"/>
      <c r="FH195" s="136"/>
      <c r="FI195" s="136"/>
      <c r="FJ195" s="136"/>
      <c r="FK195" s="136"/>
      <c r="FL195" s="136"/>
      <c r="FM195" s="136"/>
      <c r="FN195" s="136"/>
      <c r="FO195" s="136"/>
      <c r="FP195" s="136"/>
      <c r="FQ195" s="136"/>
      <c r="FR195" s="136"/>
      <c r="FS195" s="136"/>
      <c r="FT195" s="136"/>
      <c r="FU195" s="136"/>
      <c r="FV195" s="136"/>
      <c r="FW195" s="136"/>
      <c r="FX195" s="136"/>
      <c r="FY195" s="136"/>
      <c r="FZ195" s="136"/>
      <c r="GA195" s="136"/>
      <c r="GB195" s="136"/>
      <c r="GC195" s="136"/>
      <c r="GD195" s="136"/>
      <c r="GE195" s="136"/>
      <c r="GF195" s="136"/>
      <c r="GG195" s="136"/>
      <c r="GH195" s="136"/>
      <c r="GI195" s="136"/>
      <c r="GJ195" s="136"/>
      <c r="GK195" s="136"/>
      <c r="GL195" s="136"/>
      <c r="GM195" s="136"/>
      <c r="GN195" s="136"/>
      <c r="GO195" s="136"/>
      <c r="GP195" s="136"/>
      <c r="GQ195" s="136"/>
      <c r="GR195" s="136"/>
      <c r="GS195" s="136"/>
      <c r="GT195" s="136"/>
      <c r="GU195" s="136"/>
      <c r="GV195" s="136"/>
      <c r="GW195" s="136"/>
      <c r="GX195" s="136"/>
      <c r="GY195" s="136"/>
      <c r="GZ195" s="136"/>
      <c r="HA195" s="136"/>
      <c r="HB195" s="136"/>
      <c r="HC195" s="136"/>
      <c r="HD195" s="136"/>
      <c r="HE195" s="136"/>
      <c r="HF195" s="136"/>
      <c r="HG195" s="136"/>
      <c r="HH195" s="136"/>
      <c r="HI195" s="136"/>
      <c r="HJ195" s="136"/>
      <c r="HK195" s="136"/>
      <c r="HL195" s="136"/>
      <c r="HM195" s="136"/>
      <c r="HN195" s="136"/>
      <c r="HO195" s="136"/>
      <c r="HP195" s="136"/>
      <c r="HQ195" s="136"/>
      <c r="HR195" s="136"/>
      <c r="HS195" s="136"/>
      <c r="HT195" s="136"/>
      <c r="HU195" s="136"/>
      <c r="HV195" s="136"/>
      <c r="HW195" s="136"/>
      <c r="HX195" s="136"/>
      <c r="HY195" s="136"/>
      <c r="HZ195" s="136"/>
      <c r="IA195" s="136"/>
      <c r="IB195" s="136"/>
      <c r="IC195" s="136"/>
      <c r="ID195" s="136"/>
      <c r="IE195" s="136"/>
      <c r="IF195" s="136"/>
      <c r="IG195" s="136"/>
      <c r="IH195" s="136"/>
      <c r="II195" s="136"/>
      <c r="IJ195" s="136"/>
      <c r="IK195" s="136"/>
      <c r="IL195" s="136"/>
      <c r="IM195" s="136"/>
      <c r="IN195" s="136"/>
      <c r="IO195" s="136"/>
      <c r="IP195" s="136"/>
      <c r="IQ195" s="136"/>
      <c r="IR195" s="136"/>
      <c r="IS195" s="136"/>
      <c r="IT195" s="136"/>
      <c r="IU195" s="136"/>
    </row>
    <row r="196" spans="1:255" ht="96" customHeight="1" x14ac:dyDescent="0.2">
      <c r="A196" s="242" t="str">
        <f>'HECVAT - Full'!A196</f>
        <v>FIDP-04</v>
      </c>
      <c r="B196" s="242" t="str">
        <f>VLOOKUP(A196,'HECVAT - Full'!A$24:B$312,2,FALSE)</f>
        <v>Do you have a documented policy for firewall change requests?</v>
      </c>
      <c r="C196" s="245" t="s">
        <v>2892</v>
      </c>
      <c r="D196" s="250" t="s">
        <v>2893</v>
      </c>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6"/>
      <c r="AN196" s="136"/>
      <c r="AO196" s="136"/>
      <c r="AP196" s="136"/>
      <c r="AQ196" s="136"/>
      <c r="AR196" s="136"/>
      <c r="AS196" s="136"/>
      <c r="AT196" s="136"/>
      <c r="AU196" s="136"/>
      <c r="AV196" s="136"/>
      <c r="AW196" s="136"/>
      <c r="AX196" s="136"/>
      <c r="AY196" s="136"/>
      <c r="AZ196" s="136"/>
      <c r="BA196" s="136"/>
      <c r="BB196" s="136"/>
      <c r="BC196" s="136"/>
      <c r="BD196" s="136"/>
      <c r="BE196" s="136"/>
      <c r="BF196" s="136"/>
      <c r="BG196" s="136"/>
      <c r="BH196" s="136"/>
      <c r="BI196" s="136"/>
      <c r="BJ196" s="136"/>
      <c r="BK196" s="136"/>
      <c r="BL196" s="136"/>
      <c r="BM196" s="136"/>
      <c r="BN196" s="136"/>
      <c r="BO196" s="136"/>
      <c r="BP196" s="136"/>
      <c r="BQ196" s="136"/>
      <c r="BR196" s="136"/>
      <c r="BS196" s="136"/>
      <c r="BT196" s="136"/>
      <c r="BU196" s="136"/>
      <c r="BV196" s="136"/>
      <c r="BW196" s="136"/>
      <c r="BX196" s="136"/>
      <c r="BY196" s="136"/>
      <c r="BZ196" s="136"/>
      <c r="CA196" s="136"/>
      <c r="CB196" s="136"/>
      <c r="CC196" s="136"/>
      <c r="CD196" s="136"/>
      <c r="CE196" s="136"/>
      <c r="CF196" s="136"/>
      <c r="CG196" s="136"/>
      <c r="CH196" s="136"/>
      <c r="CI196" s="136"/>
      <c r="CJ196" s="136"/>
      <c r="CK196" s="136"/>
      <c r="CL196" s="136"/>
      <c r="CM196" s="136"/>
      <c r="CN196" s="136"/>
      <c r="CO196" s="136"/>
      <c r="CP196" s="136"/>
      <c r="CQ196" s="136"/>
      <c r="CR196" s="136"/>
      <c r="CS196" s="136"/>
      <c r="CT196" s="136"/>
      <c r="CU196" s="136"/>
      <c r="CV196" s="136"/>
      <c r="CW196" s="136"/>
      <c r="CX196" s="136"/>
      <c r="CY196" s="136"/>
      <c r="CZ196" s="136"/>
      <c r="DA196" s="136"/>
      <c r="DB196" s="136"/>
      <c r="DC196" s="136"/>
      <c r="DD196" s="136"/>
      <c r="DE196" s="136"/>
      <c r="DF196" s="136"/>
      <c r="DG196" s="136"/>
      <c r="DH196" s="136"/>
      <c r="DI196" s="136"/>
      <c r="DJ196" s="136"/>
      <c r="DK196" s="136"/>
      <c r="DL196" s="136"/>
      <c r="DM196" s="136"/>
      <c r="DN196" s="136"/>
      <c r="DO196" s="136"/>
      <c r="DP196" s="136"/>
      <c r="DQ196" s="136"/>
      <c r="DR196" s="136"/>
      <c r="DS196" s="136"/>
      <c r="DT196" s="136"/>
      <c r="DU196" s="136"/>
      <c r="DV196" s="136"/>
      <c r="DW196" s="136"/>
      <c r="DX196" s="136"/>
      <c r="DY196" s="136"/>
      <c r="DZ196" s="136"/>
      <c r="EA196" s="136"/>
      <c r="EB196" s="136"/>
      <c r="EC196" s="136"/>
      <c r="ED196" s="136"/>
      <c r="EE196" s="136"/>
      <c r="EF196" s="136"/>
      <c r="EG196" s="136"/>
      <c r="EH196" s="136"/>
      <c r="EI196" s="136"/>
      <c r="EJ196" s="136"/>
      <c r="EK196" s="136"/>
      <c r="EL196" s="136"/>
      <c r="EM196" s="136"/>
      <c r="EN196" s="136"/>
      <c r="EO196" s="136"/>
      <c r="EP196" s="136"/>
      <c r="EQ196" s="136"/>
      <c r="ER196" s="136"/>
      <c r="ES196" s="136"/>
      <c r="ET196" s="136"/>
      <c r="EU196" s="136"/>
      <c r="EV196" s="136"/>
      <c r="EW196" s="136"/>
      <c r="EX196" s="136"/>
      <c r="EY196" s="136"/>
      <c r="EZ196" s="136"/>
      <c r="FA196" s="136"/>
      <c r="FB196" s="136"/>
      <c r="FC196" s="136"/>
      <c r="FD196" s="136"/>
      <c r="FE196" s="136"/>
      <c r="FF196" s="136"/>
      <c r="FG196" s="136"/>
      <c r="FH196" s="136"/>
      <c r="FI196" s="136"/>
      <c r="FJ196" s="136"/>
      <c r="FK196" s="136"/>
      <c r="FL196" s="136"/>
      <c r="FM196" s="136"/>
      <c r="FN196" s="136"/>
      <c r="FO196" s="136"/>
      <c r="FP196" s="136"/>
      <c r="FQ196" s="136"/>
      <c r="FR196" s="136"/>
      <c r="FS196" s="136"/>
      <c r="FT196" s="136"/>
      <c r="FU196" s="136"/>
      <c r="FV196" s="136"/>
      <c r="FW196" s="136"/>
      <c r="FX196" s="136"/>
      <c r="FY196" s="136"/>
      <c r="FZ196" s="136"/>
      <c r="GA196" s="136"/>
      <c r="GB196" s="136"/>
      <c r="GC196" s="136"/>
      <c r="GD196" s="136"/>
      <c r="GE196" s="136"/>
      <c r="GF196" s="136"/>
      <c r="GG196" s="136"/>
      <c r="GH196" s="136"/>
      <c r="GI196" s="136"/>
      <c r="GJ196" s="136"/>
      <c r="GK196" s="136"/>
      <c r="GL196" s="136"/>
      <c r="GM196" s="136"/>
      <c r="GN196" s="136"/>
      <c r="GO196" s="136"/>
      <c r="GP196" s="136"/>
      <c r="GQ196" s="136"/>
      <c r="GR196" s="136"/>
      <c r="GS196" s="136"/>
      <c r="GT196" s="136"/>
      <c r="GU196" s="136"/>
      <c r="GV196" s="136"/>
      <c r="GW196" s="136"/>
      <c r="GX196" s="136"/>
      <c r="GY196" s="136"/>
      <c r="GZ196" s="136"/>
      <c r="HA196" s="136"/>
      <c r="HB196" s="136"/>
      <c r="HC196" s="136"/>
      <c r="HD196" s="136"/>
      <c r="HE196" s="136"/>
      <c r="HF196" s="136"/>
      <c r="HG196" s="136"/>
      <c r="HH196" s="136"/>
      <c r="HI196" s="136"/>
      <c r="HJ196" s="136"/>
      <c r="HK196" s="136"/>
      <c r="HL196" s="136"/>
      <c r="HM196" s="136"/>
      <c r="HN196" s="136"/>
      <c r="HO196" s="136"/>
      <c r="HP196" s="136"/>
      <c r="HQ196" s="136"/>
      <c r="HR196" s="136"/>
      <c r="HS196" s="136"/>
      <c r="HT196" s="136"/>
      <c r="HU196" s="136"/>
      <c r="HV196" s="136"/>
      <c r="HW196" s="136"/>
      <c r="HX196" s="136"/>
      <c r="HY196" s="136"/>
      <c r="HZ196" s="136"/>
      <c r="IA196" s="136"/>
      <c r="IB196" s="136"/>
      <c r="IC196" s="136"/>
      <c r="ID196" s="136"/>
      <c r="IE196" s="136"/>
      <c r="IF196" s="136"/>
      <c r="IG196" s="136"/>
      <c r="IH196" s="136"/>
      <c r="II196" s="136"/>
      <c r="IJ196" s="136"/>
      <c r="IK196" s="136"/>
      <c r="IL196" s="136"/>
      <c r="IM196" s="136"/>
      <c r="IN196" s="136"/>
      <c r="IO196" s="136"/>
      <c r="IP196" s="136"/>
      <c r="IQ196" s="136"/>
      <c r="IR196" s="136"/>
      <c r="IS196" s="136"/>
      <c r="IT196" s="136"/>
      <c r="IU196" s="136"/>
    </row>
    <row r="197" spans="1:255" ht="86.25" customHeight="1" x14ac:dyDescent="0.2">
      <c r="A197" s="242" t="str">
        <f>'HECVAT - Full'!A197</f>
        <v>FIDP-05</v>
      </c>
      <c r="B197" s="242" t="str">
        <f>VLOOKUP(A197,'HECVAT - Full'!A$24:B$312,2,FALSE)</f>
        <v>Have you implemented an Intrusion Detection System (network-based)?</v>
      </c>
      <c r="C197" s="243" t="s">
        <v>2894</v>
      </c>
      <c r="D197" s="253" t="s">
        <v>2895</v>
      </c>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6"/>
      <c r="AN197" s="136"/>
      <c r="AO197" s="136"/>
      <c r="AP197" s="136"/>
      <c r="AQ197" s="136"/>
      <c r="AR197" s="136"/>
      <c r="AS197" s="136"/>
      <c r="AT197" s="136"/>
      <c r="AU197" s="136"/>
      <c r="AV197" s="136"/>
      <c r="AW197" s="136"/>
      <c r="AX197" s="136"/>
      <c r="AY197" s="136"/>
      <c r="AZ197" s="136"/>
      <c r="BA197" s="136"/>
      <c r="BB197" s="136"/>
      <c r="BC197" s="136"/>
      <c r="BD197" s="136"/>
      <c r="BE197" s="136"/>
      <c r="BF197" s="136"/>
      <c r="BG197" s="136"/>
      <c r="BH197" s="136"/>
      <c r="BI197" s="136"/>
      <c r="BJ197" s="136"/>
      <c r="BK197" s="136"/>
      <c r="BL197" s="136"/>
      <c r="BM197" s="136"/>
      <c r="BN197" s="136"/>
      <c r="BO197" s="136"/>
      <c r="BP197" s="136"/>
      <c r="BQ197" s="136"/>
      <c r="BR197" s="136"/>
      <c r="BS197" s="136"/>
      <c r="BT197" s="136"/>
      <c r="BU197" s="136"/>
      <c r="BV197" s="136"/>
      <c r="BW197" s="136"/>
      <c r="BX197" s="136"/>
      <c r="BY197" s="136"/>
      <c r="BZ197" s="136"/>
      <c r="CA197" s="136"/>
      <c r="CB197" s="136"/>
      <c r="CC197" s="136"/>
      <c r="CD197" s="136"/>
      <c r="CE197" s="136"/>
      <c r="CF197" s="136"/>
      <c r="CG197" s="136"/>
      <c r="CH197" s="136"/>
      <c r="CI197" s="136"/>
      <c r="CJ197" s="136"/>
      <c r="CK197" s="136"/>
      <c r="CL197" s="136"/>
      <c r="CM197" s="136"/>
      <c r="CN197" s="136"/>
      <c r="CO197" s="136"/>
      <c r="CP197" s="136"/>
      <c r="CQ197" s="136"/>
      <c r="CR197" s="136"/>
      <c r="CS197" s="136"/>
      <c r="CT197" s="136"/>
      <c r="CU197" s="136"/>
      <c r="CV197" s="136"/>
      <c r="CW197" s="136"/>
      <c r="CX197" s="136"/>
      <c r="CY197" s="136"/>
      <c r="CZ197" s="136"/>
      <c r="DA197" s="136"/>
      <c r="DB197" s="136"/>
      <c r="DC197" s="136"/>
      <c r="DD197" s="136"/>
      <c r="DE197" s="136"/>
      <c r="DF197" s="136"/>
      <c r="DG197" s="136"/>
      <c r="DH197" s="136"/>
      <c r="DI197" s="136"/>
      <c r="DJ197" s="136"/>
      <c r="DK197" s="136"/>
      <c r="DL197" s="136"/>
      <c r="DM197" s="136"/>
      <c r="DN197" s="136"/>
      <c r="DO197" s="136"/>
      <c r="DP197" s="136"/>
      <c r="DQ197" s="136"/>
      <c r="DR197" s="136"/>
      <c r="DS197" s="136"/>
      <c r="DT197" s="136"/>
      <c r="DU197" s="136"/>
      <c r="DV197" s="136"/>
      <c r="DW197" s="136"/>
      <c r="DX197" s="136"/>
      <c r="DY197" s="136"/>
      <c r="DZ197" s="136"/>
      <c r="EA197" s="136"/>
      <c r="EB197" s="136"/>
      <c r="EC197" s="136"/>
      <c r="ED197" s="136"/>
      <c r="EE197" s="136"/>
      <c r="EF197" s="136"/>
      <c r="EG197" s="136"/>
      <c r="EH197" s="136"/>
      <c r="EI197" s="136"/>
      <c r="EJ197" s="136"/>
      <c r="EK197" s="136"/>
      <c r="EL197" s="136"/>
      <c r="EM197" s="136"/>
      <c r="EN197" s="136"/>
      <c r="EO197" s="136"/>
      <c r="EP197" s="136"/>
      <c r="EQ197" s="136"/>
      <c r="ER197" s="136"/>
      <c r="ES197" s="136"/>
      <c r="ET197" s="136"/>
      <c r="EU197" s="136"/>
      <c r="EV197" s="136"/>
      <c r="EW197" s="136"/>
      <c r="EX197" s="136"/>
      <c r="EY197" s="136"/>
      <c r="EZ197" s="136"/>
      <c r="FA197" s="136"/>
      <c r="FB197" s="136"/>
      <c r="FC197" s="136"/>
      <c r="FD197" s="136"/>
      <c r="FE197" s="136"/>
      <c r="FF197" s="136"/>
      <c r="FG197" s="136"/>
      <c r="FH197" s="136"/>
      <c r="FI197" s="136"/>
      <c r="FJ197" s="136"/>
      <c r="FK197" s="136"/>
      <c r="FL197" s="136"/>
      <c r="FM197" s="136"/>
      <c r="FN197" s="136"/>
      <c r="FO197" s="136"/>
      <c r="FP197" s="136"/>
      <c r="FQ197" s="136"/>
      <c r="FR197" s="136"/>
      <c r="FS197" s="136"/>
      <c r="FT197" s="136"/>
      <c r="FU197" s="136"/>
      <c r="FV197" s="136"/>
      <c r="FW197" s="136"/>
      <c r="FX197" s="136"/>
      <c r="FY197" s="136"/>
      <c r="FZ197" s="136"/>
      <c r="GA197" s="136"/>
      <c r="GB197" s="136"/>
      <c r="GC197" s="136"/>
      <c r="GD197" s="136"/>
      <c r="GE197" s="136"/>
      <c r="GF197" s="136"/>
      <c r="GG197" s="136"/>
      <c r="GH197" s="136"/>
      <c r="GI197" s="136"/>
      <c r="GJ197" s="136"/>
      <c r="GK197" s="136"/>
      <c r="GL197" s="136"/>
      <c r="GM197" s="136"/>
      <c r="GN197" s="136"/>
      <c r="GO197" s="136"/>
      <c r="GP197" s="136"/>
      <c r="GQ197" s="136"/>
      <c r="GR197" s="136"/>
      <c r="GS197" s="136"/>
      <c r="GT197" s="136"/>
      <c r="GU197" s="136"/>
      <c r="GV197" s="136"/>
      <c r="GW197" s="136"/>
      <c r="GX197" s="136"/>
      <c r="GY197" s="136"/>
      <c r="GZ197" s="136"/>
      <c r="HA197" s="136"/>
      <c r="HB197" s="136"/>
      <c r="HC197" s="136"/>
      <c r="HD197" s="136"/>
      <c r="HE197" s="136"/>
      <c r="HF197" s="136"/>
      <c r="HG197" s="136"/>
      <c r="HH197" s="136"/>
      <c r="HI197" s="136"/>
      <c r="HJ197" s="136"/>
      <c r="HK197" s="136"/>
      <c r="HL197" s="136"/>
      <c r="HM197" s="136"/>
      <c r="HN197" s="136"/>
      <c r="HO197" s="136"/>
      <c r="HP197" s="136"/>
      <c r="HQ197" s="136"/>
      <c r="HR197" s="136"/>
      <c r="HS197" s="136"/>
      <c r="HT197" s="136"/>
      <c r="HU197" s="136"/>
      <c r="HV197" s="136"/>
      <c r="HW197" s="136"/>
      <c r="HX197" s="136"/>
      <c r="HY197" s="136"/>
      <c r="HZ197" s="136"/>
      <c r="IA197" s="136"/>
      <c r="IB197" s="136"/>
      <c r="IC197" s="136"/>
      <c r="ID197" s="136"/>
      <c r="IE197" s="136"/>
      <c r="IF197" s="136"/>
      <c r="IG197" s="136"/>
      <c r="IH197" s="136"/>
      <c r="II197" s="136"/>
      <c r="IJ197" s="136"/>
      <c r="IK197" s="136"/>
      <c r="IL197" s="136"/>
      <c r="IM197" s="136"/>
      <c r="IN197" s="136"/>
      <c r="IO197" s="136"/>
      <c r="IP197" s="136"/>
      <c r="IQ197" s="136"/>
      <c r="IR197" s="136"/>
      <c r="IS197" s="136"/>
      <c r="IT197" s="136"/>
      <c r="IU197" s="136"/>
    </row>
    <row r="198" spans="1:255" ht="85.5" x14ac:dyDescent="0.2">
      <c r="A198" s="242" t="str">
        <f>'HECVAT - Full'!A198</f>
        <v>FIDP-06</v>
      </c>
      <c r="B198" s="242" t="str">
        <f>VLOOKUP(A198,'HECVAT - Full'!A$24:B$312,2,FALSE)</f>
        <v>Have you implemented an Intrusion Prevention System (network-based)?</v>
      </c>
      <c r="C198" s="243" t="s">
        <v>2896</v>
      </c>
      <c r="D198" s="253" t="s">
        <v>2897</v>
      </c>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6"/>
      <c r="AN198" s="136"/>
      <c r="AO198" s="136"/>
      <c r="AP198" s="136"/>
      <c r="AQ198" s="136"/>
      <c r="AR198" s="136"/>
      <c r="AS198" s="136"/>
      <c r="AT198" s="136"/>
      <c r="AU198" s="136"/>
      <c r="AV198" s="136"/>
      <c r="AW198" s="136"/>
      <c r="AX198" s="136"/>
      <c r="AY198" s="136"/>
      <c r="AZ198" s="136"/>
      <c r="BA198" s="136"/>
      <c r="BB198" s="136"/>
      <c r="BC198" s="136"/>
      <c r="BD198" s="136"/>
      <c r="BE198" s="136"/>
      <c r="BF198" s="136"/>
      <c r="BG198" s="136"/>
      <c r="BH198" s="136"/>
      <c r="BI198" s="136"/>
      <c r="BJ198" s="136"/>
      <c r="BK198" s="136"/>
      <c r="BL198" s="136"/>
      <c r="BM198" s="136"/>
      <c r="BN198" s="136"/>
      <c r="BO198" s="136"/>
      <c r="BP198" s="136"/>
      <c r="BQ198" s="136"/>
      <c r="BR198" s="136"/>
      <c r="BS198" s="136"/>
      <c r="BT198" s="136"/>
      <c r="BU198" s="136"/>
      <c r="BV198" s="136"/>
      <c r="BW198" s="136"/>
      <c r="BX198" s="136"/>
      <c r="BY198" s="136"/>
      <c r="BZ198" s="136"/>
      <c r="CA198" s="136"/>
      <c r="CB198" s="136"/>
      <c r="CC198" s="136"/>
      <c r="CD198" s="136"/>
      <c r="CE198" s="136"/>
      <c r="CF198" s="136"/>
      <c r="CG198" s="136"/>
      <c r="CH198" s="136"/>
      <c r="CI198" s="136"/>
      <c r="CJ198" s="136"/>
      <c r="CK198" s="136"/>
      <c r="CL198" s="136"/>
      <c r="CM198" s="136"/>
      <c r="CN198" s="136"/>
      <c r="CO198" s="136"/>
      <c r="CP198" s="136"/>
      <c r="CQ198" s="136"/>
      <c r="CR198" s="136"/>
      <c r="CS198" s="136"/>
      <c r="CT198" s="136"/>
      <c r="CU198" s="136"/>
      <c r="CV198" s="136"/>
      <c r="CW198" s="136"/>
      <c r="CX198" s="136"/>
      <c r="CY198" s="136"/>
      <c r="CZ198" s="136"/>
      <c r="DA198" s="136"/>
      <c r="DB198" s="136"/>
      <c r="DC198" s="136"/>
      <c r="DD198" s="136"/>
      <c r="DE198" s="136"/>
      <c r="DF198" s="136"/>
      <c r="DG198" s="136"/>
      <c r="DH198" s="136"/>
      <c r="DI198" s="136"/>
      <c r="DJ198" s="136"/>
      <c r="DK198" s="136"/>
      <c r="DL198" s="136"/>
      <c r="DM198" s="136"/>
      <c r="DN198" s="136"/>
      <c r="DO198" s="136"/>
      <c r="DP198" s="136"/>
      <c r="DQ198" s="136"/>
      <c r="DR198" s="136"/>
      <c r="DS198" s="136"/>
      <c r="DT198" s="136"/>
      <c r="DU198" s="136"/>
      <c r="DV198" s="136"/>
      <c r="DW198" s="136"/>
      <c r="DX198" s="136"/>
      <c r="DY198" s="136"/>
      <c r="DZ198" s="136"/>
      <c r="EA198" s="136"/>
      <c r="EB198" s="136"/>
      <c r="EC198" s="136"/>
      <c r="ED198" s="136"/>
      <c r="EE198" s="136"/>
      <c r="EF198" s="136"/>
      <c r="EG198" s="136"/>
      <c r="EH198" s="136"/>
      <c r="EI198" s="136"/>
      <c r="EJ198" s="136"/>
      <c r="EK198" s="136"/>
      <c r="EL198" s="136"/>
      <c r="EM198" s="136"/>
      <c r="EN198" s="136"/>
      <c r="EO198" s="136"/>
      <c r="EP198" s="136"/>
      <c r="EQ198" s="136"/>
      <c r="ER198" s="136"/>
      <c r="ES198" s="136"/>
      <c r="ET198" s="136"/>
      <c r="EU198" s="136"/>
      <c r="EV198" s="136"/>
      <c r="EW198" s="136"/>
      <c r="EX198" s="136"/>
      <c r="EY198" s="136"/>
      <c r="EZ198" s="136"/>
      <c r="FA198" s="136"/>
      <c r="FB198" s="136"/>
      <c r="FC198" s="136"/>
      <c r="FD198" s="136"/>
      <c r="FE198" s="136"/>
      <c r="FF198" s="136"/>
      <c r="FG198" s="136"/>
      <c r="FH198" s="136"/>
      <c r="FI198" s="136"/>
      <c r="FJ198" s="136"/>
      <c r="FK198" s="136"/>
      <c r="FL198" s="136"/>
      <c r="FM198" s="136"/>
      <c r="FN198" s="136"/>
      <c r="FO198" s="136"/>
      <c r="FP198" s="136"/>
      <c r="FQ198" s="136"/>
      <c r="FR198" s="136"/>
      <c r="FS198" s="136"/>
      <c r="FT198" s="136"/>
      <c r="FU198" s="136"/>
      <c r="FV198" s="136"/>
      <c r="FW198" s="136"/>
      <c r="FX198" s="136"/>
      <c r="FY198" s="136"/>
      <c r="FZ198" s="136"/>
      <c r="GA198" s="136"/>
      <c r="GB198" s="136"/>
      <c r="GC198" s="136"/>
      <c r="GD198" s="136"/>
      <c r="GE198" s="136"/>
      <c r="GF198" s="136"/>
      <c r="GG198" s="136"/>
      <c r="GH198" s="136"/>
      <c r="GI198" s="136"/>
      <c r="GJ198" s="136"/>
      <c r="GK198" s="136"/>
      <c r="GL198" s="136"/>
      <c r="GM198" s="136"/>
      <c r="GN198" s="136"/>
      <c r="GO198" s="136"/>
      <c r="GP198" s="136"/>
      <c r="GQ198" s="136"/>
      <c r="GR198" s="136"/>
      <c r="GS198" s="136"/>
      <c r="GT198" s="136"/>
      <c r="GU198" s="136"/>
      <c r="GV198" s="136"/>
      <c r="GW198" s="136"/>
      <c r="GX198" s="136"/>
      <c r="GY198" s="136"/>
      <c r="GZ198" s="136"/>
      <c r="HA198" s="136"/>
      <c r="HB198" s="136"/>
      <c r="HC198" s="136"/>
      <c r="HD198" s="136"/>
      <c r="HE198" s="136"/>
      <c r="HF198" s="136"/>
      <c r="HG198" s="136"/>
      <c r="HH198" s="136"/>
      <c r="HI198" s="136"/>
      <c r="HJ198" s="136"/>
      <c r="HK198" s="136"/>
      <c r="HL198" s="136"/>
      <c r="HM198" s="136"/>
      <c r="HN198" s="136"/>
      <c r="HO198" s="136"/>
      <c r="HP198" s="136"/>
      <c r="HQ198" s="136"/>
      <c r="HR198" s="136"/>
      <c r="HS198" s="136"/>
      <c r="HT198" s="136"/>
      <c r="HU198" s="136"/>
      <c r="HV198" s="136"/>
      <c r="HW198" s="136"/>
      <c r="HX198" s="136"/>
      <c r="HY198" s="136"/>
      <c r="HZ198" s="136"/>
      <c r="IA198" s="136"/>
      <c r="IB198" s="136"/>
      <c r="IC198" s="136"/>
      <c r="ID198" s="136"/>
      <c r="IE198" s="136"/>
      <c r="IF198" s="136"/>
      <c r="IG198" s="136"/>
      <c r="IH198" s="136"/>
      <c r="II198" s="136"/>
      <c r="IJ198" s="136"/>
      <c r="IK198" s="136"/>
      <c r="IL198" s="136"/>
      <c r="IM198" s="136"/>
      <c r="IN198" s="136"/>
      <c r="IO198" s="136"/>
      <c r="IP198" s="136"/>
      <c r="IQ198" s="136"/>
      <c r="IR198" s="136"/>
      <c r="IS198" s="136"/>
      <c r="IT198" s="136"/>
      <c r="IU198" s="136"/>
    </row>
    <row r="199" spans="1:255" ht="84.75" customHeight="1" x14ac:dyDescent="0.2">
      <c r="A199" s="242" t="str">
        <f>'HECVAT - Full'!A199</f>
        <v>FIDP-07</v>
      </c>
      <c r="B199" s="242" t="str">
        <f>VLOOKUP(A199,'HECVAT - Full'!A$24:B$312,2,FALSE)</f>
        <v>Do you employ host-based intrusion detection?</v>
      </c>
      <c r="C199" s="243" t="s">
        <v>2894</v>
      </c>
      <c r="D199" s="253" t="s">
        <v>2898</v>
      </c>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6"/>
      <c r="AN199" s="136"/>
      <c r="AO199" s="136"/>
      <c r="AP199" s="136"/>
      <c r="AQ199" s="136"/>
      <c r="AR199" s="136"/>
      <c r="AS199" s="136"/>
      <c r="AT199" s="136"/>
      <c r="AU199" s="136"/>
      <c r="AV199" s="136"/>
      <c r="AW199" s="136"/>
      <c r="AX199" s="136"/>
      <c r="AY199" s="136"/>
      <c r="AZ199" s="136"/>
      <c r="BA199" s="136"/>
      <c r="BB199" s="136"/>
      <c r="BC199" s="136"/>
      <c r="BD199" s="136"/>
      <c r="BE199" s="136"/>
      <c r="BF199" s="136"/>
      <c r="BG199" s="136"/>
      <c r="BH199" s="136"/>
      <c r="BI199" s="136"/>
      <c r="BJ199" s="136"/>
      <c r="BK199" s="136"/>
      <c r="BL199" s="136"/>
      <c r="BM199" s="136"/>
      <c r="BN199" s="136"/>
      <c r="BO199" s="136"/>
      <c r="BP199" s="136"/>
      <c r="BQ199" s="136"/>
      <c r="BR199" s="136"/>
      <c r="BS199" s="136"/>
      <c r="BT199" s="136"/>
      <c r="BU199" s="136"/>
      <c r="BV199" s="136"/>
      <c r="BW199" s="136"/>
      <c r="BX199" s="136"/>
      <c r="BY199" s="136"/>
      <c r="BZ199" s="136"/>
      <c r="CA199" s="136"/>
      <c r="CB199" s="136"/>
      <c r="CC199" s="136"/>
      <c r="CD199" s="136"/>
      <c r="CE199" s="136"/>
      <c r="CF199" s="136"/>
      <c r="CG199" s="136"/>
      <c r="CH199" s="136"/>
      <c r="CI199" s="136"/>
      <c r="CJ199" s="136"/>
      <c r="CK199" s="136"/>
      <c r="CL199" s="136"/>
      <c r="CM199" s="136"/>
      <c r="CN199" s="136"/>
      <c r="CO199" s="136"/>
      <c r="CP199" s="136"/>
      <c r="CQ199" s="136"/>
      <c r="CR199" s="136"/>
      <c r="CS199" s="136"/>
      <c r="CT199" s="136"/>
      <c r="CU199" s="136"/>
      <c r="CV199" s="136"/>
      <c r="CW199" s="136"/>
      <c r="CX199" s="136"/>
      <c r="CY199" s="136"/>
      <c r="CZ199" s="136"/>
      <c r="DA199" s="136"/>
      <c r="DB199" s="136"/>
      <c r="DC199" s="136"/>
      <c r="DD199" s="136"/>
      <c r="DE199" s="136"/>
      <c r="DF199" s="136"/>
      <c r="DG199" s="136"/>
      <c r="DH199" s="136"/>
      <c r="DI199" s="136"/>
      <c r="DJ199" s="136"/>
      <c r="DK199" s="136"/>
      <c r="DL199" s="136"/>
      <c r="DM199" s="136"/>
      <c r="DN199" s="136"/>
      <c r="DO199" s="136"/>
      <c r="DP199" s="136"/>
      <c r="DQ199" s="136"/>
      <c r="DR199" s="136"/>
      <c r="DS199" s="136"/>
      <c r="DT199" s="136"/>
      <c r="DU199" s="136"/>
      <c r="DV199" s="136"/>
      <c r="DW199" s="136"/>
      <c r="DX199" s="136"/>
      <c r="DY199" s="136"/>
      <c r="DZ199" s="136"/>
      <c r="EA199" s="136"/>
      <c r="EB199" s="136"/>
      <c r="EC199" s="136"/>
      <c r="ED199" s="136"/>
      <c r="EE199" s="136"/>
      <c r="EF199" s="136"/>
      <c r="EG199" s="136"/>
      <c r="EH199" s="136"/>
      <c r="EI199" s="136"/>
      <c r="EJ199" s="136"/>
      <c r="EK199" s="136"/>
      <c r="EL199" s="136"/>
      <c r="EM199" s="136"/>
      <c r="EN199" s="136"/>
      <c r="EO199" s="136"/>
      <c r="EP199" s="136"/>
      <c r="EQ199" s="136"/>
      <c r="ER199" s="136"/>
      <c r="ES199" s="136"/>
      <c r="ET199" s="136"/>
      <c r="EU199" s="136"/>
      <c r="EV199" s="136"/>
      <c r="EW199" s="136"/>
      <c r="EX199" s="136"/>
      <c r="EY199" s="136"/>
      <c r="EZ199" s="136"/>
      <c r="FA199" s="136"/>
      <c r="FB199" s="136"/>
      <c r="FC199" s="136"/>
      <c r="FD199" s="136"/>
      <c r="FE199" s="136"/>
      <c r="FF199" s="136"/>
      <c r="FG199" s="136"/>
      <c r="FH199" s="136"/>
      <c r="FI199" s="136"/>
      <c r="FJ199" s="136"/>
      <c r="FK199" s="136"/>
      <c r="FL199" s="136"/>
      <c r="FM199" s="136"/>
      <c r="FN199" s="136"/>
      <c r="FO199" s="136"/>
      <c r="FP199" s="136"/>
      <c r="FQ199" s="136"/>
      <c r="FR199" s="136"/>
      <c r="FS199" s="136"/>
      <c r="FT199" s="136"/>
      <c r="FU199" s="136"/>
      <c r="FV199" s="136"/>
      <c r="FW199" s="136"/>
      <c r="FX199" s="136"/>
      <c r="FY199" s="136"/>
      <c r="FZ199" s="136"/>
      <c r="GA199" s="136"/>
      <c r="GB199" s="136"/>
      <c r="GC199" s="136"/>
      <c r="GD199" s="136"/>
      <c r="GE199" s="136"/>
      <c r="GF199" s="136"/>
      <c r="GG199" s="136"/>
      <c r="GH199" s="136"/>
      <c r="GI199" s="136"/>
      <c r="GJ199" s="136"/>
      <c r="GK199" s="136"/>
      <c r="GL199" s="136"/>
      <c r="GM199" s="136"/>
      <c r="GN199" s="136"/>
      <c r="GO199" s="136"/>
      <c r="GP199" s="136"/>
      <c r="GQ199" s="136"/>
      <c r="GR199" s="136"/>
      <c r="GS199" s="136"/>
      <c r="GT199" s="136"/>
      <c r="GU199" s="136"/>
      <c r="GV199" s="136"/>
      <c r="GW199" s="136"/>
      <c r="GX199" s="136"/>
      <c r="GY199" s="136"/>
      <c r="GZ199" s="136"/>
      <c r="HA199" s="136"/>
      <c r="HB199" s="136"/>
      <c r="HC199" s="136"/>
      <c r="HD199" s="136"/>
      <c r="HE199" s="136"/>
      <c r="HF199" s="136"/>
      <c r="HG199" s="136"/>
      <c r="HH199" s="136"/>
      <c r="HI199" s="136"/>
      <c r="HJ199" s="136"/>
      <c r="HK199" s="136"/>
      <c r="HL199" s="136"/>
      <c r="HM199" s="136"/>
      <c r="HN199" s="136"/>
      <c r="HO199" s="136"/>
      <c r="HP199" s="136"/>
      <c r="HQ199" s="136"/>
      <c r="HR199" s="136"/>
      <c r="HS199" s="136"/>
      <c r="HT199" s="136"/>
      <c r="HU199" s="136"/>
      <c r="HV199" s="136"/>
      <c r="HW199" s="136"/>
      <c r="HX199" s="136"/>
      <c r="HY199" s="136"/>
      <c r="HZ199" s="136"/>
      <c r="IA199" s="136"/>
      <c r="IB199" s="136"/>
      <c r="IC199" s="136"/>
      <c r="ID199" s="136"/>
      <c r="IE199" s="136"/>
      <c r="IF199" s="136"/>
      <c r="IG199" s="136"/>
      <c r="IH199" s="136"/>
      <c r="II199" s="136"/>
      <c r="IJ199" s="136"/>
      <c r="IK199" s="136"/>
      <c r="IL199" s="136"/>
      <c r="IM199" s="136"/>
      <c r="IN199" s="136"/>
      <c r="IO199" s="136"/>
      <c r="IP199" s="136"/>
      <c r="IQ199" s="136"/>
      <c r="IR199" s="136"/>
      <c r="IS199" s="136"/>
      <c r="IT199" s="136"/>
      <c r="IU199" s="136"/>
    </row>
    <row r="200" spans="1:255" ht="84.75" customHeight="1" x14ac:dyDescent="0.2">
      <c r="A200" s="242" t="str">
        <f>'HECVAT - Full'!A200</f>
        <v>FIDP-08</v>
      </c>
      <c r="B200" s="242" t="str">
        <f>VLOOKUP(A200,'HECVAT - Full'!A$24:B$312,2,FALSE)</f>
        <v>Do you employ host-based intrusion prevention?</v>
      </c>
      <c r="C200" s="243" t="s">
        <v>2896</v>
      </c>
      <c r="D200" s="253" t="s">
        <v>2899</v>
      </c>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36"/>
      <c r="AY200" s="136"/>
      <c r="AZ200" s="136"/>
      <c r="BA200" s="136"/>
      <c r="BB200" s="136"/>
      <c r="BC200" s="136"/>
      <c r="BD200" s="136"/>
      <c r="BE200" s="136"/>
      <c r="BF200" s="136"/>
      <c r="BG200" s="136"/>
      <c r="BH200" s="136"/>
      <c r="BI200" s="136"/>
      <c r="BJ200" s="136"/>
      <c r="BK200" s="136"/>
      <c r="BL200" s="136"/>
      <c r="BM200" s="136"/>
      <c r="BN200" s="136"/>
      <c r="BO200" s="136"/>
      <c r="BP200" s="136"/>
      <c r="BQ200" s="136"/>
      <c r="BR200" s="136"/>
      <c r="BS200" s="136"/>
      <c r="BT200" s="136"/>
      <c r="BU200" s="136"/>
      <c r="BV200" s="136"/>
      <c r="BW200" s="136"/>
      <c r="BX200" s="136"/>
      <c r="BY200" s="136"/>
      <c r="BZ200" s="136"/>
      <c r="CA200" s="136"/>
      <c r="CB200" s="136"/>
      <c r="CC200" s="136"/>
      <c r="CD200" s="136"/>
      <c r="CE200" s="136"/>
      <c r="CF200" s="136"/>
      <c r="CG200" s="136"/>
      <c r="CH200" s="136"/>
      <c r="CI200" s="136"/>
      <c r="CJ200" s="136"/>
      <c r="CK200" s="136"/>
      <c r="CL200" s="136"/>
      <c r="CM200" s="136"/>
      <c r="CN200" s="136"/>
      <c r="CO200" s="136"/>
      <c r="CP200" s="136"/>
      <c r="CQ200" s="136"/>
      <c r="CR200" s="136"/>
      <c r="CS200" s="136"/>
      <c r="CT200" s="136"/>
      <c r="CU200" s="136"/>
      <c r="CV200" s="136"/>
      <c r="CW200" s="136"/>
      <c r="CX200" s="136"/>
      <c r="CY200" s="136"/>
      <c r="CZ200" s="136"/>
      <c r="DA200" s="136"/>
      <c r="DB200" s="136"/>
      <c r="DC200" s="136"/>
      <c r="DD200" s="136"/>
      <c r="DE200" s="136"/>
      <c r="DF200" s="136"/>
      <c r="DG200" s="136"/>
      <c r="DH200" s="136"/>
      <c r="DI200" s="136"/>
      <c r="DJ200" s="136"/>
      <c r="DK200" s="136"/>
      <c r="DL200" s="136"/>
      <c r="DM200" s="136"/>
      <c r="DN200" s="136"/>
      <c r="DO200" s="136"/>
      <c r="DP200" s="136"/>
      <c r="DQ200" s="136"/>
      <c r="DR200" s="136"/>
      <c r="DS200" s="136"/>
      <c r="DT200" s="136"/>
      <c r="DU200" s="136"/>
      <c r="DV200" s="136"/>
      <c r="DW200" s="136"/>
      <c r="DX200" s="136"/>
      <c r="DY200" s="136"/>
      <c r="DZ200" s="136"/>
      <c r="EA200" s="136"/>
      <c r="EB200" s="136"/>
      <c r="EC200" s="136"/>
      <c r="ED200" s="136"/>
      <c r="EE200" s="136"/>
      <c r="EF200" s="136"/>
      <c r="EG200" s="136"/>
      <c r="EH200" s="136"/>
      <c r="EI200" s="136"/>
      <c r="EJ200" s="136"/>
      <c r="EK200" s="136"/>
      <c r="EL200" s="136"/>
      <c r="EM200" s="136"/>
      <c r="EN200" s="136"/>
      <c r="EO200" s="136"/>
      <c r="EP200" s="136"/>
      <c r="EQ200" s="136"/>
      <c r="ER200" s="136"/>
      <c r="ES200" s="136"/>
      <c r="ET200" s="136"/>
      <c r="EU200" s="136"/>
      <c r="EV200" s="136"/>
      <c r="EW200" s="136"/>
      <c r="EX200" s="136"/>
      <c r="EY200" s="136"/>
      <c r="EZ200" s="136"/>
      <c r="FA200" s="136"/>
      <c r="FB200" s="136"/>
      <c r="FC200" s="136"/>
      <c r="FD200" s="136"/>
      <c r="FE200" s="136"/>
      <c r="FF200" s="136"/>
      <c r="FG200" s="136"/>
      <c r="FH200" s="136"/>
      <c r="FI200" s="136"/>
      <c r="FJ200" s="136"/>
      <c r="FK200" s="136"/>
      <c r="FL200" s="136"/>
      <c r="FM200" s="136"/>
      <c r="FN200" s="136"/>
      <c r="FO200" s="136"/>
      <c r="FP200" s="136"/>
      <c r="FQ200" s="136"/>
      <c r="FR200" s="136"/>
      <c r="FS200" s="136"/>
      <c r="FT200" s="136"/>
      <c r="FU200" s="136"/>
      <c r="FV200" s="136"/>
      <c r="FW200" s="136"/>
      <c r="FX200" s="136"/>
      <c r="FY200" s="136"/>
      <c r="FZ200" s="136"/>
      <c r="GA200" s="136"/>
      <c r="GB200" s="136"/>
      <c r="GC200" s="136"/>
      <c r="GD200" s="136"/>
      <c r="GE200" s="136"/>
      <c r="GF200" s="136"/>
      <c r="GG200" s="136"/>
      <c r="GH200" s="136"/>
      <c r="GI200" s="136"/>
      <c r="GJ200" s="136"/>
      <c r="GK200" s="136"/>
      <c r="GL200" s="136"/>
      <c r="GM200" s="136"/>
      <c r="GN200" s="136"/>
      <c r="GO200" s="136"/>
      <c r="GP200" s="136"/>
      <c r="GQ200" s="136"/>
      <c r="GR200" s="136"/>
      <c r="GS200" s="136"/>
      <c r="GT200" s="136"/>
      <c r="GU200" s="136"/>
      <c r="GV200" s="136"/>
      <c r="GW200" s="136"/>
      <c r="GX200" s="136"/>
      <c r="GY200" s="136"/>
      <c r="GZ200" s="136"/>
      <c r="HA200" s="136"/>
      <c r="HB200" s="136"/>
      <c r="HC200" s="136"/>
      <c r="HD200" s="136"/>
      <c r="HE200" s="136"/>
      <c r="HF200" s="136"/>
      <c r="HG200" s="136"/>
      <c r="HH200" s="136"/>
      <c r="HI200" s="136"/>
      <c r="HJ200" s="136"/>
      <c r="HK200" s="136"/>
      <c r="HL200" s="136"/>
      <c r="HM200" s="136"/>
      <c r="HN200" s="136"/>
      <c r="HO200" s="136"/>
      <c r="HP200" s="136"/>
      <c r="HQ200" s="136"/>
      <c r="HR200" s="136"/>
      <c r="HS200" s="136"/>
      <c r="HT200" s="136"/>
      <c r="HU200" s="136"/>
      <c r="HV200" s="136"/>
      <c r="HW200" s="136"/>
      <c r="HX200" s="136"/>
      <c r="HY200" s="136"/>
      <c r="HZ200" s="136"/>
      <c r="IA200" s="136"/>
      <c r="IB200" s="136"/>
      <c r="IC200" s="136"/>
      <c r="ID200" s="136"/>
      <c r="IE200" s="136"/>
      <c r="IF200" s="136"/>
      <c r="IG200" s="136"/>
      <c r="IH200" s="136"/>
      <c r="II200" s="136"/>
      <c r="IJ200" s="136"/>
      <c r="IK200" s="136"/>
      <c r="IL200" s="136"/>
      <c r="IM200" s="136"/>
      <c r="IN200" s="136"/>
      <c r="IO200" s="136"/>
      <c r="IP200" s="136"/>
      <c r="IQ200" s="136"/>
      <c r="IR200" s="136"/>
      <c r="IS200" s="136"/>
      <c r="IT200" s="136"/>
      <c r="IU200" s="136"/>
    </row>
    <row r="201" spans="1:255" ht="99.75" x14ac:dyDescent="0.2">
      <c r="A201" s="242" t="str">
        <f>'HECVAT - Full'!A201</f>
        <v>FIDP-09</v>
      </c>
      <c r="B201" s="242" t="str">
        <f>VLOOKUP(A201,'HECVAT - Full'!A$24:B$312,2,FALSE)</f>
        <v>Are you employing any next-generation persistent threat (NGPT) monitoring?</v>
      </c>
      <c r="C201" s="245" t="s">
        <v>2900</v>
      </c>
      <c r="D201" s="250" t="s">
        <v>2901</v>
      </c>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6"/>
      <c r="AN201" s="136"/>
      <c r="AO201" s="136"/>
      <c r="AP201" s="136"/>
      <c r="AQ201" s="136"/>
      <c r="AR201" s="136"/>
      <c r="AS201" s="136"/>
      <c r="AT201" s="136"/>
      <c r="AU201" s="136"/>
      <c r="AV201" s="136"/>
      <c r="AW201" s="136"/>
      <c r="AX201" s="136"/>
      <c r="AY201" s="136"/>
      <c r="AZ201" s="136"/>
      <c r="BA201" s="136"/>
      <c r="BB201" s="136"/>
      <c r="BC201" s="136"/>
      <c r="BD201" s="136"/>
      <c r="BE201" s="136"/>
      <c r="BF201" s="136"/>
      <c r="BG201" s="136"/>
      <c r="BH201" s="136"/>
      <c r="BI201" s="136"/>
      <c r="BJ201" s="136"/>
      <c r="BK201" s="136"/>
      <c r="BL201" s="136"/>
      <c r="BM201" s="136"/>
      <c r="BN201" s="136"/>
      <c r="BO201" s="136"/>
      <c r="BP201" s="136"/>
      <c r="BQ201" s="136"/>
      <c r="BR201" s="136"/>
      <c r="BS201" s="136"/>
      <c r="BT201" s="136"/>
      <c r="BU201" s="136"/>
      <c r="BV201" s="136"/>
      <c r="BW201" s="136"/>
      <c r="BX201" s="136"/>
      <c r="BY201" s="136"/>
      <c r="BZ201" s="136"/>
      <c r="CA201" s="136"/>
      <c r="CB201" s="136"/>
      <c r="CC201" s="136"/>
      <c r="CD201" s="136"/>
      <c r="CE201" s="136"/>
      <c r="CF201" s="136"/>
      <c r="CG201" s="136"/>
      <c r="CH201" s="136"/>
      <c r="CI201" s="136"/>
      <c r="CJ201" s="136"/>
      <c r="CK201" s="136"/>
      <c r="CL201" s="136"/>
      <c r="CM201" s="136"/>
      <c r="CN201" s="136"/>
      <c r="CO201" s="136"/>
      <c r="CP201" s="136"/>
      <c r="CQ201" s="136"/>
      <c r="CR201" s="136"/>
      <c r="CS201" s="136"/>
      <c r="CT201" s="136"/>
      <c r="CU201" s="136"/>
      <c r="CV201" s="136"/>
      <c r="CW201" s="136"/>
      <c r="CX201" s="136"/>
      <c r="CY201" s="136"/>
      <c r="CZ201" s="136"/>
      <c r="DA201" s="136"/>
      <c r="DB201" s="136"/>
      <c r="DC201" s="136"/>
      <c r="DD201" s="136"/>
      <c r="DE201" s="136"/>
      <c r="DF201" s="136"/>
      <c r="DG201" s="136"/>
      <c r="DH201" s="136"/>
      <c r="DI201" s="136"/>
      <c r="DJ201" s="136"/>
      <c r="DK201" s="136"/>
      <c r="DL201" s="136"/>
      <c r="DM201" s="136"/>
      <c r="DN201" s="136"/>
      <c r="DO201" s="136"/>
      <c r="DP201" s="136"/>
      <c r="DQ201" s="136"/>
      <c r="DR201" s="136"/>
      <c r="DS201" s="136"/>
      <c r="DT201" s="136"/>
      <c r="DU201" s="136"/>
      <c r="DV201" s="136"/>
      <c r="DW201" s="136"/>
      <c r="DX201" s="136"/>
      <c r="DY201" s="136"/>
      <c r="DZ201" s="136"/>
      <c r="EA201" s="136"/>
      <c r="EB201" s="136"/>
      <c r="EC201" s="136"/>
      <c r="ED201" s="136"/>
      <c r="EE201" s="136"/>
      <c r="EF201" s="136"/>
      <c r="EG201" s="136"/>
      <c r="EH201" s="136"/>
      <c r="EI201" s="136"/>
      <c r="EJ201" s="136"/>
      <c r="EK201" s="136"/>
      <c r="EL201" s="136"/>
      <c r="EM201" s="136"/>
      <c r="EN201" s="136"/>
      <c r="EO201" s="136"/>
      <c r="EP201" s="136"/>
      <c r="EQ201" s="136"/>
      <c r="ER201" s="136"/>
      <c r="ES201" s="136"/>
      <c r="ET201" s="136"/>
      <c r="EU201" s="136"/>
      <c r="EV201" s="136"/>
      <c r="EW201" s="136"/>
      <c r="EX201" s="136"/>
      <c r="EY201" s="136"/>
      <c r="EZ201" s="136"/>
      <c r="FA201" s="136"/>
      <c r="FB201" s="136"/>
      <c r="FC201" s="136"/>
      <c r="FD201" s="136"/>
      <c r="FE201" s="136"/>
      <c r="FF201" s="136"/>
      <c r="FG201" s="136"/>
      <c r="FH201" s="136"/>
      <c r="FI201" s="136"/>
      <c r="FJ201" s="136"/>
      <c r="FK201" s="136"/>
      <c r="FL201" s="136"/>
      <c r="FM201" s="136"/>
      <c r="FN201" s="136"/>
      <c r="FO201" s="136"/>
      <c r="FP201" s="136"/>
      <c r="FQ201" s="136"/>
      <c r="FR201" s="136"/>
      <c r="FS201" s="136"/>
      <c r="FT201" s="136"/>
      <c r="FU201" s="136"/>
      <c r="FV201" s="136"/>
      <c r="FW201" s="136"/>
      <c r="FX201" s="136"/>
      <c r="FY201" s="136"/>
      <c r="FZ201" s="136"/>
      <c r="GA201" s="136"/>
      <c r="GB201" s="136"/>
      <c r="GC201" s="136"/>
      <c r="GD201" s="136"/>
      <c r="GE201" s="136"/>
      <c r="GF201" s="136"/>
      <c r="GG201" s="136"/>
      <c r="GH201" s="136"/>
      <c r="GI201" s="136"/>
      <c r="GJ201" s="136"/>
      <c r="GK201" s="136"/>
      <c r="GL201" s="136"/>
      <c r="GM201" s="136"/>
      <c r="GN201" s="136"/>
      <c r="GO201" s="136"/>
      <c r="GP201" s="136"/>
      <c r="GQ201" s="136"/>
      <c r="GR201" s="136"/>
      <c r="GS201" s="136"/>
      <c r="GT201" s="136"/>
      <c r="GU201" s="136"/>
      <c r="GV201" s="136"/>
      <c r="GW201" s="136"/>
      <c r="GX201" s="136"/>
      <c r="GY201" s="136"/>
      <c r="GZ201" s="136"/>
      <c r="HA201" s="136"/>
      <c r="HB201" s="136"/>
      <c r="HC201" s="136"/>
      <c r="HD201" s="136"/>
      <c r="HE201" s="136"/>
      <c r="HF201" s="136"/>
      <c r="HG201" s="136"/>
      <c r="HH201" s="136"/>
      <c r="HI201" s="136"/>
      <c r="HJ201" s="136"/>
      <c r="HK201" s="136"/>
      <c r="HL201" s="136"/>
      <c r="HM201" s="136"/>
      <c r="HN201" s="136"/>
      <c r="HO201" s="136"/>
      <c r="HP201" s="136"/>
      <c r="HQ201" s="136"/>
      <c r="HR201" s="136"/>
      <c r="HS201" s="136"/>
      <c r="HT201" s="136"/>
      <c r="HU201" s="136"/>
      <c r="HV201" s="136"/>
      <c r="HW201" s="136"/>
      <c r="HX201" s="136"/>
      <c r="HY201" s="136"/>
      <c r="HZ201" s="136"/>
      <c r="IA201" s="136"/>
      <c r="IB201" s="136"/>
      <c r="IC201" s="136"/>
      <c r="ID201" s="136"/>
      <c r="IE201" s="136"/>
      <c r="IF201" s="136"/>
      <c r="IG201" s="136"/>
      <c r="IH201" s="136"/>
      <c r="II201" s="136"/>
      <c r="IJ201" s="136"/>
      <c r="IK201" s="136"/>
      <c r="IL201" s="136"/>
      <c r="IM201" s="136"/>
      <c r="IN201" s="136"/>
      <c r="IO201" s="136"/>
      <c r="IP201" s="136"/>
      <c r="IQ201" s="136"/>
      <c r="IR201" s="136"/>
      <c r="IS201" s="136"/>
      <c r="IT201" s="136"/>
      <c r="IU201" s="136"/>
    </row>
    <row r="202" spans="1:255" ht="96" customHeight="1" x14ac:dyDescent="0.2">
      <c r="A202" s="242" t="str">
        <f>'HECVAT - Full'!A202</f>
        <v>FIDP-10</v>
      </c>
      <c r="B202" s="242" t="str">
        <f>VLOOKUP(A202,'HECVAT - Full'!A$24:B$312,2,FALSE)</f>
        <v>Do you monitor for intrusions on a 24x7x365 basis?</v>
      </c>
      <c r="C202" s="245" t="s">
        <v>2902</v>
      </c>
      <c r="D202" s="250" t="s">
        <v>2903</v>
      </c>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6"/>
      <c r="AN202" s="136"/>
      <c r="AO202" s="136"/>
      <c r="AP202" s="136"/>
      <c r="AQ202" s="136"/>
      <c r="AR202" s="136"/>
      <c r="AS202" s="136"/>
      <c r="AT202" s="136"/>
      <c r="AU202" s="136"/>
      <c r="AV202" s="136"/>
      <c r="AW202" s="136"/>
      <c r="AX202" s="136"/>
      <c r="AY202" s="136"/>
      <c r="AZ202" s="136"/>
      <c r="BA202" s="136"/>
      <c r="BB202" s="136"/>
      <c r="BC202" s="136"/>
      <c r="BD202" s="136"/>
      <c r="BE202" s="136"/>
      <c r="BF202" s="136"/>
      <c r="BG202" s="136"/>
      <c r="BH202" s="136"/>
      <c r="BI202" s="136"/>
      <c r="BJ202" s="136"/>
      <c r="BK202" s="136"/>
      <c r="BL202" s="136"/>
      <c r="BM202" s="136"/>
      <c r="BN202" s="136"/>
      <c r="BO202" s="136"/>
      <c r="BP202" s="136"/>
      <c r="BQ202" s="136"/>
      <c r="BR202" s="136"/>
      <c r="BS202" s="136"/>
      <c r="BT202" s="136"/>
      <c r="BU202" s="136"/>
      <c r="BV202" s="136"/>
      <c r="BW202" s="136"/>
      <c r="BX202" s="136"/>
      <c r="BY202" s="136"/>
      <c r="BZ202" s="136"/>
      <c r="CA202" s="136"/>
      <c r="CB202" s="136"/>
      <c r="CC202" s="136"/>
      <c r="CD202" s="136"/>
      <c r="CE202" s="136"/>
      <c r="CF202" s="136"/>
      <c r="CG202" s="136"/>
      <c r="CH202" s="136"/>
      <c r="CI202" s="136"/>
      <c r="CJ202" s="136"/>
      <c r="CK202" s="136"/>
      <c r="CL202" s="136"/>
      <c r="CM202" s="136"/>
      <c r="CN202" s="136"/>
      <c r="CO202" s="136"/>
      <c r="CP202" s="136"/>
      <c r="CQ202" s="136"/>
      <c r="CR202" s="136"/>
      <c r="CS202" s="136"/>
      <c r="CT202" s="136"/>
      <c r="CU202" s="136"/>
      <c r="CV202" s="136"/>
      <c r="CW202" s="136"/>
      <c r="CX202" s="136"/>
      <c r="CY202" s="136"/>
      <c r="CZ202" s="136"/>
      <c r="DA202" s="136"/>
      <c r="DB202" s="136"/>
      <c r="DC202" s="136"/>
      <c r="DD202" s="136"/>
      <c r="DE202" s="136"/>
      <c r="DF202" s="136"/>
      <c r="DG202" s="136"/>
      <c r="DH202" s="136"/>
      <c r="DI202" s="136"/>
      <c r="DJ202" s="136"/>
      <c r="DK202" s="136"/>
      <c r="DL202" s="136"/>
      <c r="DM202" s="136"/>
      <c r="DN202" s="136"/>
      <c r="DO202" s="136"/>
      <c r="DP202" s="136"/>
      <c r="DQ202" s="136"/>
      <c r="DR202" s="136"/>
      <c r="DS202" s="136"/>
      <c r="DT202" s="136"/>
      <c r="DU202" s="136"/>
      <c r="DV202" s="136"/>
      <c r="DW202" s="136"/>
      <c r="DX202" s="136"/>
      <c r="DY202" s="136"/>
      <c r="DZ202" s="136"/>
      <c r="EA202" s="136"/>
      <c r="EB202" s="136"/>
      <c r="EC202" s="136"/>
      <c r="ED202" s="136"/>
      <c r="EE202" s="136"/>
      <c r="EF202" s="136"/>
      <c r="EG202" s="136"/>
      <c r="EH202" s="136"/>
      <c r="EI202" s="136"/>
      <c r="EJ202" s="136"/>
      <c r="EK202" s="136"/>
      <c r="EL202" s="136"/>
      <c r="EM202" s="136"/>
      <c r="EN202" s="136"/>
      <c r="EO202" s="136"/>
      <c r="EP202" s="136"/>
      <c r="EQ202" s="136"/>
      <c r="ER202" s="136"/>
      <c r="ES202" s="136"/>
      <c r="ET202" s="136"/>
      <c r="EU202" s="136"/>
      <c r="EV202" s="136"/>
      <c r="EW202" s="136"/>
      <c r="EX202" s="136"/>
      <c r="EY202" s="136"/>
      <c r="EZ202" s="136"/>
      <c r="FA202" s="136"/>
      <c r="FB202" s="136"/>
      <c r="FC202" s="136"/>
      <c r="FD202" s="136"/>
      <c r="FE202" s="136"/>
      <c r="FF202" s="136"/>
      <c r="FG202" s="136"/>
      <c r="FH202" s="136"/>
      <c r="FI202" s="136"/>
      <c r="FJ202" s="136"/>
      <c r="FK202" s="136"/>
      <c r="FL202" s="136"/>
      <c r="FM202" s="136"/>
      <c r="FN202" s="136"/>
      <c r="FO202" s="136"/>
      <c r="FP202" s="136"/>
      <c r="FQ202" s="136"/>
      <c r="FR202" s="136"/>
      <c r="FS202" s="136"/>
      <c r="FT202" s="136"/>
      <c r="FU202" s="136"/>
      <c r="FV202" s="136"/>
      <c r="FW202" s="136"/>
      <c r="FX202" s="136"/>
      <c r="FY202" s="136"/>
      <c r="FZ202" s="136"/>
      <c r="GA202" s="136"/>
      <c r="GB202" s="136"/>
      <c r="GC202" s="136"/>
      <c r="GD202" s="136"/>
      <c r="GE202" s="136"/>
      <c r="GF202" s="136"/>
      <c r="GG202" s="136"/>
      <c r="GH202" s="136"/>
      <c r="GI202" s="136"/>
      <c r="GJ202" s="136"/>
      <c r="GK202" s="136"/>
      <c r="GL202" s="136"/>
      <c r="GM202" s="136"/>
      <c r="GN202" s="136"/>
      <c r="GO202" s="136"/>
      <c r="GP202" s="136"/>
      <c r="GQ202" s="136"/>
      <c r="GR202" s="136"/>
      <c r="GS202" s="136"/>
      <c r="GT202" s="136"/>
      <c r="GU202" s="136"/>
      <c r="GV202" s="136"/>
      <c r="GW202" s="136"/>
      <c r="GX202" s="136"/>
      <c r="GY202" s="136"/>
      <c r="GZ202" s="136"/>
      <c r="HA202" s="136"/>
      <c r="HB202" s="136"/>
      <c r="HC202" s="136"/>
      <c r="HD202" s="136"/>
      <c r="HE202" s="136"/>
      <c r="HF202" s="136"/>
      <c r="HG202" s="136"/>
      <c r="HH202" s="136"/>
      <c r="HI202" s="136"/>
      <c r="HJ202" s="136"/>
      <c r="HK202" s="136"/>
      <c r="HL202" s="136"/>
      <c r="HM202" s="136"/>
      <c r="HN202" s="136"/>
      <c r="HO202" s="136"/>
      <c r="HP202" s="136"/>
      <c r="HQ202" s="136"/>
      <c r="HR202" s="136"/>
      <c r="HS202" s="136"/>
      <c r="HT202" s="136"/>
      <c r="HU202" s="136"/>
      <c r="HV202" s="136"/>
      <c r="HW202" s="136"/>
      <c r="HX202" s="136"/>
      <c r="HY202" s="136"/>
      <c r="HZ202" s="136"/>
      <c r="IA202" s="136"/>
      <c r="IB202" s="136"/>
      <c r="IC202" s="136"/>
      <c r="ID202" s="136"/>
      <c r="IE202" s="136"/>
      <c r="IF202" s="136"/>
      <c r="IG202" s="136"/>
      <c r="IH202" s="136"/>
      <c r="II202" s="136"/>
      <c r="IJ202" s="136"/>
      <c r="IK202" s="136"/>
      <c r="IL202" s="136"/>
      <c r="IM202" s="136"/>
      <c r="IN202" s="136"/>
      <c r="IO202" s="136"/>
      <c r="IP202" s="136"/>
      <c r="IQ202" s="136"/>
      <c r="IR202" s="136"/>
      <c r="IS202" s="136"/>
      <c r="IT202" s="136"/>
      <c r="IU202" s="136"/>
    </row>
    <row r="203" spans="1:255" ht="84" customHeight="1" x14ac:dyDescent="0.2">
      <c r="A203" s="242" t="str">
        <f>'HECVAT - Full'!A203</f>
        <v>FIDP-11</v>
      </c>
      <c r="B203" s="242" t="str">
        <f>VLOOKUP(A203,'HECVAT - Full'!A$24:B$312,2,FALSE)</f>
        <v>Is intrusion monitoring performed internally or by a third-party service?</v>
      </c>
      <c r="C203" s="243" t="s">
        <v>2904</v>
      </c>
      <c r="D203" s="243" t="s">
        <v>2905</v>
      </c>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6"/>
      <c r="AN203" s="136"/>
      <c r="AO203" s="136"/>
      <c r="AP203" s="136"/>
      <c r="AQ203" s="136"/>
      <c r="AR203" s="136"/>
      <c r="AS203" s="136"/>
      <c r="AT203" s="136"/>
      <c r="AU203" s="136"/>
      <c r="AV203" s="136"/>
      <c r="AW203" s="136"/>
      <c r="AX203" s="136"/>
      <c r="AY203" s="136"/>
      <c r="AZ203" s="136"/>
      <c r="BA203" s="136"/>
      <c r="BB203" s="136"/>
      <c r="BC203" s="136"/>
      <c r="BD203" s="136"/>
      <c r="BE203" s="136"/>
      <c r="BF203" s="136"/>
      <c r="BG203" s="136"/>
      <c r="BH203" s="136"/>
      <c r="BI203" s="136"/>
      <c r="BJ203" s="136"/>
      <c r="BK203" s="136"/>
      <c r="BL203" s="136"/>
      <c r="BM203" s="136"/>
      <c r="BN203" s="136"/>
      <c r="BO203" s="136"/>
      <c r="BP203" s="136"/>
      <c r="BQ203" s="136"/>
      <c r="BR203" s="136"/>
      <c r="BS203" s="136"/>
      <c r="BT203" s="136"/>
      <c r="BU203" s="136"/>
      <c r="BV203" s="136"/>
      <c r="BW203" s="136"/>
      <c r="BX203" s="136"/>
      <c r="BY203" s="136"/>
      <c r="BZ203" s="136"/>
      <c r="CA203" s="136"/>
      <c r="CB203" s="136"/>
      <c r="CC203" s="136"/>
      <c r="CD203" s="136"/>
      <c r="CE203" s="136"/>
      <c r="CF203" s="136"/>
      <c r="CG203" s="136"/>
      <c r="CH203" s="136"/>
      <c r="CI203" s="136"/>
      <c r="CJ203" s="136"/>
      <c r="CK203" s="136"/>
      <c r="CL203" s="136"/>
      <c r="CM203" s="136"/>
      <c r="CN203" s="136"/>
      <c r="CO203" s="136"/>
      <c r="CP203" s="136"/>
      <c r="CQ203" s="136"/>
      <c r="CR203" s="136"/>
      <c r="CS203" s="136"/>
      <c r="CT203" s="136"/>
      <c r="CU203" s="136"/>
      <c r="CV203" s="136"/>
      <c r="CW203" s="136"/>
      <c r="CX203" s="136"/>
      <c r="CY203" s="136"/>
      <c r="CZ203" s="136"/>
      <c r="DA203" s="136"/>
      <c r="DB203" s="136"/>
      <c r="DC203" s="136"/>
      <c r="DD203" s="136"/>
      <c r="DE203" s="136"/>
      <c r="DF203" s="136"/>
      <c r="DG203" s="136"/>
      <c r="DH203" s="136"/>
      <c r="DI203" s="136"/>
      <c r="DJ203" s="136"/>
      <c r="DK203" s="136"/>
      <c r="DL203" s="136"/>
      <c r="DM203" s="136"/>
      <c r="DN203" s="136"/>
      <c r="DO203" s="136"/>
      <c r="DP203" s="136"/>
      <c r="DQ203" s="136"/>
      <c r="DR203" s="136"/>
      <c r="DS203" s="136"/>
      <c r="DT203" s="136"/>
      <c r="DU203" s="136"/>
      <c r="DV203" s="136"/>
      <c r="DW203" s="136"/>
      <c r="DX203" s="136"/>
      <c r="DY203" s="136"/>
      <c r="DZ203" s="136"/>
      <c r="EA203" s="136"/>
      <c r="EB203" s="136"/>
      <c r="EC203" s="136"/>
      <c r="ED203" s="136"/>
      <c r="EE203" s="136"/>
      <c r="EF203" s="136"/>
      <c r="EG203" s="136"/>
      <c r="EH203" s="136"/>
      <c r="EI203" s="136"/>
      <c r="EJ203" s="136"/>
      <c r="EK203" s="136"/>
      <c r="EL203" s="136"/>
      <c r="EM203" s="136"/>
      <c r="EN203" s="136"/>
      <c r="EO203" s="136"/>
      <c r="EP203" s="136"/>
      <c r="EQ203" s="136"/>
      <c r="ER203" s="136"/>
      <c r="ES203" s="136"/>
      <c r="ET203" s="136"/>
      <c r="EU203" s="136"/>
      <c r="EV203" s="136"/>
      <c r="EW203" s="136"/>
      <c r="EX203" s="136"/>
      <c r="EY203" s="136"/>
      <c r="EZ203" s="136"/>
      <c r="FA203" s="136"/>
      <c r="FB203" s="136"/>
      <c r="FC203" s="136"/>
      <c r="FD203" s="136"/>
      <c r="FE203" s="136"/>
      <c r="FF203" s="136"/>
      <c r="FG203" s="136"/>
      <c r="FH203" s="136"/>
      <c r="FI203" s="136"/>
      <c r="FJ203" s="136"/>
      <c r="FK203" s="136"/>
      <c r="FL203" s="136"/>
      <c r="FM203" s="136"/>
      <c r="FN203" s="136"/>
      <c r="FO203" s="136"/>
      <c r="FP203" s="136"/>
      <c r="FQ203" s="136"/>
      <c r="FR203" s="136"/>
      <c r="FS203" s="136"/>
      <c r="FT203" s="136"/>
      <c r="FU203" s="136"/>
      <c r="FV203" s="136"/>
      <c r="FW203" s="136"/>
      <c r="FX203" s="136"/>
      <c r="FY203" s="136"/>
      <c r="FZ203" s="136"/>
      <c r="GA203" s="136"/>
      <c r="GB203" s="136"/>
      <c r="GC203" s="136"/>
      <c r="GD203" s="136"/>
      <c r="GE203" s="136"/>
      <c r="GF203" s="136"/>
      <c r="GG203" s="136"/>
      <c r="GH203" s="136"/>
      <c r="GI203" s="136"/>
      <c r="GJ203" s="136"/>
      <c r="GK203" s="136"/>
      <c r="GL203" s="136"/>
      <c r="GM203" s="136"/>
      <c r="GN203" s="136"/>
      <c r="GO203" s="136"/>
      <c r="GP203" s="136"/>
      <c r="GQ203" s="136"/>
      <c r="GR203" s="136"/>
      <c r="GS203" s="136"/>
      <c r="GT203" s="136"/>
      <c r="GU203" s="136"/>
      <c r="GV203" s="136"/>
      <c r="GW203" s="136"/>
      <c r="GX203" s="136"/>
      <c r="GY203" s="136"/>
      <c r="GZ203" s="136"/>
      <c r="HA203" s="136"/>
      <c r="HB203" s="136"/>
      <c r="HC203" s="136"/>
      <c r="HD203" s="136"/>
      <c r="HE203" s="136"/>
      <c r="HF203" s="136"/>
      <c r="HG203" s="136"/>
      <c r="HH203" s="136"/>
      <c r="HI203" s="136"/>
      <c r="HJ203" s="136"/>
      <c r="HK203" s="136"/>
      <c r="HL203" s="136"/>
      <c r="HM203" s="136"/>
      <c r="HN203" s="136"/>
      <c r="HO203" s="136"/>
      <c r="HP203" s="136"/>
      <c r="HQ203" s="136"/>
      <c r="HR203" s="136"/>
      <c r="HS203" s="136"/>
      <c r="HT203" s="136"/>
      <c r="HU203" s="136"/>
      <c r="HV203" s="136"/>
      <c r="HW203" s="136"/>
      <c r="HX203" s="136"/>
      <c r="HY203" s="136"/>
      <c r="HZ203" s="136"/>
      <c r="IA203" s="136"/>
      <c r="IB203" s="136"/>
      <c r="IC203" s="136"/>
      <c r="ID203" s="136"/>
      <c r="IE203" s="136"/>
      <c r="IF203" s="136"/>
      <c r="IG203" s="136"/>
      <c r="IH203" s="136"/>
      <c r="II203" s="136"/>
      <c r="IJ203" s="136"/>
      <c r="IK203" s="136"/>
      <c r="IL203" s="136"/>
      <c r="IM203" s="136"/>
      <c r="IN203" s="136"/>
      <c r="IO203" s="136"/>
      <c r="IP203" s="136"/>
      <c r="IQ203" s="136"/>
      <c r="IR203" s="136"/>
      <c r="IS203" s="136"/>
      <c r="IT203" s="136"/>
      <c r="IU203" s="136"/>
    </row>
    <row r="204" spans="1:255" ht="102.75" customHeight="1" x14ac:dyDescent="0.2">
      <c r="A204" s="242" t="str">
        <f>'HECVAT - Full'!A204</f>
        <v>FIDP-12</v>
      </c>
      <c r="B204" s="242" t="str">
        <f>VLOOKUP(A204,'HECVAT - Full'!A$24:B$312,2,FALSE)</f>
        <v>Are audit logs available for all changes to the network, firewall, IDS, and IPS systems?</v>
      </c>
      <c r="C204" s="245" t="s">
        <v>2906</v>
      </c>
      <c r="D204" s="249" t="s">
        <v>2907</v>
      </c>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6"/>
      <c r="AN204" s="136"/>
      <c r="AO204" s="136"/>
      <c r="AP204" s="136"/>
      <c r="AQ204" s="136"/>
      <c r="AR204" s="136"/>
      <c r="AS204" s="136"/>
      <c r="AT204" s="136"/>
      <c r="AU204" s="136"/>
      <c r="AV204" s="136"/>
      <c r="AW204" s="136"/>
      <c r="AX204" s="136"/>
      <c r="AY204" s="136"/>
      <c r="AZ204" s="136"/>
      <c r="BA204" s="136"/>
      <c r="BB204" s="136"/>
      <c r="BC204" s="136"/>
      <c r="BD204" s="136"/>
      <c r="BE204" s="136"/>
      <c r="BF204" s="136"/>
      <c r="BG204" s="136"/>
      <c r="BH204" s="136"/>
      <c r="BI204" s="136"/>
      <c r="BJ204" s="136"/>
      <c r="BK204" s="136"/>
      <c r="BL204" s="136"/>
      <c r="BM204" s="136"/>
      <c r="BN204" s="136"/>
      <c r="BO204" s="136"/>
      <c r="BP204" s="136"/>
      <c r="BQ204" s="136"/>
      <c r="BR204" s="136"/>
      <c r="BS204" s="136"/>
      <c r="BT204" s="136"/>
      <c r="BU204" s="136"/>
      <c r="BV204" s="136"/>
      <c r="BW204" s="136"/>
      <c r="BX204" s="136"/>
      <c r="BY204" s="136"/>
      <c r="BZ204" s="136"/>
      <c r="CA204" s="136"/>
      <c r="CB204" s="136"/>
      <c r="CC204" s="136"/>
      <c r="CD204" s="136"/>
      <c r="CE204" s="136"/>
      <c r="CF204" s="136"/>
      <c r="CG204" s="136"/>
      <c r="CH204" s="136"/>
      <c r="CI204" s="136"/>
      <c r="CJ204" s="136"/>
      <c r="CK204" s="136"/>
      <c r="CL204" s="136"/>
      <c r="CM204" s="136"/>
      <c r="CN204" s="136"/>
      <c r="CO204" s="136"/>
      <c r="CP204" s="136"/>
      <c r="CQ204" s="136"/>
      <c r="CR204" s="136"/>
      <c r="CS204" s="136"/>
      <c r="CT204" s="136"/>
      <c r="CU204" s="136"/>
      <c r="CV204" s="136"/>
      <c r="CW204" s="136"/>
      <c r="CX204" s="136"/>
      <c r="CY204" s="136"/>
      <c r="CZ204" s="136"/>
      <c r="DA204" s="136"/>
      <c r="DB204" s="136"/>
      <c r="DC204" s="136"/>
      <c r="DD204" s="136"/>
      <c r="DE204" s="136"/>
      <c r="DF204" s="136"/>
      <c r="DG204" s="136"/>
      <c r="DH204" s="136"/>
      <c r="DI204" s="136"/>
      <c r="DJ204" s="136"/>
      <c r="DK204" s="136"/>
      <c r="DL204" s="136"/>
      <c r="DM204" s="136"/>
      <c r="DN204" s="136"/>
      <c r="DO204" s="136"/>
      <c r="DP204" s="136"/>
      <c r="DQ204" s="136"/>
      <c r="DR204" s="136"/>
      <c r="DS204" s="136"/>
      <c r="DT204" s="136"/>
      <c r="DU204" s="136"/>
      <c r="DV204" s="136"/>
      <c r="DW204" s="136"/>
      <c r="DX204" s="136"/>
      <c r="DY204" s="136"/>
      <c r="DZ204" s="136"/>
      <c r="EA204" s="136"/>
      <c r="EB204" s="136"/>
      <c r="EC204" s="136"/>
      <c r="ED204" s="136"/>
      <c r="EE204" s="136"/>
      <c r="EF204" s="136"/>
      <c r="EG204" s="136"/>
      <c r="EH204" s="136"/>
      <c r="EI204" s="136"/>
      <c r="EJ204" s="136"/>
      <c r="EK204" s="136"/>
      <c r="EL204" s="136"/>
      <c r="EM204" s="136"/>
      <c r="EN204" s="136"/>
      <c r="EO204" s="136"/>
      <c r="EP204" s="136"/>
      <c r="EQ204" s="136"/>
      <c r="ER204" s="136"/>
      <c r="ES204" s="136"/>
      <c r="ET204" s="136"/>
      <c r="EU204" s="136"/>
      <c r="EV204" s="136"/>
      <c r="EW204" s="136"/>
      <c r="EX204" s="136"/>
      <c r="EY204" s="136"/>
      <c r="EZ204" s="136"/>
      <c r="FA204" s="136"/>
      <c r="FB204" s="136"/>
      <c r="FC204" s="136"/>
      <c r="FD204" s="136"/>
      <c r="FE204" s="136"/>
      <c r="FF204" s="136"/>
      <c r="FG204" s="136"/>
      <c r="FH204" s="136"/>
      <c r="FI204" s="136"/>
      <c r="FJ204" s="136"/>
      <c r="FK204" s="136"/>
      <c r="FL204" s="136"/>
      <c r="FM204" s="136"/>
      <c r="FN204" s="136"/>
      <c r="FO204" s="136"/>
      <c r="FP204" s="136"/>
      <c r="FQ204" s="136"/>
      <c r="FR204" s="136"/>
      <c r="FS204" s="136"/>
      <c r="FT204" s="136"/>
      <c r="FU204" s="136"/>
      <c r="FV204" s="136"/>
      <c r="FW204" s="136"/>
      <c r="FX204" s="136"/>
      <c r="FY204" s="136"/>
      <c r="FZ204" s="136"/>
      <c r="GA204" s="136"/>
      <c r="GB204" s="136"/>
      <c r="GC204" s="136"/>
      <c r="GD204" s="136"/>
      <c r="GE204" s="136"/>
      <c r="GF204" s="136"/>
      <c r="GG204" s="136"/>
      <c r="GH204" s="136"/>
      <c r="GI204" s="136"/>
      <c r="GJ204" s="136"/>
      <c r="GK204" s="136"/>
      <c r="GL204" s="136"/>
      <c r="GM204" s="136"/>
      <c r="GN204" s="136"/>
      <c r="GO204" s="136"/>
      <c r="GP204" s="136"/>
      <c r="GQ204" s="136"/>
      <c r="GR204" s="136"/>
      <c r="GS204" s="136"/>
      <c r="GT204" s="136"/>
      <c r="GU204" s="136"/>
      <c r="GV204" s="136"/>
      <c r="GW204" s="136"/>
      <c r="GX204" s="136"/>
      <c r="GY204" s="136"/>
      <c r="GZ204" s="136"/>
      <c r="HA204" s="136"/>
      <c r="HB204" s="136"/>
      <c r="HC204" s="136"/>
      <c r="HD204" s="136"/>
      <c r="HE204" s="136"/>
      <c r="HF204" s="136"/>
      <c r="HG204" s="136"/>
      <c r="HH204" s="136"/>
      <c r="HI204" s="136"/>
      <c r="HJ204" s="136"/>
      <c r="HK204" s="136"/>
      <c r="HL204" s="136"/>
      <c r="HM204" s="136"/>
      <c r="HN204" s="136"/>
      <c r="HO204" s="136"/>
      <c r="HP204" s="136"/>
      <c r="HQ204" s="136"/>
      <c r="HR204" s="136"/>
      <c r="HS204" s="136"/>
      <c r="HT204" s="136"/>
      <c r="HU204" s="136"/>
      <c r="HV204" s="136"/>
      <c r="HW204" s="136"/>
      <c r="HX204" s="136"/>
      <c r="HY204" s="136"/>
      <c r="HZ204" s="136"/>
      <c r="IA204" s="136"/>
      <c r="IB204" s="136"/>
      <c r="IC204" s="136"/>
      <c r="ID204" s="136"/>
      <c r="IE204" s="136"/>
      <c r="IF204" s="136"/>
      <c r="IG204" s="136"/>
      <c r="IH204" s="136"/>
      <c r="II204" s="136"/>
      <c r="IJ204" s="136"/>
      <c r="IK204" s="136"/>
      <c r="IL204" s="136"/>
      <c r="IM204" s="136"/>
      <c r="IN204" s="136"/>
      <c r="IO204" s="136"/>
      <c r="IP204" s="136"/>
      <c r="IQ204" s="136"/>
      <c r="IR204" s="136"/>
      <c r="IS204" s="136"/>
      <c r="IT204" s="136"/>
      <c r="IU204" s="136"/>
    </row>
    <row r="205" spans="1:255" ht="36" customHeight="1" x14ac:dyDescent="0.2">
      <c r="A205" s="335" t="str">
        <f>IF(OR($C$25="No",$C$30="Yes"),"Mobile Applications - Optional based on QUALIFIER response.","Mobile Applications")</f>
        <v>Mobile Applications</v>
      </c>
      <c r="B205" s="335"/>
      <c r="C205" s="240" t="str">
        <f>$C$22</f>
        <v>Reason for Question</v>
      </c>
      <c r="D205" s="240" t="str">
        <f>$D$22</f>
        <v>Follow-up Inquiries/Responses</v>
      </c>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6"/>
      <c r="AN205" s="136"/>
      <c r="AO205" s="136"/>
      <c r="AP205" s="136"/>
      <c r="AQ205" s="136"/>
      <c r="AR205" s="136"/>
      <c r="AS205" s="136"/>
      <c r="AT205" s="136"/>
      <c r="AU205" s="136"/>
      <c r="AV205" s="136"/>
      <c r="AW205" s="136"/>
      <c r="AX205" s="136"/>
      <c r="AY205" s="136"/>
      <c r="AZ205" s="136"/>
      <c r="BA205" s="136"/>
      <c r="BB205" s="136"/>
      <c r="BC205" s="136"/>
      <c r="BD205" s="136"/>
      <c r="BE205" s="136"/>
      <c r="BF205" s="136"/>
      <c r="BG205" s="136"/>
      <c r="BH205" s="136"/>
      <c r="BI205" s="136"/>
      <c r="BJ205" s="136"/>
      <c r="BK205" s="136"/>
      <c r="BL205" s="136"/>
      <c r="BM205" s="136"/>
      <c r="BN205" s="136"/>
      <c r="BO205" s="136"/>
      <c r="BP205" s="136"/>
      <c r="BQ205" s="136"/>
      <c r="BR205" s="136"/>
      <c r="BS205" s="136"/>
      <c r="BT205" s="136"/>
      <c r="BU205" s="136"/>
      <c r="BV205" s="136"/>
      <c r="BW205" s="136"/>
      <c r="BX205" s="136"/>
      <c r="BY205" s="136"/>
      <c r="BZ205" s="136"/>
      <c r="CA205" s="136"/>
      <c r="CB205" s="136"/>
      <c r="CC205" s="136"/>
      <c r="CD205" s="136"/>
      <c r="CE205" s="136"/>
      <c r="CF205" s="136"/>
      <c r="CG205" s="136"/>
      <c r="CH205" s="136"/>
      <c r="CI205" s="136"/>
      <c r="CJ205" s="136"/>
      <c r="CK205" s="136"/>
      <c r="CL205" s="136"/>
      <c r="CM205" s="136"/>
      <c r="CN205" s="136"/>
      <c r="CO205" s="136"/>
      <c r="CP205" s="136"/>
      <c r="CQ205" s="136"/>
      <c r="CR205" s="136"/>
      <c r="CS205" s="136"/>
      <c r="CT205" s="136"/>
      <c r="CU205" s="136"/>
      <c r="CV205" s="136"/>
      <c r="CW205" s="136"/>
      <c r="CX205" s="136"/>
      <c r="CY205" s="136"/>
      <c r="CZ205" s="136"/>
      <c r="DA205" s="136"/>
      <c r="DB205" s="136"/>
      <c r="DC205" s="136"/>
      <c r="DD205" s="136"/>
      <c r="DE205" s="136"/>
      <c r="DF205" s="136"/>
      <c r="DG205" s="136"/>
      <c r="DH205" s="136"/>
      <c r="DI205" s="136"/>
      <c r="DJ205" s="136"/>
      <c r="DK205" s="136"/>
      <c r="DL205" s="136"/>
      <c r="DM205" s="136"/>
      <c r="DN205" s="136"/>
      <c r="DO205" s="136"/>
      <c r="DP205" s="136"/>
      <c r="DQ205" s="136"/>
      <c r="DR205" s="136"/>
      <c r="DS205" s="136"/>
      <c r="DT205" s="136"/>
      <c r="DU205" s="136"/>
      <c r="DV205" s="136"/>
      <c r="DW205" s="136"/>
      <c r="DX205" s="136"/>
      <c r="DY205" s="136"/>
      <c r="DZ205" s="136"/>
      <c r="EA205" s="136"/>
      <c r="EB205" s="136"/>
      <c r="EC205" s="136"/>
      <c r="ED205" s="136"/>
      <c r="EE205" s="136"/>
      <c r="EF205" s="136"/>
      <c r="EG205" s="136"/>
      <c r="EH205" s="136"/>
      <c r="EI205" s="136"/>
      <c r="EJ205" s="136"/>
      <c r="EK205" s="136"/>
      <c r="EL205" s="136"/>
      <c r="EM205" s="136"/>
      <c r="EN205" s="136"/>
      <c r="EO205" s="136"/>
      <c r="EP205" s="136"/>
      <c r="EQ205" s="136"/>
      <c r="ER205" s="136"/>
      <c r="ES205" s="136"/>
      <c r="ET205" s="136"/>
      <c r="EU205" s="136"/>
      <c r="EV205" s="136"/>
      <c r="EW205" s="136"/>
      <c r="EX205" s="136"/>
      <c r="EY205" s="136"/>
      <c r="EZ205" s="136"/>
      <c r="FA205" s="136"/>
      <c r="FB205" s="136"/>
      <c r="FC205" s="136"/>
      <c r="FD205" s="136"/>
      <c r="FE205" s="136"/>
      <c r="FF205" s="136"/>
      <c r="FG205" s="136"/>
      <c r="FH205" s="136"/>
      <c r="FI205" s="136"/>
      <c r="FJ205" s="136"/>
      <c r="FK205" s="136"/>
      <c r="FL205" s="136"/>
      <c r="FM205" s="136"/>
      <c r="FN205" s="136"/>
      <c r="FO205" s="136"/>
      <c r="FP205" s="136"/>
      <c r="FQ205" s="136"/>
      <c r="FR205" s="136"/>
      <c r="FS205" s="136"/>
      <c r="FT205" s="136"/>
      <c r="FU205" s="136"/>
      <c r="FV205" s="136"/>
      <c r="FW205" s="136"/>
      <c r="FX205" s="136"/>
      <c r="FY205" s="136"/>
      <c r="FZ205" s="136"/>
      <c r="GA205" s="136"/>
      <c r="GB205" s="136"/>
      <c r="GC205" s="136"/>
      <c r="GD205" s="136"/>
      <c r="GE205" s="136"/>
      <c r="GF205" s="136"/>
      <c r="GG205" s="136"/>
      <c r="GH205" s="136"/>
      <c r="GI205" s="136"/>
      <c r="GJ205" s="136"/>
      <c r="GK205" s="136"/>
      <c r="GL205" s="136"/>
      <c r="GM205" s="136"/>
      <c r="GN205" s="136"/>
      <c r="GO205" s="136"/>
      <c r="GP205" s="136"/>
      <c r="GQ205" s="136"/>
      <c r="GR205" s="136"/>
      <c r="GS205" s="136"/>
      <c r="GT205" s="136"/>
      <c r="GU205" s="136"/>
      <c r="GV205" s="136"/>
      <c r="GW205" s="136"/>
      <c r="GX205" s="136"/>
      <c r="GY205" s="136"/>
      <c r="GZ205" s="136"/>
      <c r="HA205" s="136"/>
      <c r="HB205" s="136"/>
      <c r="HC205" s="136"/>
      <c r="HD205" s="136"/>
      <c r="HE205" s="136"/>
      <c r="HF205" s="136"/>
      <c r="HG205" s="136"/>
      <c r="HH205" s="136"/>
      <c r="HI205" s="136"/>
      <c r="HJ205" s="136"/>
      <c r="HK205" s="136"/>
      <c r="HL205" s="136"/>
      <c r="HM205" s="136"/>
      <c r="HN205" s="136"/>
      <c r="HO205" s="136"/>
      <c r="HP205" s="136"/>
      <c r="HQ205" s="136"/>
      <c r="HR205" s="136"/>
      <c r="HS205" s="136"/>
      <c r="HT205" s="136"/>
      <c r="HU205" s="136"/>
      <c r="HV205" s="136"/>
      <c r="HW205" s="136"/>
      <c r="HX205" s="136"/>
      <c r="HY205" s="136"/>
      <c r="HZ205" s="136"/>
      <c r="IA205" s="136"/>
      <c r="IB205" s="136"/>
      <c r="IC205" s="136"/>
      <c r="ID205" s="136"/>
      <c r="IE205" s="136"/>
      <c r="IF205" s="136"/>
      <c r="IG205" s="136"/>
      <c r="IH205" s="136"/>
      <c r="II205" s="136"/>
      <c r="IJ205" s="136"/>
      <c r="IK205" s="136"/>
      <c r="IL205" s="136"/>
      <c r="IM205" s="136"/>
      <c r="IN205" s="136"/>
      <c r="IO205" s="136"/>
      <c r="IP205" s="136"/>
      <c r="IQ205" s="136"/>
      <c r="IR205" s="136"/>
      <c r="IS205" s="136"/>
      <c r="IT205" s="136"/>
      <c r="IU205" s="136"/>
    </row>
    <row r="206" spans="1:255" ht="64.5" customHeight="1" x14ac:dyDescent="0.2">
      <c r="A206" s="242" t="str">
        <f>'HECVAT - Full'!A206</f>
        <v>MAPP-01</v>
      </c>
      <c r="B206" s="242" t="str">
        <f>VLOOKUP(A206,'HECVAT - Full'!A$24:B$312,2,FALSE)</f>
        <v>On which mobile operating systems is your software or service supported?</v>
      </c>
      <c r="C206" s="243" t="s">
        <v>2908</v>
      </c>
      <c r="D206" s="243" t="s">
        <v>2909</v>
      </c>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36"/>
      <c r="AW206" s="136"/>
      <c r="AX206" s="136"/>
      <c r="AY206" s="136"/>
      <c r="AZ206" s="136"/>
      <c r="BA206" s="136"/>
      <c r="BB206" s="136"/>
      <c r="BC206" s="136"/>
      <c r="BD206" s="136"/>
      <c r="BE206" s="136"/>
      <c r="BF206" s="136"/>
      <c r="BG206" s="136"/>
      <c r="BH206" s="136"/>
      <c r="BI206" s="136"/>
      <c r="BJ206" s="136"/>
      <c r="BK206" s="136"/>
      <c r="BL206" s="136"/>
      <c r="BM206" s="136"/>
      <c r="BN206" s="136"/>
      <c r="BO206" s="136"/>
      <c r="BP206" s="136"/>
      <c r="BQ206" s="136"/>
      <c r="BR206" s="136"/>
      <c r="BS206" s="136"/>
      <c r="BT206" s="136"/>
      <c r="BU206" s="136"/>
      <c r="BV206" s="136"/>
      <c r="BW206" s="136"/>
      <c r="BX206" s="136"/>
      <c r="BY206" s="136"/>
      <c r="BZ206" s="136"/>
      <c r="CA206" s="136"/>
      <c r="CB206" s="136"/>
      <c r="CC206" s="136"/>
      <c r="CD206" s="136"/>
      <c r="CE206" s="136"/>
      <c r="CF206" s="136"/>
      <c r="CG206" s="136"/>
      <c r="CH206" s="136"/>
      <c r="CI206" s="136"/>
      <c r="CJ206" s="136"/>
      <c r="CK206" s="136"/>
      <c r="CL206" s="136"/>
      <c r="CM206" s="136"/>
      <c r="CN206" s="136"/>
      <c r="CO206" s="136"/>
      <c r="CP206" s="136"/>
      <c r="CQ206" s="136"/>
      <c r="CR206" s="136"/>
      <c r="CS206" s="136"/>
      <c r="CT206" s="136"/>
      <c r="CU206" s="136"/>
      <c r="CV206" s="136"/>
      <c r="CW206" s="136"/>
      <c r="CX206" s="136"/>
      <c r="CY206" s="136"/>
      <c r="CZ206" s="136"/>
      <c r="DA206" s="136"/>
      <c r="DB206" s="136"/>
      <c r="DC206" s="136"/>
      <c r="DD206" s="136"/>
      <c r="DE206" s="136"/>
      <c r="DF206" s="136"/>
      <c r="DG206" s="136"/>
      <c r="DH206" s="136"/>
      <c r="DI206" s="136"/>
      <c r="DJ206" s="136"/>
      <c r="DK206" s="136"/>
      <c r="DL206" s="136"/>
      <c r="DM206" s="136"/>
      <c r="DN206" s="136"/>
      <c r="DO206" s="136"/>
      <c r="DP206" s="136"/>
      <c r="DQ206" s="136"/>
      <c r="DR206" s="136"/>
      <c r="DS206" s="136"/>
      <c r="DT206" s="136"/>
      <c r="DU206" s="136"/>
      <c r="DV206" s="136"/>
      <c r="DW206" s="136"/>
      <c r="DX206" s="136"/>
      <c r="DY206" s="136"/>
      <c r="DZ206" s="136"/>
      <c r="EA206" s="136"/>
      <c r="EB206" s="136"/>
      <c r="EC206" s="136"/>
      <c r="ED206" s="136"/>
      <c r="EE206" s="136"/>
      <c r="EF206" s="136"/>
      <c r="EG206" s="136"/>
      <c r="EH206" s="136"/>
      <c r="EI206" s="136"/>
      <c r="EJ206" s="136"/>
      <c r="EK206" s="136"/>
      <c r="EL206" s="136"/>
      <c r="EM206" s="136"/>
      <c r="EN206" s="136"/>
      <c r="EO206" s="136"/>
      <c r="EP206" s="136"/>
      <c r="EQ206" s="136"/>
      <c r="ER206" s="136"/>
      <c r="ES206" s="136"/>
      <c r="ET206" s="136"/>
      <c r="EU206" s="136"/>
      <c r="EV206" s="136"/>
      <c r="EW206" s="136"/>
      <c r="EX206" s="136"/>
      <c r="EY206" s="136"/>
      <c r="EZ206" s="136"/>
      <c r="FA206" s="136"/>
      <c r="FB206" s="136"/>
      <c r="FC206" s="136"/>
      <c r="FD206" s="136"/>
      <c r="FE206" s="136"/>
      <c r="FF206" s="136"/>
      <c r="FG206" s="136"/>
      <c r="FH206" s="136"/>
      <c r="FI206" s="136"/>
      <c r="FJ206" s="136"/>
      <c r="FK206" s="136"/>
      <c r="FL206" s="136"/>
      <c r="FM206" s="136"/>
      <c r="FN206" s="136"/>
      <c r="FO206" s="136"/>
      <c r="FP206" s="136"/>
      <c r="FQ206" s="136"/>
      <c r="FR206" s="136"/>
      <c r="FS206" s="136"/>
      <c r="FT206" s="136"/>
      <c r="FU206" s="136"/>
      <c r="FV206" s="136"/>
      <c r="FW206" s="136"/>
      <c r="FX206" s="136"/>
      <c r="FY206" s="136"/>
      <c r="FZ206" s="136"/>
      <c r="GA206" s="136"/>
      <c r="GB206" s="136"/>
      <c r="GC206" s="136"/>
      <c r="GD206" s="136"/>
      <c r="GE206" s="136"/>
      <c r="GF206" s="136"/>
      <c r="GG206" s="136"/>
      <c r="GH206" s="136"/>
      <c r="GI206" s="136"/>
      <c r="GJ206" s="136"/>
      <c r="GK206" s="136"/>
      <c r="GL206" s="136"/>
      <c r="GM206" s="136"/>
      <c r="GN206" s="136"/>
      <c r="GO206" s="136"/>
      <c r="GP206" s="136"/>
      <c r="GQ206" s="136"/>
      <c r="GR206" s="136"/>
      <c r="GS206" s="136"/>
      <c r="GT206" s="136"/>
      <c r="GU206" s="136"/>
      <c r="GV206" s="136"/>
      <c r="GW206" s="136"/>
      <c r="GX206" s="136"/>
      <c r="GY206" s="136"/>
      <c r="GZ206" s="136"/>
      <c r="HA206" s="136"/>
      <c r="HB206" s="136"/>
      <c r="HC206" s="136"/>
      <c r="HD206" s="136"/>
      <c r="HE206" s="136"/>
      <c r="HF206" s="136"/>
      <c r="HG206" s="136"/>
      <c r="HH206" s="136"/>
      <c r="HI206" s="136"/>
      <c r="HJ206" s="136"/>
      <c r="HK206" s="136"/>
      <c r="HL206" s="136"/>
      <c r="HM206" s="136"/>
      <c r="HN206" s="136"/>
      <c r="HO206" s="136"/>
      <c r="HP206" s="136"/>
      <c r="HQ206" s="136"/>
      <c r="HR206" s="136"/>
      <c r="HS206" s="136"/>
      <c r="HT206" s="136"/>
      <c r="HU206" s="136"/>
      <c r="HV206" s="136"/>
      <c r="HW206" s="136"/>
      <c r="HX206" s="136"/>
      <c r="HY206" s="136"/>
      <c r="HZ206" s="136"/>
      <c r="IA206" s="136"/>
      <c r="IB206" s="136"/>
      <c r="IC206" s="136"/>
      <c r="ID206" s="136"/>
      <c r="IE206" s="136"/>
      <c r="IF206" s="136"/>
      <c r="IG206" s="136"/>
      <c r="IH206" s="136"/>
      <c r="II206" s="136"/>
      <c r="IJ206" s="136"/>
      <c r="IK206" s="136"/>
      <c r="IL206" s="136"/>
      <c r="IM206" s="136"/>
      <c r="IN206" s="136"/>
      <c r="IO206" s="136"/>
      <c r="IP206" s="136"/>
      <c r="IQ206" s="136"/>
      <c r="IR206" s="136"/>
      <c r="IS206" s="136"/>
      <c r="IT206" s="136"/>
      <c r="IU206" s="136"/>
    </row>
    <row r="207" spans="1:255" ht="82.5" customHeight="1" x14ac:dyDescent="0.2">
      <c r="A207" s="242" t="str">
        <f>'HECVAT - Full'!A207</f>
        <v>MAPP-02</v>
      </c>
      <c r="B207" s="242" t="str">
        <f>VLOOKUP(A207,'HECVAT - Full'!A$24:B$312,2,FALSE)</f>
        <v>Describe or provide a reference to the application's architecture and functionality.</v>
      </c>
      <c r="C207" s="243" t="s">
        <v>2910</v>
      </c>
      <c r="D207" s="243" t="s">
        <v>2911</v>
      </c>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36"/>
      <c r="AW207" s="136"/>
      <c r="AX207" s="136"/>
      <c r="AY207" s="136"/>
      <c r="AZ207" s="136"/>
      <c r="BA207" s="136"/>
      <c r="BB207" s="136"/>
      <c r="BC207" s="136"/>
      <c r="BD207" s="136"/>
      <c r="BE207" s="136"/>
      <c r="BF207" s="136"/>
      <c r="BG207" s="136"/>
      <c r="BH207" s="136"/>
      <c r="BI207" s="136"/>
      <c r="BJ207" s="136"/>
      <c r="BK207" s="136"/>
      <c r="BL207" s="136"/>
      <c r="BM207" s="136"/>
      <c r="BN207" s="136"/>
      <c r="BO207" s="136"/>
      <c r="BP207" s="136"/>
      <c r="BQ207" s="136"/>
      <c r="BR207" s="136"/>
      <c r="BS207" s="136"/>
      <c r="BT207" s="136"/>
      <c r="BU207" s="136"/>
      <c r="BV207" s="136"/>
      <c r="BW207" s="136"/>
      <c r="BX207" s="136"/>
      <c r="BY207" s="136"/>
      <c r="BZ207" s="136"/>
      <c r="CA207" s="136"/>
      <c r="CB207" s="136"/>
      <c r="CC207" s="136"/>
      <c r="CD207" s="136"/>
      <c r="CE207" s="136"/>
      <c r="CF207" s="136"/>
      <c r="CG207" s="136"/>
      <c r="CH207" s="136"/>
      <c r="CI207" s="136"/>
      <c r="CJ207" s="136"/>
      <c r="CK207" s="136"/>
      <c r="CL207" s="136"/>
      <c r="CM207" s="136"/>
      <c r="CN207" s="136"/>
      <c r="CO207" s="136"/>
      <c r="CP207" s="136"/>
      <c r="CQ207" s="136"/>
      <c r="CR207" s="136"/>
      <c r="CS207" s="136"/>
      <c r="CT207" s="136"/>
      <c r="CU207" s="136"/>
      <c r="CV207" s="136"/>
      <c r="CW207" s="136"/>
      <c r="CX207" s="136"/>
      <c r="CY207" s="136"/>
      <c r="CZ207" s="136"/>
      <c r="DA207" s="136"/>
      <c r="DB207" s="136"/>
      <c r="DC207" s="136"/>
      <c r="DD207" s="136"/>
      <c r="DE207" s="136"/>
      <c r="DF207" s="136"/>
      <c r="DG207" s="136"/>
      <c r="DH207" s="136"/>
      <c r="DI207" s="136"/>
      <c r="DJ207" s="136"/>
      <c r="DK207" s="136"/>
      <c r="DL207" s="136"/>
      <c r="DM207" s="136"/>
      <c r="DN207" s="136"/>
      <c r="DO207" s="136"/>
      <c r="DP207" s="136"/>
      <c r="DQ207" s="136"/>
      <c r="DR207" s="136"/>
      <c r="DS207" s="136"/>
      <c r="DT207" s="136"/>
      <c r="DU207" s="136"/>
      <c r="DV207" s="136"/>
      <c r="DW207" s="136"/>
      <c r="DX207" s="136"/>
      <c r="DY207" s="136"/>
      <c r="DZ207" s="136"/>
      <c r="EA207" s="136"/>
      <c r="EB207" s="136"/>
      <c r="EC207" s="136"/>
      <c r="ED207" s="136"/>
      <c r="EE207" s="136"/>
      <c r="EF207" s="136"/>
      <c r="EG207" s="136"/>
      <c r="EH207" s="136"/>
      <c r="EI207" s="136"/>
      <c r="EJ207" s="136"/>
      <c r="EK207" s="136"/>
      <c r="EL207" s="136"/>
      <c r="EM207" s="136"/>
      <c r="EN207" s="136"/>
      <c r="EO207" s="136"/>
      <c r="EP207" s="136"/>
      <c r="EQ207" s="136"/>
      <c r="ER207" s="136"/>
      <c r="ES207" s="136"/>
      <c r="ET207" s="136"/>
      <c r="EU207" s="136"/>
      <c r="EV207" s="136"/>
      <c r="EW207" s="136"/>
      <c r="EX207" s="136"/>
      <c r="EY207" s="136"/>
      <c r="EZ207" s="136"/>
      <c r="FA207" s="136"/>
      <c r="FB207" s="136"/>
      <c r="FC207" s="136"/>
      <c r="FD207" s="136"/>
      <c r="FE207" s="136"/>
      <c r="FF207" s="136"/>
      <c r="FG207" s="136"/>
      <c r="FH207" s="136"/>
      <c r="FI207" s="136"/>
      <c r="FJ207" s="136"/>
      <c r="FK207" s="136"/>
      <c r="FL207" s="136"/>
      <c r="FM207" s="136"/>
      <c r="FN207" s="136"/>
      <c r="FO207" s="136"/>
      <c r="FP207" s="136"/>
      <c r="FQ207" s="136"/>
      <c r="FR207" s="136"/>
      <c r="FS207" s="136"/>
      <c r="FT207" s="136"/>
      <c r="FU207" s="136"/>
      <c r="FV207" s="136"/>
      <c r="FW207" s="136"/>
      <c r="FX207" s="136"/>
      <c r="FY207" s="136"/>
      <c r="FZ207" s="136"/>
      <c r="GA207" s="136"/>
      <c r="GB207" s="136"/>
      <c r="GC207" s="136"/>
      <c r="GD207" s="136"/>
      <c r="GE207" s="136"/>
      <c r="GF207" s="136"/>
      <c r="GG207" s="136"/>
      <c r="GH207" s="136"/>
      <c r="GI207" s="136"/>
      <c r="GJ207" s="136"/>
      <c r="GK207" s="136"/>
      <c r="GL207" s="136"/>
      <c r="GM207" s="136"/>
      <c r="GN207" s="136"/>
      <c r="GO207" s="136"/>
      <c r="GP207" s="136"/>
      <c r="GQ207" s="136"/>
      <c r="GR207" s="136"/>
      <c r="GS207" s="136"/>
      <c r="GT207" s="136"/>
      <c r="GU207" s="136"/>
      <c r="GV207" s="136"/>
      <c r="GW207" s="136"/>
      <c r="GX207" s="136"/>
      <c r="GY207" s="136"/>
      <c r="GZ207" s="136"/>
      <c r="HA207" s="136"/>
      <c r="HB207" s="136"/>
      <c r="HC207" s="136"/>
      <c r="HD207" s="136"/>
      <c r="HE207" s="136"/>
      <c r="HF207" s="136"/>
      <c r="HG207" s="136"/>
      <c r="HH207" s="136"/>
      <c r="HI207" s="136"/>
      <c r="HJ207" s="136"/>
      <c r="HK207" s="136"/>
      <c r="HL207" s="136"/>
      <c r="HM207" s="136"/>
      <c r="HN207" s="136"/>
      <c r="HO207" s="136"/>
      <c r="HP207" s="136"/>
      <c r="HQ207" s="136"/>
      <c r="HR207" s="136"/>
      <c r="HS207" s="136"/>
      <c r="HT207" s="136"/>
      <c r="HU207" s="136"/>
      <c r="HV207" s="136"/>
      <c r="HW207" s="136"/>
      <c r="HX207" s="136"/>
      <c r="HY207" s="136"/>
      <c r="HZ207" s="136"/>
      <c r="IA207" s="136"/>
      <c r="IB207" s="136"/>
      <c r="IC207" s="136"/>
      <c r="ID207" s="136"/>
      <c r="IE207" s="136"/>
      <c r="IF207" s="136"/>
      <c r="IG207" s="136"/>
      <c r="IH207" s="136"/>
      <c r="II207" s="136"/>
      <c r="IJ207" s="136"/>
      <c r="IK207" s="136"/>
      <c r="IL207" s="136"/>
      <c r="IM207" s="136"/>
      <c r="IN207" s="136"/>
      <c r="IO207" s="136"/>
      <c r="IP207" s="136"/>
      <c r="IQ207" s="136"/>
      <c r="IR207" s="136"/>
      <c r="IS207" s="136"/>
      <c r="IT207" s="136"/>
      <c r="IU207" s="136"/>
    </row>
    <row r="208" spans="1:255" ht="72.75" customHeight="1" x14ac:dyDescent="0.2">
      <c r="A208" s="242" t="str">
        <f>'HECVAT - Full'!A208</f>
        <v>MAPP-03</v>
      </c>
      <c r="B208" s="242" t="str">
        <f>VLOOKUP(A208,'HECVAT - Full'!A$24:B$312,2,FALSE)</f>
        <v>Is the application available from a trusted source (e.g., iTunes App Store, Android Market, BB World)?</v>
      </c>
      <c r="C208" s="243" t="s">
        <v>2912</v>
      </c>
      <c r="D208" s="253" t="s">
        <v>2913</v>
      </c>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36"/>
      <c r="AW208" s="136"/>
      <c r="AX208" s="136"/>
      <c r="AY208" s="136"/>
      <c r="AZ208" s="136"/>
      <c r="BA208" s="136"/>
      <c r="BB208" s="136"/>
      <c r="BC208" s="136"/>
      <c r="BD208" s="136"/>
      <c r="BE208" s="136"/>
      <c r="BF208" s="136"/>
      <c r="BG208" s="136"/>
      <c r="BH208" s="136"/>
      <c r="BI208" s="136"/>
      <c r="BJ208" s="136"/>
      <c r="BK208" s="136"/>
      <c r="BL208" s="136"/>
      <c r="BM208" s="136"/>
      <c r="BN208" s="136"/>
      <c r="BO208" s="136"/>
      <c r="BP208" s="136"/>
      <c r="BQ208" s="136"/>
      <c r="BR208" s="136"/>
      <c r="BS208" s="136"/>
      <c r="BT208" s="136"/>
      <c r="BU208" s="136"/>
      <c r="BV208" s="136"/>
      <c r="BW208" s="136"/>
      <c r="BX208" s="136"/>
      <c r="BY208" s="136"/>
      <c r="BZ208" s="136"/>
      <c r="CA208" s="136"/>
      <c r="CB208" s="136"/>
      <c r="CC208" s="136"/>
      <c r="CD208" s="136"/>
      <c r="CE208" s="136"/>
      <c r="CF208" s="136"/>
      <c r="CG208" s="136"/>
      <c r="CH208" s="136"/>
      <c r="CI208" s="136"/>
      <c r="CJ208" s="136"/>
      <c r="CK208" s="136"/>
      <c r="CL208" s="136"/>
      <c r="CM208" s="136"/>
      <c r="CN208" s="136"/>
      <c r="CO208" s="136"/>
      <c r="CP208" s="136"/>
      <c r="CQ208" s="136"/>
      <c r="CR208" s="136"/>
      <c r="CS208" s="136"/>
      <c r="CT208" s="136"/>
      <c r="CU208" s="136"/>
      <c r="CV208" s="136"/>
      <c r="CW208" s="136"/>
      <c r="CX208" s="136"/>
      <c r="CY208" s="136"/>
      <c r="CZ208" s="136"/>
      <c r="DA208" s="136"/>
      <c r="DB208" s="136"/>
      <c r="DC208" s="136"/>
      <c r="DD208" s="136"/>
      <c r="DE208" s="136"/>
      <c r="DF208" s="136"/>
      <c r="DG208" s="136"/>
      <c r="DH208" s="136"/>
      <c r="DI208" s="136"/>
      <c r="DJ208" s="136"/>
      <c r="DK208" s="136"/>
      <c r="DL208" s="136"/>
      <c r="DM208" s="136"/>
      <c r="DN208" s="136"/>
      <c r="DO208" s="136"/>
      <c r="DP208" s="136"/>
      <c r="DQ208" s="136"/>
      <c r="DR208" s="136"/>
      <c r="DS208" s="136"/>
      <c r="DT208" s="136"/>
      <c r="DU208" s="136"/>
      <c r="DV208" s="136"/>
      <c r="DW208" s="136"/>
      <c r="DX208" s="136"/>
      <c r="DY208" s="136"/>
      <c r="DZ208" s="136"/>
      <c r="EA208" s="136"/>
      <c r="EB208" s="136"/>
      <c r="EC208" s="136"/>
      <c r="ED208" s="136"/>
      <c r="EE208" s="136"/>
      <c r="EF208" s="136"/>
      <c r="EG208" s="136"/>
      <c r="EH208" s="136"/>
      <c r="EI208" s="136"/>
      <c r="EJ208" s="136"/>
      <c r="EK208" s="136"/>
      <c r="EL208" s="136"/>
      <c r="EM208" s="136"/>
      <c r="EN208" s="136"/>
      <c r="EO208" s="136"/>
      <c r="EP208" s="136"/>
      <c r="EQ208" s="136"/>
      <c r="ER208" s="136"/>
      <c r="ES208" s="136"/>
      <c r="ET208" s="136"/>
      <c r="EU208" s="136"/>
      <c r="EV208" s="136"/>
      <c r="EW208" s="136"/>
      <c r="EX208" s="136"/>
      <c r="EY208" s="136"/>
      <c r="EZ208" s="136"/>
      <c r="FA208" s="136"/>
      <c r="FB208" s="136"/>
      <c r="FC208" s="136"/>
      <c r="FD208" s="136"/>
      <c r="FE208" s="136"/>
      <c r="FF208" s="136"/>
      <c r="FG208" s="136"/>
      <c r="FH208" s="136"/>
      <c r="FI208" s="136"/>
      <c r="FJ208" s="136"/>
      <c r="FK208" s="136"/>
      <c r="FL208" s="136"/>
      <c r="FM208" s="136"/>
      <c r="FN208" s="136"/>
      <c r="FO208" s="136"/>
      <c r="FP208" s="136"/>
      <c r="FQ208" s="136"/>
      <c r="FR208" s="136"/>
      <c r="FS208" s="136"/>
      <c r="FT208" s="136"/>
      <c r="FU208" s="136"/>
      <c r="FV208" s="136"/>
      <c r="FW208" s="136"/>
      <c r="FX208" s="136"/>
      <c r="FY208" s="136"/>
      <c r="FZ208" s="136"/>
      <c r="GA208" s="136"/>
      <c r="GB208" s="136"/>
      <c r="GC208" s="136"/>
      <c r="GD208" s="136"/>
      <c r="GE208" s="136"/>
      <c r="GF208" s="136"/>
      <c r="GG208" s="136"/>
      <c r="GH208" s="136"/>
      <c r="GI208" s="136"/>
      <c r="GJ208" s="136"/>
      <c r="GK208" s="136"/>
      <c r="GL208" s="136"/>
      <c r="GM208" s="136"/>
      <c r="GN208" s="136"/>
      <c r="GO208" s="136"/>
      <c r="GP208" s="136"/>
      <c r="GQ208" s="136"/>
      <c r="GR208" s="136"/>
      <c r="GS208" s="136"/>
      <c r="GT208" s="136"/>
      <c r="GU208" s="136"/>
      <c r="GV208" s="136"/>
      <c r="GW208" s="136"/>
      <c r="GX208" s="136"/>
      <c r="GY208" s="136"/>
      <c r="GZ208" s="136"/>
      <c r="HA208" s="136"/>
      <c r="HB208" s="136"/>
      <c r="HC208" s="136"/>
      <c r="HD208" s="136"/>
      <c r="HE208" s="136"/>
      <c r="HF208" s="136"/>
      <c r="HG208" s="136"/>
      <c r="HH208" s="136"/>
      <c r="HI208" s="136"/>
      <c r="HJ208" s="136"/>
      <c r="HK208" s="136"/>
      <c r="HL208" s="136"/>
      <c r="HM208" s="136"/>
      <c r="HN208" s="136"/>
      <c r="HO208" s="136"/>
      <c r="HP208" s="136"/>
      <c r="HQ208" s="136"/>
      <c r="HR208" s="136"/>
      <c r="HS208" s="136"/>
      <c r="HT208" s="136"/>
      <c r="HU208" s="136"/>
      <c r="HV208" s="136"/>
      <c r="HW208" s="136"/>
      <c r="HX208" s="136"/>
      <c r="HY208" s="136"/>
      <c r="HZ208" s="136"/>
      <c r="IA208" s="136"/>
      <c r="IB208" s="136"/>
      <c r="IC208" s="136"/>
      <c r="ID208" s="136"/>
      <c r="IE208" s="136"/>
      <c r="IF208" s="136"/>
      <c r="IG208" s="136"/>
      <c r="IH208" s="136"/>
      <c r="II208" s="136"/>
      <c r="IJ208" s="136"/>
      <c r="IK208" s="136"/>
      <c r="IL208" s="136"/>
      <c r="IM208" s="136"/>
      <c r="IN208" s="136"/>
      <c r="IO208" s="136"/>
      <c r="IP208" s="136"/>
      <c r="IQ208" s="136"/>
      <c r="IR208" s="136"/>
      <c r="IS208" s="136"/>
      <c r="IT208" s="136"/>
      <c r="IU208" s="136"/>
    </row>
    <row r="209" spans="1:255" ht="57" x14ac:dyDescent="0.2">
      <c r="A209" s="242" t="str">
        <f>'HECVAT - Full'!A209</f>
        <v>MAPP-04</v>
      </c>
      <c r="B209" s="242" t="str">
        <f>VLOOKUP(A209,'HECVAT - Full'!A$24:B$312,2,FALSE)</f>
        <v>Does the application store, process, or transmit critical data?</v>
      </c>
      <c r="C209" s="243" t="s">
        <v>2914</v>
      </c>
      <c r="D209" s="253" t="s">
        <v>2915</v>
      </c>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6"/>
      <c r="AN209" s="136"/>
      <c r="AO209" s="136"/>
      <c r="AP209" s="136"/>
      <c r="AQ209" s="136"/>
      <c r="AR209" s="136"/>
      <c r="AS209" s="136"/>
      <c r="AT209" s="136"/>
      <c r="AU209" s="136"/>
      <c r="AV209" s="136"/>
      <c r="AW209" s="136"/>
      <c r="AX209" s="136"/>
      <c r="AY209" s="136"/>
      <c r="AZ209" s="136"/>
      <c r="BA209" s="136"/>
      <c r="BB209" s="136"/>
      <c r="BC209" s="136"/>
      <c r="BD209" s="136"/>
      <c r="BE209" s="136"/>
      <c r="BF209" s="136"/>
      <c r="BG209" s="136"/>
      <c r="BH209" s="136"/>
      <c r="BI209" s="136"/>
      <c r="BJ209" s="136"/>
      <c r="BK209" s="136"/>
      <c r="BL209" s="136"/>
      <c r="BM209" s="136"/>
      <c r="BN209" s="136"/>
      <c r="BO209" s="136"/>
      <c r="BP209" s="136"/>
      <c r="BQ209" s="136"/>
      <c r="BR209" s="136"/>
      <c r="BS209" s="136"/>
      <c r="BT209" s="136"/>
      <c r="BU209" s="136"/>
      <c r="BV209" s="136"/>
      <c r="BW209" s="136"/>
      <c r="BX209" s="136"/>
      <c r="BY209" s="136"/>
      <c r="BZ209" s="136"/>
      <c r="CA209" s="136"/>
      <c r="CB209" s="136"/>
      <c r="CC209" s="136"/>
      <c r="CD209" s="136"/>
      <c r="CE209" s="136"/>
      <c r="CF209" s="136"/>
      <c r="CG209" s="136"/>
      <c r="CH209" s="136"/>
      <c r="CI209" s="136"/>
      <c r="CJ209" s="136"/>
      <c r="CK209" s="136"/>
      <c r="CL209" s="136"/>
      <c r="CM209" s="136"/>
      <c r="CN209" s="136"/>
      <c r="CO209" s="136"/>
      <c r="CP209" s="136"/>
      <c r="CQ209" s="136"/>
      <c r="CR209" s="136"/>
      <c r="CS209" s="136"/>
      <c r="CT209" s="136"/>
      <c r="CU209" s="136"/>
      <c r="CV209" s="136"/>
      <c r="CW209" s="136"/>
      <c r="CX209" s="136"/>
      <c r="CY209" s="136"/>
      <c r="CZ209" s="136"/>
      <c r="DA209" s="136"/>
      <c r="DB209" s="136"/>
      <c r="DC209" s="136"/>
      <c r="DD209" s="136"/>
      <c r="DE209" s="136"/>
      <c r="DF209" s="136"/>
      <c r="DG209" s="136"/>
      <c r="DH209" s="136"/>
      <c r="DI209" s="136"/>
      <c r="DJ209" s="136"/>
      <c r="DK209" s="136"/>
      <c r="DL209" s="136"/>
      <c r="DM209" s="136"/>
      <c r="DN209" s="136"/>
      <c r="DO209" s="136"/>
      <c r="DP209" s="136"/>
      <c r="DQ209" s="136"/>
      <c r="DR209" s="136"/>
      <c r="DS209" s="136"/>
      <c r="DT209" s="136"/>
      <c r="DU209" s="136"/>
      <c r="DV209" s="136"/>
      <c r="DW209" s="136"/>
      <c r="DX209" s="136"/>
      <c r="DY209" s="136"/>
      <c r="DZ209" s="136"/>
      <c r="EA209" s="136"/>
      <c r="EB209" s="136"/>
      <c r="EC209" s="136"/>
      <c r="ED209" s="136"/>
      <c r="EE209" s="136"/>
      <c r="EF209" s="136"/>
      <c r="EG209" s="136"/>
      <c r="EH209" s="136"/>
      <c r="EI209" s="136"/>
      <c r="EJ209" s="136"/>
      <c r="EK209" s="136"/>
      <c r="EL209" s="136"/>
      <c r="EM209" s="136"/>
      <c r="EN209" s="136"/>
      <c r="EO209" s="136"/>
      <c r="EP209" s="136"/>
      <c r="EQ209" s="136"/>
      <c r="ER209" s="136"/>
      <c r="ES209" s="136"/>
      <c r="ET209" s="136"/>
      <c r="EU209" s="136"/>
      <c r="EV209" s="136"/>
      <c r="EW209" s="136"/>
      <c r="EX209" s="136"/>
      <c r="EY209" s="136"/>
      <c r="EZ209" s="136"/>
      <c r="FA209" s="136"/>
      <c r="FB209" s="136"/>
      <c r="FC209" s="136"/>
      <c r="FD209" s="136"/>
      <c r="FE209" s="136"/>
      <c r="FF209" s="136"/>
      <c r="FG209" s="136"/>
      <c r="FH209" s="136"/>
      <c r="FI209" s="136"/>
      <c r="FJ209" s="136"/>
      <c r="FK209" s="136"/>
      <c r="FL209" s="136"/>
      <c r="FM209" s="136"/>
      <c r="FN209" s="136"/>
      <c r="FO209" s="136"/>
      <c r="FP209" s="136"/>
      <c r="FQ209" s="136"/>
      <c r="FR209" s="136"/>
      <c r="FS209" s="136"/>
      <c r="FT209" s="136"/>
      <c r="FU209" s="136"/>
      <c r="FV209" s="136"/>
      <c r="FW209" s="136"/>
      <c r="FX209" s="136"/>
      <c r="FY209" s="136"/>
      <c r="FZ209" s="136"/>
      <c r="GA209" s="136"/>
      <c r="GB209" s="136"/>
      <c r="GC209" s="136"/>
      <c r="GD209" s="136"/>
      <c r="GE209" s="136"/>
      <c r="GF209" s="136"/>
      <c r="GG209" s="136"/>
      <c r="GH209" s="136"/>
      <c r="GI209" s="136"/>
      <c r="GJ209" s="136"/>
      <c r="GK209" s="136"/>
      <c r="GL209" s="136"/>
      <c r="GM209" s="136"/>
      <c r="GN209" s="136"/>
      <c r="GO209" s="136"/>
      <c r="GP209" s="136"/>
      <c r="GQ209" s="136"/>
      <c r="GR209" s="136"/>
      <c r="GS209" s="136"/>
      <c r="GT209" s="136"/>
      <c r="GU209" s="136"/>
      <c r="GV209" s="136"/>
      <c r="GW209" s="136"/>
      <c r="GX209" s="136"/>
      <c r="GY209" s="136"/>
      <c r="GZ209" s="136"/>
      <c r="HA209" s="136"/>
      <c r="HB209" s="136"/>
      <c r="HC209" s="136"/>
      <c r="HD209" s="136"/>
      <c r="HE209" s="136"/>
      <c r="HF209" s="136"/>
      <c r="HG209" s="136"/>
      <c r="HH209" s="136"/>
      <c r="HI209" s="136"/>
      <c r="HJ209" s="136"/>
      <c r="HK209" s="136"/>
      <c r="HL209" s="136"/>
      <c r="HM209" s="136"/>
      <c r="HN209" s="136"/>
      <c r="HO209" s="136"/>
      <c r="HP209" s="136"/>
      <c r="HQ209" s="136"/>
      <c r="HR209" s="136"/>
      <c r="HS209" s="136"/>
      <c r="HT209" s="136"/>
      <c r="HU209" s="136"/>
      <c r="HV209" s="136"/>
      <c r="HW209" s="136"/>
      <c r="HX209" s="136"/>
      <c r="HY209" s="136"/>
      <c r="HZ209" s="136"/>
      <c r="IA209" s="136"/>
      <c r="IB209" s="136"/>
      <c r="IC209" s="136"/>
      <c r="ID209" s="136"/>
      <c r="IE209" s="136"/>
      <c r="IF209" s="136"/>
      <c r="IG209" s="136"/>
      <c r="IH209" s="136"/>
      <c r="II209" s="136"/>
      <c r="IJ209" s="136"/>
      <c r="IK209" s="136"/>
      <c r="IL209" s="136"/>
      <c r="IM209" s="136"/>
      <c r="IN209" s="136"/>
      <c r="IO209" s="136"/>
      <c r="IP209" s="136"/>
      <c r="IQ209" s="136"/>
      <c r="IR209" s="136"/>
      <c r="IS209" s="136"/>
      <c r="IT209" s="136"/>
      <c r="IU209" s="136"/>
    </row>
    <row r="210" spans="1:255" ht="64.5" customHeight="1" x14ac:dyDescent="0.2">
      <c r="A210" s="242" t="str">
        <f>'HECVAT - Full'!A210</f>
        <v>MAPP-05</v>
      </c>
      <c r="B210" s="242" t="str">
        <f>VLOOKUP(A210,'HECVAT - Full'!A$24:B$312,2,FALSE)</f>
        <v>Is Institution's data encrypted in transport?</v>
      </c>
      <c r="C210" s="245" t="s">
        <v>2916</v>
      </c>
      <c r="D210" s="250" t="s">
        <v>2917</v>
      </c>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6"/>
      <c r="AN210" s="136"/>
      <c r="AO210" s="136"/>
      <c r="AP210" s="136"/>
      <c r="AQ210" s="136"/>
      <c r="AR210" s="136"/>
      <c r="AS210" s="136"/>
      <c r="AT210" s="136"/>
      <c r="AU210" s="136"/>
      <c r="AV210" s="136"/>
      <c r="AW210" s="136"/>
      <c r="AX210" s="136"/>
      <c r="AY210" s="136"/>
      <c r="AZ210" s="136"/>
      <c r="BA210" s="136"/>
      <c r="BB210" s="136"/>
      <c r="BC210" s="136"/>
      <c r="BD210" s="136"/>
      <c r="BE210" s="136"/>
      <c r="BF210" s="136"/>
      <c r="BG210" s="136"/>
      <c r="BH210" s="136"/>
      <c r="BI210" s="136"/>
      <c r="BJ210" s="136"/>
      <c r="BK210" s="136"/>
      <c r="BL210" s="136"/>
      <c r="BM210" s="136"/>
      <c r="BN210" s="136"/>
      <c r="BO210" s="136"/>
      <c r="BP210" s="136"/>
      <c r="BQ210" s="136"/>
      <c r="BR210" s="136"/>
      <c r="BS210" s="136"/>
      <c r="BT210" s="136"/>
      <c r="BU210" s="136"/>
      <c r="BV210" s="136"/>
      <c r="BW210" s="136"/>
      <c r="BX210" s="136"/>
      <c r="BY210" s="136"/>
      <c r="BZ210" s="136"/>
      <c r="CA210" s="136"/>
      <c r="CB210" s="136"/>
      <c r="CC210" s="136"/>
      <c r="CD210" s="136"/>
      <c r="CE210" s="136"/>
      <c r="CF210" s="136"/>
      <c r="CG210" s="136"/>
      <c r="CH210" s="136"/>
      <c r="CI210" s="136"/>
      <c r="CJ210" s="136"/>
      <c r="CK210" s="136"/>
      <c r="CL210" s="136"/>
      <c r="CM210" s="136"/>
      <c r="CN210" s="136"/>
      <c r="CO210" s="136"/>
      <c r="CP210" s="136"/>
      <c r="CQ210" s="136"/>
      <c r="CR210" s="136"/>
      <c r="CS210" s="136"/>
      <c r="CT210" s="136"/>
      <c r="CU210" s="136"/>
      <c r="CV210" s="136"/>
      <c r="CW210" s="136"/>
      <c r="CX210" s="136"/>
      <c r="CY210" s="136"/>
      <c r="CZ210" s="136"/>
      <c r="DA210" s="136"/>
      <c r="DB210" s="136"/>
      <c r="DC210" s="136"/>
      <c r="DD210" s="136"/>
      <c r="DE210" s="136"/>
      <c r="DF210" s="136"/>
      <c r="DG210" s="136"/>
      <c r="DH210" s="136"/>
      <c r="DI210" s="136"/>
      <c r="DJ210" s="136"/>
      <c r="DK210" s="136"/>
      <c r="DL210" s="136"/>
      <c r="DM210" s="136"/>
      <c r="DN210" s="136"/>
      <c r="DO210" s="136"/>
      <c r="DP210" s="136"/>
      <c r="DQ210" s="136"/>
      <c r="DR210" s="136"/>
      <c r="DS210" s="136"/>
      <c r="DT210" s="136"/>
      <c r="DU210" s="136"/>
      <c r="DV210" s="136"/>
      <c r="DW210" s="136"/>
      <c r="DX210" s="136"/>
      <c r="DY210" s="136"/>
      <c r="DZ210" s="136"/>
      <c r="EA210" s="136"/>
      <c r="EB210" s="136"/>
      <c r="EC210" s="136"/>
      <c r="ED210" s="136"/>
      <c r="EE210" s="136"/>
      <c r="EF210" s="136"/>
      <c r="EG210" s="136"/>
      <c r="EH210" s="136"/>
      <c r="EI210" s="136"/>
      <c r="EJ210" s="136"/>
      <c r="EK210" s="136"/>
      <c r="EL210" s="136"/>
      <c r="EM210" s="136"/>
      <c r="EN210" s="136"/>
      <c r="EO210" s="136"/>
      <c r="EP210" s="136"/>
      <c r="EQ210" s="136"/>
      <c r="ER210" s="136"/>
      <c r="ES210" s="136"/>
      <c r="ET210" s="136"/>
      <c r="EU210" s="136"/>
      <c r="EV210" s="136"/>
      <c r="EW210" s="136"/>
      <c r="EX210" s="136"/>
      <c r="EY210" s="136"/>
      <c r="EZ210" s="136"/>
      <c r="FA210" s="136"/>
      <c r="FB210" s="136"/>
      <c r="FC210" s="136"/>
      <c r="FD210" s="136"/>
      <c r="FE210" s="136"/>
      <c r="FF210" s="136"/>
      <c r="FG210" s="136"/>
      <c r="FH210" s="136"/>
      <c r="FI210" s="136"/>
      <c r="FJ210" s="136"/>
      <c r="FK210" s="136"/>
      <c r="FL210" s="136"/>
      <c r="FM210" s="136"/>
      <c r="FN210" s="136"/>
      <c r="FO210" s="136"/>
      <c r="FP210" s="136"/>
      <c r="FQ210" s="136"/>
      <c r="FR210" s="136"/>
      <c r="FS210" s="136"/>
      <c r="FT210" s="136"/>
      <c r="FU210" s="136"/>
      <c r="FV210" s="136"/>
      <c r="FW210" s="136"/>
      <c r="FX210" s="136"/>
      <c r="FY210" s="136"/>
      <c r="FZ210" s="136"/>
      <c r="GA210" s="136"/>
      <c r="GB210" s="136"/>
      <c r="GC210" s="136"/>
      <c r="GD210" s="136"/>
      <c r="GE210" s="136"/>
      <c r="GF210" s="136"/>
      <c r="GG210" s="136"/>
      <c r="GH210" s="136"/>
      <c r="GI210" s="136"/>
      <c r="GJ210" s="136"/>
      <c r="GK210" s="136"/>
      <c r="GL210" s="136"/>
      <c r="GM210" s="136"/>
      <c r="GN210" s="136"/>
      <c r="GO210" s="136"/>
      <c r="GP210" s="136"/>
      <c r="GQ210" s="136"/>
      <c r="GR210" s="136"/>
      <c r="GS210" s="136"/>
      <c r="GT210" s="136"/>
      <c r="GU210" s="136"/>
      <c r="GV210" s="136"/>
      <c r="GW210" s="136"/>
      <c r="GX210" s="136"/>
      <c r="GY210" s="136"/>
      <c r="GZ210" s="136"/>
      <c r="HA210" s="136"/>
      <c r="HB210" s="136"/>
      <c r="HC210" s="136"/>
      <c r="HD210" s="136"/>
      <c r="HE210" s="136"/>
      <c r="HF210" s="136"/>
      <c r="HG210" s="136"/>
      <c r="HH210" s="136"/>
      <c r="HI210" s="136"/>
      <c r="HJ210" s="136"/>
      <c r="HK210" s="136"/>
      <c r="HL210" s="136"/>
      <c r="HM210" s="136"/>
      <c r="HN210" s="136"/>
      <c r="HO210" s="136"/>
      <c r="HP210" s="136"/>
      <c r="HQ210" s="136"/>
      <c r="HR210" s="136"/>
      <c r="HS210" s="136"/>
      <c r="HT210" s="136"/>
      <c r="HU210" s="136"/>
      <c r="HV210" s="136"/>
      <c r="HW210" s="136"/>
      <c r="HX210" s="136"/>
      <c r="HY210" s="136"/>
      <c r="HZ210" s="136"/>
      <c r="IA210" s="136"/>
      <c r="IB210" s="136"/>
      <c r="IC210" s="136"/>
      <c r="ID210" s="136"/>
      <c r="IE210" s="136"/>
      <c r="IF210" s="136"/>
      <c r="IG210" s="136"/>
      <c r="IH210" s="136"/>
      <c r="II210" s="136"/>
      <c r="IJ210" s="136"/>
      <c r="IK210" s="136"/>
      <c r="IL210" s="136"/>
      <c r="IM210" s="136"/>
      <c r="IN210" s="136"/>
      <c r="IO210" s="136"/>
      <c r="IP210" s="136"/>
      <c r="IQ210" s="136"/>
      <c r="IR210" s="136"/>
      <c r="IS210" s="136"/>
      <c r="IT210" s="136"/>
      <c r="IU210" s="136"/>
    </row>
    <row r="211" spans="1:255" ht="64.5" customHeight="1" x14ac:dyDescent="0.2">
      <c r="A211" s="242" t="str">
        <f>'HECVAT - Full'!A211</f>
        <v>MAPP-06</v>
      </c>
      <c r="B211" s="242" t="str">
        <f>VLOOKUP(A211,'HECVAT - Full'!A$24:B$312,2,FALSE)</f>
        <v>Is Institution's data encrypted in storage? (e.g. disk encryption, at-rest)</v>
      </c>
      <c r="C211" s="245" t="s">
        <v>2727</v>
      </c>
      <c r="D211" s="250" t="s">
        <v>2819</v>
      </c>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6"/>
      <c r="AN211" s="136"/>
      <c r="AO211" s="136"/>
      <c r="AP211" s="136"/>
      <c r="AQ211" s="136"/>
      <c r="AR211" s="136"/>
      <c r="AS211" s="136"/>
      <c r="AT211" s="136"/>
      <c r="AU211" s="136"/>
      <c r="AV211" s="136"/>
      <c r="AW211" s="136"/>
      <c r="AX211" s="136"/>
      <c r="AY211" s="136"/>
      <c r="AZ211" s="136"/>
      <c r="BA211" s="136"/>
      <c r="BB211" s="136"/>
      <c r="BC211" s="136"/>
      <c r="BD211" s="136"/>
      <c r="BE211" s="136"/>
      <c r="BF211" s="136"/>
      <c r="BG211" s="136"/>
      <c r="BH211" s="136"/>
      <c r="BI211" s="136"/>
      <c r="BJ211" s="136"/>
      <c r="BK211" s="136"/>
      <c r="BL211" s="136"/>
      <c r="BM211" s="136"/>
      <c r="BN211" s="136"/>
      <c r="BO211" s="136"/>
      <c r="BP211" s="136"/>
      <c r="BQ211" s="136"/>
      <c r="BR211" s="136"/>
      <c r="BS211" s="136"/>
      <c r="BT211" s="136"/>
      <c r="BU211" s="136"/>
      <c r="BV211" s="136"/>
      <c r="BW211" s="136"/>
      <c r="BX211" s="136"/>
      <c r="BY211" s="136"/>
      <c r="BZ211" s="136"/>
      <c r="CA211" s="136"/>
      <c r="CB211" s="136"/>
      <c r="CC211" s="136"/>
      <c r="CD211" s="136"/>
      <c r="CE211" s="136"/>
      <c r="CF211" s="136"/>
      <c r="CG211" s="136"/>
      <c r="CH211" s="136"/>
      <c r="CI211" s="136"/>
      <c r="CJ211" s="136"/>
      <c r="CK211" s="136"/>
      <c r="CL211" s="136"/>
      <c r="CM211" s="136"/>
      <c r="CN211" s="136"/>
      <c r="CO211" s="136"/>
      <c r="CP211" s="136"/>
      <c r="CQ211" s="136"/>
      <c r="CR211" s="136"/>
      <c r="CS211" s="136"/>
      <c r="CT211" s="136"/>
      <c r="CU211" s="136"/>
      <c r="CV211" s="136"/>
      <c r="CW211" s="136"/>
      <c r="CX211" s="136"/>
      <c r="CY211" s="136"/>
      <c r="CZ211" s="136"/>
      <c r="DA211" s="136"/>
      <c r="DB211" s="136"/>
      <c r="DC211" s="136"/>
      <c r="DD211" s="136"/>
      <c r="DE211" s="136"/>
      <c r="DF211" s="136"/>
      <c r="DG211" s="136"/>
      <c r="DH211" s="136"/>
      <c r="DI211" s="136"/>
      <c r="DJ211" s="136"/>
      <c r="DK211" s="136"/>
      <c r="DL211" s="136"/>
      <c r="DM211" s="136"/>
      <c r="DN211" s="136"/>
      <c r="DO211" s="136"/>
      <c r="DP211" s="136"/>
      <c r="DQ211" s="136"/>
      <c r="DR211" s="136"/>
      <c r="DS211" s="136"/>
      <c r="DT211" s="136"/>
      <c r="DU211" s="136"/>
      <c r="DV211" s="136"/>
      <c r="DW211" s="136"/>
      <c r="DX211" s="136"/>
      <c r="DY211" s="136"/>
      <c r="DZ211" s="136"/>
      <c r="EA211" s="136"/>
      <c r="EB211" s="136"/>
      <c r="EC211" s="136"/>
      <c r="ED211" s="136"/>
      <c r="EE211" s="136"/>
      <c r="EF211" s="136"/>
      <c r="EG211" s="136"/>
      <c r="EH211" s="136"/>
      <c r="EI211" s="136"/>
      <c r="EJ211" s="136"/>
      <c r="EK211" s="136"/>
      <c r="EL211" s="136"/>
      <c r="EM211" s="136"/>
      <c r="EN211" s="136"/>
      <c r="EO211" s="136"/>
      <c r="EP211" s="136"/>
      <c r="EQ211" s="136"/>
      <c r="ER211" s="136"/>
      <c r="ES211" s="136"/>
      <c r="ET211" s="136"/>
      <c r="EU211" s="136"/>
      <c r="EV211" s="136"/>
      <c r="EW211" s="136"/>
      <c r="EX211" s="136"/>
      <c r="EY211" s="136"/>
      <c r="EZ211" s="136"/>
      <c r="FA211" s="136"/>
      <c r="FB211" s="136"/>
      <c r="FC211" s="136"/>
      <c r="FD211" s="136"/>
      <c r="FE211" s="136"/>
      <c r="FF211" s="136"/>
      <c r="FG211" s="136"/>
      <c r="FH211" s="136"/>
      <c r="FI211" s="136"/>
      <c r="FJ211" s="136"/>
      <c r="FK211" s="136"/>
      <c r="FL211" s="136"/>
      <c r="FM211" s="136"/>
      <c r="FN211" s="136"/>
      <c r="FO211" s="136"/>
      <c r="FP211" s="136"/>
      <c r="FQ211" s="136"/>
      <c r="FR211" s="136"/>
      <c r="FS211" s="136"/>
      <c r="FT211" s="136"/>
      <c r="FU211" s="136"/>
      <c r="FV211" s="136"/>
      <c r="FW211" s="136"/>
      <c r="FX211" s="136"/>
      <c r="FY211" s="136"/>
      <c r="FZ211" s="136"/>
      <c r="GA211" s="136"/>
      <c r="GB211" s="136"/>
      <c r="GC211" s="136"/>
      <c r="GD211" s="136"/>
      <c r="GE211" s="136"/>
      <c r="GF211" s="136"/>
      <c r="GG211" s="136"/>
      <c r="GH211" s="136"/>
      <c r="GI211" s="136"/>
      <c r="GJ211" s="136"/>
      <c r="GK211" s="136"/>
      <c r="GL211" s="136"/>
      <c r="GM211" s="136"/>
      <c r="GN211" s="136"/>
      <c r="GO211" s="136"/>
      <c r="GP211" s="136"/>
      <c r="GQ211" s="136"/>
      <c r="GR211" s="136"/>
      <c r="GS211" s="136"/>
      <c r="GT211" s="136"/>
      <c r="GU211" s="136"/>
      <c r="GV211" s="136"/>
      <c r="GW211" s="136"/>
      <c r="GX211" s="136"/>
      <c r="GY211" s="136"/>
      <c r="GZ211" s="136"/>
      <c r="HA211" s="136"/>
      <c r="HB211" s="136"/>
      <c r="HC211" s="136"/>
      <c r="HD211" s="136"/>
      <c r="HE211" s="136"/>
      <c r="HF211" s="136"/>
      <c r="HG211" s="136"/>
      <c r="HH211" s="136"/>
      <c r="HI211" s="136"/>
      <c r="HJ211" s="136"/>
      <c r="HK211" s="136"/>
      <c r="HL211" s="136"/>
      <c r="HM211" s="136"/>
      <c r="HN211" s="136"/>
      <c r="HO211" s="136"/>
      <c r="HP211" s="136"/>
      <c r="HQ211" s="136"/>
      <c r="HR211" s="136"/>
      <c r="HS211" s="136"/>
      <c r="HT211" s="136"/>
      <c r="HU211" s="136"/>
      <c r="HV211" s="136"/>
      <c r="HW211" s="136"/>
      <c r="HX211" s="136"/>
      <c r="HY211" s="136"/>
      <c r="HZ211" s="136"/>
      <c r="IA211" s="136"/>
      <c r="IB211" s="136"/>
      <c r="IC211" s="136"/>
      <c r="ID211" s="136"/>
      <c r="IE211" s="136"/>
      <c r="IF211" s="136"/>
      <c r="IG211" s="136"/>
      <c r="IH211" s="136"/>
      <c r="II211" s="136"/>
      <c r="IJ211" s="136"/>
      <c r="IK211" s="136"/>
      <c r="IL211" s="136"/>
      <c r="IM211" s="136"/>
      <c r="IN211" s="136"/>
      <c r="IO211" s="136"/>
      <c r="IP211" s="136"/>
      <c r="IQ211" s="136"/>
      <c r="IR211" s="136"/>
      <c r="IS211" s="136"/>
      <c r="IT211" s="136"/>
      <c r="IU211" s="136"/>
    </row>
    <row r="212" spans="1:255" ht="99.75" x14ac:dyDescent="0.2">
      <c r="A212" s="242" t="str">
        <f>'HECVAT - Full'!A212</f>
        <v>MAPP-07</v>
      </c>
      <c r="B212" s="242" t="str">
        <f>VLOOKUP(A212,'HECVAT - Full'!A$24:B$312,2,FALSE)</f>
        <v>Does the mobile application support Kerberos, CAS, or Active Directory authentication?</v>
      </c>
      <c r="C212" s="275" t="s">
        <v>3018</v>
      </c>
      <c r="D212" s="245" t="s">
        <v>2760</v>
      </c>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6"/>
      <c r="AN212" s="136"/>
      <c r="AO212" s="136"/>
      <c r="AP212" s="136"/>
      <c r="AQ212" s="136"/>
      <c r="AR212" s="136"/>
      <c r="AS212" s="136"/>
      <c r="AT212" s="136"/>
      <c r="AU212" s="136"/>
      <c r="AV212" s="136"/>
      <c r="AW212" s="136"/>
      <c r="AX212" s="136"/>
      <c r="AY212" s="136"/>
      <c r="AZ212" s="136"/>
      <c r="BA212" s="136"/>
      <c r="BB212" s="136"/>
      <c r="BC212" s="136"/>
      <c r="BD212" s="136"/>
      <c r="BE212" s="136"/>
      <c r="BF212" s="136"/>
      <c r="BG212" s="136"/>
      <c r="BH212" s="136"/>
      <c r="BI212" s="136"/>
      <c r="BJ212" s="136"/>
      <c r="BK212" s="136"/>
      <c r="BL212" s="136"/>
      <c r="BM212" s="136"/>
      <c r="BN212" s="136"/>
      <c r="BO212" s="136"/>
      <c r="BP212" s="136"/>
      <c r="BQ212" s="136"/>
      <c r="BR212" s="136"/>
      <c r="BS212" s="136"/>
      <c r="BT212" s="136"/>
      <c r="BU212" s="136"/>
      <c r="BV212" s="136"/>
      <c r="BW212" s="136"/>
      <c r="BX212" s="136"/>
      <c r="BY212" s="136"/>
      <c r="BZ212" s="136"/>
      <c r="CA212" s="136"/>
      <c r="CB212" s="136"/>
      <c r="CC212" s="136"/>
      <c r="CD212" s="136"/>
      <c r="CE212" s="136"/>
      <c r="CF212" s="136"/>
      <c r="CG212" s="136"/>
      <c r="CH212" s="136"/>
      <c r="CI212" s="136"/>
      <c r="CJ212" s="136"/>
      <c r="CK212" s="136"/>
      <c r="CL212" s="136"/>
      <c r="CM212" s="136"/>
      <c r="CN212" s="136"/>
      <c r="CO212" s="136"/>
      <c r="CP212" s="136"/>
      <c r="CQ212" s="136"/>
      <c r="CR212" s="136"/>
      <c r="CS212" s="136"/>
      <c r="CT212" s="136"/>
      <c r="CU212" s="136"/>
      <c r="CV212" s="136"/>
      <c r="CW212" s="136"/>
      <c r="CX212" s="136"/>
      <c r="CY212" s="136"/>
      <c r="CZ212" s="136"/>
      <c r="DA212" s="136"/>
      <c r="DB212" s="136"/>
      <c r="DC212" s="136"/>
      <c r="DD212" s="136"/>
      <c r="DE212" s="136"/>
      <c r="DF212" s="136"/>
      <c r="DG212" s="136"/>
      <c r="DH212" s="136"/>
      <c r="DI212" s="136"/>
      <c r="DJ212" s="136"/>
      <c r="DK212" s="136"/>
      <c r="DL212" s="136"/>
      <c r="DM212" s="136"/>
      <c r="DN212" s="136"/>
      <c r="DO212" s="136"/>
      <c r="DP212" s="136"/>
      <c r="DQ212" s="136"/>
      <c r="DR212" s="136"/>
      <c r="DS212" s="136"/>
      <c r="DT212" s="136"/>
      <c r="DU212" s="136"/>
      <c r="DV212" s="136"/>
      <c r="DW212" s="136"/>
      <c r="DX212" s="136"/>
      <c r="DY212" s="136"/>
      <c r="DZ212" s="136"/>
      <c r="EA212" s="136"/>
      <c r="EB212" s="136"/>
      <c r="EC212" s="136"/>
      <c r="ED212" s="136"/>
      <c r="EE212" s="136"/>
      <c r="EF212" s="136"/>
      <c r="EG212" s="136"/>
      <c r="EH212" s="136"/>
      <c r="EI212" s="136"/>
      <c r="EJ212" s="136"/>
      <c r="EK212" s="136"/>
      <c r="EL212" s="136"/>
      <c r="EM212" s="136"/>
      <c r="EN212" s="136"/>
      <c r="EO212" s="136"/>
      <c r="EP212" s="136"/>
      <c r="EQ212" s="136"/>
      <c r="ER212" s="136"/>
      <c r="ES212" s="136"/>
      <c r="ET212" s="136"/>
      <c r="EU212" s="136"/>
      <c r="EV212" s="136"/>
      <c r="EW212" s="136"/>
      <c r="EX212" s="136"/>
      <c r="EY212" s="136"/>
      <c r="EZ212" s="136"/>
      <c r="FA212" s="136"/>
      <c r="FB212" s="136"/>
      <c r="FC212" s="136"/>
      <c r="FD212" s="136"/>
      <c r="FE212" s="136"/>
      <c r="FF212" s="136"/>
      <c r="FG212" s="136"/>
      <c r="FH212" s="136"/>
      <c r="FI212" s="136"/>
      <c r="FJ212" s="136"/>
      <c r="FK212" s="136"/>
      <c r="FL212" s="136"/>
      <c r="FM212" s="136"/>
      <c r="FN212" s="136"/>
      <c r="FO212" s="136"/>
      <c r="FP212" s="136"/>
      <c r="FQ212" s="136"/>
      <c r="FR212" s="136"/>
      <c r="FS212" s="136"/>
      <c r="FT212" s="136"/>
      <c r="FU212" s="136"/>
      <c r="FV212" s="136"/>
      <c r="FW212" s="136"/>
      <c r="FX212" s="136"/>
      <c r="FY212" s="136"/>
      <c r="FZ212" s="136"/>
      <c r="GA212" s="136"/>
      <c r="GB212" s="136"/>
      <c r="GC212" s="136"/>
      <c r="GD212" s="136"/>
      <c r="GE212" s="136"/>
      <c r="GF212" s="136"/>
      <c r="GG212" s="136"/>
      <c r="GH212" s="136"/>
      <c r="GI212" s="136"/>
      <c r="GJ212" s="136"/>
      <c r="GK212" s="136"/>
      <c r="GL212" s="136"/>
      <c r="GM212" s="136"/>
      <c r="GN212" s="136"/>
      <c r="GO212" s="136"/>
      <c r="GP212" s="136"/>
      <c r="GQ212" s="136"/>
      <c r="GR212" s="136"/>
      <c r="GS212" s="136"/>
      <c r="GT212" s="136"/>
      <c r="GU212" s="136"/>
      <c r="GV212" s="136"/>
      <c r="GW212" s="136"/>
      <c r="GX212" s="136"/>
      <c r="GY212" s="136"/>
      <c r="GZ212" s="136"/>
      <c r="HA212" s="136"/>
      <c r="HB212" s="136"/>
      <c r="HC212" s="136"/>
      <c r="HD212" s="136"/>
      <c r="HE212" s="136"/>
      <c r="HF212" s="136"/>
      <c r="HG212" s="136"/>
      <c r="HH212" s="136"/>
      <c r="HI212" s="136"/>
      <c r="HJ212" s="136"/>
      <c r="HK212" s="136"/>
      <c r="HL212" s="136"/>
      <c r="HM212" s="136"/>
      <c r="HN212" s="136"/>
      <c r="HO212" s="136"/>
      <c r="HP212" s="136"/>
      <c r="HQ212" s="136"/>
      <c r="HR212" s="136"/>
      <c r="HS212" s="136"/>
      <c r="HT212" s="136"/>
      <c r="HU212" s="136"/>
      <c r="HV212" s="136"/>
      <c r="HW212" s="136"/>
      <c r="HX212" s="136"/>
      <c r="HY212" s="136"/>
      <c r="HZ212" s="136"/>
      <c r="IA212" s="136"/>
      <c r="IB212" s="136"/>
      <c r="IC212" s="136"/>
      <c r="ID212" s="136"/>
      <c r="IE212" s="136"/>
      <c r="IF212" s="136"/>
      <c r="IG212" s="136"/>
      <c r="IH212" s="136"/>
      <c r="II212" s="136"/>
      <c r="IJ212" s="136"/>
      <c r="IK212" s="136"/>
      <c r="IL212" s="136"/>
      <c r="IM212" s="136"/>
      <c r="IN212" s="136"/>
      <c r="IO212" s="136"/>
      <c r="IP212" s="136"/>
      <c r="IQ212" s="136"/>
      <c r="IR212" s="136"/>
      <c r="IS212" s="136"/>
      <c r="IT212" s="136"/>
      <c r="IU212" s="136"/>
    </row>
    <row r="213" spans="1:255" ht="85.5" x14ac:dyDescent="0.2">
      <c r="A213" s="242" t="str">
        <f>'HECVAT - Full'!A213</f>
        <v>MAPP-08</v>
      </c>
      <c r="B213" s="242" t="str">
        <f>VLOOKUP(A213,'HECVAT - Full'!A$24:B$312,2,FALSE)</f>
        <v>Will any of these systems be implemented on systems hosting the Institution's data?</v>
      </c>
      <c r="C213" s="253" t="s">
        <v>2769</v>
      </c>
      <c r="D213" s="253" t="s">
        <v>2770</v>
      </c>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6"/>
      <c r="AN213" s="136"/>
      <c r="AO213" s="136"/>
      <c r="AP213" s="136"/>
      <c r="AQ213" s="136"/>
      <c r="AR213" s="136"/>
      <c r="AS213" s="136"/>
      <c r="AT213" s="136"/>
      <c r="AU213" s="136"/>
      <c r="AV213" s="136"/>
      <c r="AW213" s="136"/>
      <c r="AX213" s="136"/>
      <c r="AY213" s="136"/>
      <c r="AZ213" s="136"/>
      <c r="BA213" s="136"/>
      <c r="BB213" s="136"/>
      <c r="BC213" s="136"/>
      <c r="BD213" s="136"/>
      <c r="BE213" s="136"/>
      <c r="BF213" s="136"/>
      <c r="BG213" s="136"/>
      <c r="BH213" s="136"/>
      <c r="BI213" s="136"/>
      <c r="BJ213" s="136"/>
      <c r="BK213" s="136"/>
      <c r="BL213" s="136"/>
      <c r="BM213" s="136"/>
      <c r="BN213" s="136"/>
      <c r="BO213" s="136"/>
      <c r="BP213" s="136"/>
      <c r="BQ213" s="136"/>
      <c r="BR213" s="136"/>
      <c r="BS213" s="136"/>
      <c r="BT213" s="136"/>
      <c r="BU213" s="136"/>
      <c r="BV213" s="136"/>
      <c r="BW213" s="136"/>
      <c r="BX213" s="136"/>
      <c r="BY213" s="136"/>
      <c r="BZ213" s="136"/>
      <c r="CA213" s="136"/>
      <c r="CB213" s="136"/>
      <c r="CC213" s="136"/>
      <c r="CD213" s="136"/>
      <c r="CE213" s="136"/>
      <c r="CF213" s="136"/>
      <c r="CG213" s="136"/>
      <c r="CH213" s="136"/>
      <c r="CI213" s="136"/>
      <c r="CJ213" s="136"/>
      <c r="CK213" s="136"/>
      <c r="CL213" s="136"/>
      <c r="CM213" s="136"/>
      <c r="CN213" s="136"/>
      <c r="CO213" s="136"/>
      <c r="CP213" s="136"/>
      <c r="CQ213" s="136"/>
      <c r="CR213" s="136"/>
      <c r="CS213" s="136"/>
      <c r="CT213" s="136"/>
      <c r="CU213" s="136"/>
      <c r="CV213" s="136"/>
      <c r="CW213" s="136"/>
      <c r="CX213" s="136"/>
      <c r="CY213" s="136"/>
      <c r="CZ213" s="136"/>
      <c r="DA213" s="136"/>
      <c r="DB213" s="136"/>
      <c r="DC213" s="136"/>
      <c r="DD213" s="136"/>
      <c r="DE213" s="136"/>
      <c r="DF213" s="136"/>
      <c r="DG213" s="136"/>
      <c r="DH213" s="136"/>
      <c r="DI213" s="136"/>
      <c r="DJ213" s="136"/>
      <c r="DK213" s="136"/>
      <c r="DL213" s="136"/>
      <c r="DM213" s="136"/>
      <c r="DN213" s="136"/>
      <c r="DO213" s="136"/>
      <c r="DP213" s="136"/>
      <c r="DQ213" s="136"/>
      <c r="DR213" s="136"/>
      <c r="DS213" s="136"/>
      <c r="DT213" s="136"/>
      <c r="DU213" s="136"/>
      <c r="DV213" s="136"/>
      <c r="DW213" s="136"/>
      <c r="DX213" s="136"/>
      <c r="DY213" s="136"/>
      <c r="DZ213" s="136"/>
      <c r="EA213" s="136"/>
      <c r="EB213" s="136"/>
      <c r="EC213" s="136"/>
      <c r="ED213" s="136"/>
      <c r="EE213" s="136"/>
      <c r="EF213" s="136"/>
      <c r="EG213" s="136"/>
      <c r="EH213" s="136"/>
      <c r="EI213" s="136"/>
      <c r="EJ213" s="136"/>
      <c r="EK213" s="136"/>
      <c r="EL213" s="136"/>
      <c r="EM213" s="136"/>
      <c r="EN213" s="136"/>
      <c r="EO213" s="136"/>
      <c r="EP213" s="136"/>
      <c r="EQ213" s="136"/>
      <c r="ER213" s="136"/>
      <c r="ES213" s="136"/>
      <c r="ET213" s="136"/>
      <c r="EU213" s="136"/>
      <c r="EV213" s="136"/>
      <c r="EW213" s="136"/>
      <c r="EX213" s="136"/>
      <c r="EY213" s="136"/>
      <c r="EZ213" s="136"/>
      <c r="FA213" s="136"/>
      <c r="FB213" s="136"/>
      <c r="FC213" s="136"/>
      <c r="FD213" s="136"/>
      <c r="FE213" s="136"/>
      <c r="FF213" s="136"/>
      <c r="FG213" s="136"/>
      <c r="FH213" s="136"/>
      <c r="FI213" s="136"/>
      <c r="FJ213" s="136"/>
      <c r="FK213" s="136"/>
      <c r="FL213" s="136"/>
      <c r="FM213" s="136"/>
      <c r="FN213" s="136"/>
      <c r="FO213" s="136"/>
      <c r="FP213" s="136"/>
      <c r="FQ213" s="136"/>
      <c r="FR213" s="136"/>
      <c r="FS213" s="136"/>
      <c r="FT213" s="136"/>
      <c r="FU213" s="136"/>
      <c r="FV213" s="136"/>
      <c r="FW213" s="136"/>
      <c r="FX213" s="136"/>
      <c r="FY213" s="136"/>
      <c r="FZ213" s="136"/>
      <c r="GA213" s="136"/>
      <c r="GB213" s="136"/>
      <c r="GC213" s="136"/>
      <c r="GD213" s="136"/>
      <c r="GE213" s="136"/>
      <c r="GF213" s="136"/>
      <c r="GG213" s="136"/>
      <c r="GH213" s="136"/>
      <c r="GI213" s="136"/>
      <c r="GJ213" s="136"/>
      <c r="GK213" s="136"/>
      <c r="GL213" s="136"/>
      <c r="GM213" s="136"/>
      <c r="GN213" s="136"/>
      <c r="GO213" s="136"/>
      <c r="GP213" s="136"/>
      <c r="GQ213" s="136"/>
      <c r="GR213" s="136"/>
      <c r="GS213" s="136"/>
      <c r="GT213" s="136"/>
      <c r="GU213" s="136"/>
      <c r="GV213" s="136"/>
      <c r="GW213" s="136"/>
      <c r="GX213" s="136"/>
      <c r="GY213" s="136"/>
      <c r="GZ213" s="136"/>
      <c r="HA213" s="136"/>
      <c r="HB213" s="136"/>
      <c r="HC213" s="136"/>
      <c r="HD213" s="136"/>
      <c r="HE213" s="136"/>
      <c r="HF213" s="136"/>
      <c r="HG213" s="136"/>
      <c r="HH213" s="136"/>
      <c r="HI213" s="136"/>
      <c r="HJ213" s="136"/>
      <c r="HK213" s="136"/>
      <c r="HL213" s="136"/>
      <c r="HM213" s="136"/>
      <c r="HN213" s="136"/>
      <c r="HO213" s="136"/>
      <c r="HP213" s="136"/>
      <c r="HQ213" s="136"/>
      <c r="HR213" s="136"/>
      <c r="HS213" s="136"/>
      <c r="HT213" s="136"/>
      <c r="HU213" s="136"/>
      <c r="HV213" s="136"/>
      <c r="HW213" s="136"/>
      <c r="HX213" s="136"/>
      <c r="HY213" s="136"/>
      <c r="HZ213" s="136"/>
      <c r="IA213" s="136"/>
      <c r="IB213" s="136"/>
      <c r="IC213" s="136"/>
      <c r="ID213" s="136"/>
      <c r="IE213" s="136"/>
      <c r="IF213" s="136"/>
      <c r="IG213" s="136"/>
      <c r="IH213" s="136"/>
      <c r="II213" s="136"/>
      <c r="IJ213" s="136"/>
      <c r="IK213" s="136"/>
      <c r="IL213" s="136"/>
      <c r="IM213" s="136"/>
      <c r="IN213" s="136"/>
      <c r="IO213" s="136"/>
      <c r="IP213" s="136"/>
      <c r="IQ213" s="136"/>
      <c r="IR213" s="136"/>
      <c r="IS213" s="136"/>
      <c r="IT213" s="136"/>
      <c r="IU213" s="136"/>
    </row>
    <row r="214" spans="1:255" ht="84.75" customHeight="1" x14ac:dyDescent="0.2">
      <c r="A214" s="242" t="str">
        <f>'HECVAT - Full'!A214</f>
        <v>MAPP-09</v>
      </c>
      <c r="B214" s="242" t="str">
        <f>VLOOKUP(A214,'HECVAT - Full'!A$24:B$312,2,FALSE)</f>
        <v>Does the application adhere to secure coding practices (e.g. OWASP, etc.)?</v>
      </c>
      <c r="C214" s="275" t="s">
        <v>3042</v>
      </c>
      <c r="D214" s="248" t="s">
        <v>2918</v>
      </c>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6"/>
      <c r="AN214" s="136"/>
      <c r="AO214" s="136"/>
      <c r="AP214" s="136"/>
      <c r="AQ214" s="136"/>
      <c r="AR214" s="136"/>
      <c r="AS214" s="136"/>
      <c r="AT214" s="136"/>
      <c r="AU214" s="136"/>
      <c r="AV214" s="136"/>
      <c r="AW214" s="136"/>
      <c r="AX214" s="136"/>
      <c r="AY214" s="136"/>
      <c r="AZ214" s="136"/>
      <c r="BA214" s="136"/>
      <c r="BB214" s="136"/>
      <c r="BC214" s="136"/>
      <c r="BD214" s="136"/>
      <c r="BE214" s="136"/>
      <c r="BF214" s="136"/>
      <c r="BG214" s="136"/>
      <c r="BH214" s="136"/>
      <c r="BI214" s="136"/>
      <c r="BJ214" s="136"/>
      <c r="BK214" s="136"/>
      <c r="BL214" s="136"/>
      <c r="BM214" s="136"/>
      <c r="BN214" s="136"/>
      <c r="BO214" s="136"/>
      <c r="BP214" s="136"/>
      <c r="BQ214" s="136"/>
      <c r="BR214" s="136"/>
      <c r="BS214" s="136"/>
      <c r="BT214" s="136"/>
      <c r="BU214" s="136"/>
      <c r="BV214" s="136"/>
      <c r="BW214" s="136"/>
      <c r="BX214" s="136"/>
      <c r="BY214" s="136"/>
      <c r="BZ214" s="136"/>
      <c r="CA214" s="136"/>
      <c r="CB214" s="136"/>
      <c r="CC214" s="136"/>
      <c r="CD214" s="136"/>
      <c r="CE214" s="136"/>
      <c r="CF214" s="136"/>
      <c r="CG214" s="136"/>
      <c r="CH214" s="136"/>
      <c r="CI214" s="136"/>
      <c r="CJ214" s="136"/>
      <c r="CK214" s="136"/>
      <c r="CL214" s="136"/>
      <c r="CM214" s="136"/>
      <c r="CN214" s="136"/>
      <c r="CO214" s="136"/>
      <c r="CP214" s="136"/>
      <c r="CQ214" s="136"/>
      <c r="CR214" s="136"/>
      <c r="CS214" s="136"/>
      <c r="CT214" s="136"/>
      <c r="CU214" s="136"/>
      <c r="CV214" s="136"/>
      <c r="CW214" s="136"/>
      <c r="CX214" s="136"/>
      <c r="CY214" s="136"/>
      <c r="CZ214" s="136"/>
      <c r="DA214" s="136"/>
      <c r="DB214" s="136"/>
      <c r="DC214" s="136"/>
      <c r="DD214" s="136"/>
      <c r="DE214" s="136"/>
      <c r="DF214" s="136"/>
      <c r="DG214" s="136"/>
      <c r="DH214" s="136"/>
      <c r="DI214" s="136"/>
      <c r="DJ214" s="136"/>
      <c r="DK214" s="136"/>
      <c r="DL214" s="136"/>
      <c r="DM214" s="136"/>
      <c r="DN214" s="136"/>
      <c r="DO214" s="136"/>
      <c r="DP214" s="136"/>
      <c r="DQ214" s="136"/>
      <c r="DR214" s="136"/>
      <c r="DS214" s="136"/>
      <c r="DT214" s="136"/>
      <c r="DU214" s="136"/>
      <c r="DV214" s="136"/>
      <c r="DW214" s="136"/>
      <c r="DX214" s="136"/>
      <c r="DY214" s="136"/>
      <c r="DZ214" s="136"/>
      <c r="EA214" s="136"/>
      <c r="EB214" s="136"/>
      <c r="EC214" s="136"/>
      <c r="ED214" s="136"/>
      <c r="EE214" s="136"/>
      <c r="EF214" s="136"/>
      <c r="EG214" s="136"/>
      <c r="EH214" s="136"/>
      <c r="EI214" s="136"/>
      <c r="EJ214" s="136"/>
      <c r="EK214" s="136"/>
      <c r="EL214" s="136"/>
      <c r="EM214" s="136"/>
      <c r="EN214" s="136"/>
      <c r="EO214" s="136"/>
      <c r="EP214" s="136"/>
      <c r="EQ214" s="136"/>
      <c r="ER214" s="136"/>
      <c r="ES214" s="136"/>
      <c r="ET214" s="136"/>
      <c r="EU214" s="136"/>
      <c r="EV214" s="136"/>
      <c r="EW214" s="136"/>
      <c r="EX214" s="136"/>
      <c r="EY214" s="136"/>
      <c r="EZ214" s="136"/>
      <c r="FA214" s="136"/>
      <c r="FB214" s="136"/>
      <c r="FC214" s="136"/>
      <c r="FD214" s="136"/>
      <c r="FE214" s="136"/>
      <c r="FF214" s="136"/>
      <c r="FG214" s="136"/>
      <c r="FH214" s="136"/>
      <c r="FI214" s="136"/>
      <c r="FJ214" s="136"/>
      <c r="FK214" s="136"/>
      <c r="FL214" s="136"/>
      <c r="FM214" s="136"/>
      <c r="FN214" s="136"/>
      <c r="FO214" s="136"/>
      <c r="FP214" s="136"/>
      <c r="FQ214" s="136"/>
      <c r="FR214" s="136"/>
      <c r="FS214" s="136"/>
      <c r="FT214" s="136"/>
      <c r="FU214" s="136"/>
      <c r="FV214" s="136"/>
      <c r="FW214" s="136"/>
      <c r="FX214" s="136"/>
      <c r="FY214" s="136"/>
      <c r="FZ214" s="136"/>
      <c r="GA214" s="136"/>
      <c r="GB214" s="136"/>
      <c r="GC214" s="136"/>
      <c r="GD214" s="136"/>
      <c r="GE214" s="136"/>
      <c r="GF214" s="136"/>
      <c r="GG214" s="136"/>
      <c r="GH214" s="136"/>
      <c r="GI214" s="136"/>
      <c r="GJ214" s="136"/>
      <c r="GK214" s="136"/>
      <c r="GL214" s="136"/>
      <c r="GM214" s="136"/>
      <c r="GN214" s="136"/>
      <c r="GO214" s="136"/>
      <c r="GP214" s="136"/>
      <c r="GQ214" s="136"/>
      <c r="GR214" s="136"/>
      <c r="GS214" s="136"/>
      <c r="GT214" s="136"/>
      <c r="GU214" s="136"/>
      <c r="GV214" s="136"/>
      <c r="GW214" s="136"/>
      <c r="GX214" s="136"/>
      <c r="GY214" s="136"/>
      <c r="GZ214" s="136"/>
      <c r="HA214" s="136"/>
      <c r="HB214" s="136"/>
      <c r="HC214" s="136"/>
      <c r="HD214" s="136"/>
      <c r="HE214" s="136"/>
      <c r="HF214" s="136"/>
      <c r="HG214" s="136"/>
      <c r="HH214" s="136"/>
      <c r="HI214" s="136"/>
      <c r="HJ214" s="136"/>
      <c r="HK214" s="136"/>
      <c r="HL214" s="136"/>
      <c r="HM214" s="136"/>
      <c r="HN214" s="136"/>
      <c r="HO214" s="136"/>
      <c r="HP214" s="136"/>
      <c r="HQ214" s="136"/>
      <c r="HR214" s="136"/>
      <c r="HS214" s="136"/>
      <c r="HT214" s="136"/>
      <c r="HU214" s="136"/>
      <c r="HV214" s="136"/>
      <c r="HW214" s="136"/>
      <c r="HX214" s="136"/>
      <c r="HY214" s="136"/>
      <c r="HZ214" s="136"/>
      <c r="IA214" s="136"/>
      <c r="IB214" s="136"/>
      <c r="IC214" s="136"/>
      <c r="ID214" s="136"/>
      <c r="IE214" s="136"/>
      <c r="IF214" s="136"/>
      <c r="IG214" s="136"/>
      <c r="IH214" s="136"/>
      <c r="II214" s="136"/>
      <c r="IJ214" s="136"/>
      <c r="IK214" s="136"/>
      <c r="IL214" s="136"/>
      <c r="IM214" s="136"/>
      <c r="IN214" s="136"/>
      <c r="IO214" s="136"/>
      <c r="IP214" s="136"/>
      <c r="IQ214" s="136"/>
      <c r="IR214" s="136"/>
      <c r="IS214" s="136"/>
      <c r="IT214" s="136"/>
      <c r="IU214" s="136"/>
    </row>
    <row r="215" spans="1:255" ht="128.25" x14ac:dyDescent="0.2">
      <c r="A215" s="242" t="str">
        <f>'HECVAT - Full'!A215</f>
        <v>MAPP-10</v>
      </c>
      <c r="B215" s="242" t="str">
        <f>VLOOKUP(A215,'HECVAT - Full'!A$24:B$312,2,FALSE)</f>
        <v>Has the application been tested for vulnerabilities by a third party?</v>
      </c>
      <c r="C215" s="275" t="s">
        <v>3043</v>
      </c>
      <c r="D215" s="278" t="s">
        <v>3044</v>
      </c>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6"/>
      <c r="AN215" s="136"/>
      <c r="AO215" s="136"/>
      <c r="AP215" s="136"/>
      <c r="AQ215" s="136"/>
      <c r="AR215" s="136"/>
      <c r="AS215" s="136"/>
      <c r="AT215" s="136"/>
      <c r="AU215" s="136"/>
      <c r="AV215" s="136"/>
      <c r="AW215" s="136"/>
      <c r="AX215" s="136"/>
      <c r="AY215" s="136"/>
      <c r="AZ215" s="136"/>
      <c r="BA215" s="136"/>
      <c r="BB215" s="136"/>
      <c r="BC215" s="136"/>
      <c r="BD215" s="136"/>
      <c r="BE215" s="136"/>
      <c r="BF215" s="136"/>
      <c r="BG215" s="136"/>
      <c r="BH215" s="136"/>
      <c r="BI215" s="136"/>
      <c r="BJ215" s="136"/>
      <c r="BK215" s="136"/>
      <c r="BL215" s="136"/>
      <c r="BM215" s="136"/>
      <c r="BN215" s="136"/>
      <c r="BO215" s="136"/>
      <c r="BP215" s="136"/>
      <c r="BQ215" s="136"/>
      <c r="BR215" s="136"/>
      <c r="BS215" s="136"/>
      <c r="BT215" s="136"/>
      <c r="BU215" s="136"/>
      <c r="BV215" s="136"/>
      <c r="BW215" s="136"/>
      <c r="BX215" s="136"/>
      <c r="BY215" s="136"/>
      <c r="BZ215" s="136"/>
      <c r="CA215" s="136"/>
      <c r="CB215" s="136"/>
      <c r="CC215" s="136"/>
      <c r="CD215" s="136"/>
      <c r="CE215" s="136"/>
      <c r="CF215" s="136"/>
      <c r="CG215" s="136"/>
      <c r="CH215" s="136"/>
      <c r="CI215" s="136"/>
      <c r="CJ215" s="136"/>
      <c r="CK215" s="136"/>
      <c r="CL215" s="136"/>
      <c r="CM215" s="136"/>
      <c r="CN215" s="136"/>
      <c r="CO215" s="136"/>
      <c r="CP215" s="136"/>
      <c r="CQ215" s="136"/>
      <c r="CR215" s="136"/>
      <c r="CS215" s="136"/>
      <c r="CT215" s="136"/>
      <c r="CU215" s="136"/>
      <c r="CV215" s="136"/>
      <c r="CW215" s="136"/>
      <c r="CX215" s="136"/>
      <c r="CY215" s="136"/>
      <c r="CZ215" s="136"/>
      <c r="DA215" s="136"/>
      <c r="DB215" s="136"/>
      <c r="DC215" s="136"/>
      <c r="DD215" s="136"/>
      <c r="DE215" s="136"/>
      <c r="DF215" s="136"/>
      <c r="DG215" s="136"/>
      <c r="DH215" s="136"/>
      <c r="DI215" s="136"/>
      <c r="DJ215" s="136"/>
      <c r="DK215" s="136"/>
      <c r="DL215" s="136"/>
      <c r="DM215" s="136"/>
      <c r="DN215" s="136"/>
      <c r="DO215" s="136"/>
      <c r="DP215" s="136"/>
      <c r="DQ215" s="136"/>
      <c r="DR215" s="136"/>
      <c r="DS215" s="136"/>
      <c r="DT215" s="136"/>
      <c r="DU215" s="136"/>
      <c r="DV215" s="136"/>
      <c r="DW215" s="136"/>
      <c r="DX215" s="136"/>
      <c r="DY215" s="136"/>
      <c r="DZ215" s="136"/>
      <c r="EA215" s="136"/>
      <c r="EB215" s="136"/>
      <c r="EC215" s="136"/>
      <c r="ED215" s="136"/>
      <c r="EE215" s="136"/>
      <c r="EF215" s="136"/>
      <c r="EG215" s="136"/>
      <c r="EH215" s="136"/>
      <c r="EI215" s="136"/>
      <c r="EJ215" s="136"/>
      <c r="EK215" s="136"/>
      <c r="EL215" s="136"/>
      <c r="EM215" s="136"/>
      <c r="EN215" s="136"/>
      <c r="EO215" s="136"/>
      <c r="EP215" s="136"/>
      <c r="EQ215" s="136"/>
      <c r="ER215" s="136"/>
      <c r="ES215" s="136"/>
      <c r="ET215" s="136"/>
      <c r="EU215" s="136"/>
      <c r="EV215" s="136"/>
      <c r="EW215" s="136"/>
      <c r="EX215" s="136"/>
      <c r="EY215" s="136"/>
      <c r="EZ215" s="136"/>
      <c r="FA215" s="136"/>
      <c r="FB215" s="136"/>
      <c r="FC215" s="136"/>
      <c r="FD215" s="136"/>
      <c r="FE215" s="136"/>
      <c r="FF215" s="136"/>
      <c r="FG215" s="136"/>
      <c r="FH215" s="136"/>
      <c r="FI215" s="136"/>
      <c r="FJ215" s="136"/>
      <c r="FK215" s="136"/>
      <c r="FL215" s="136"/>
      <c r="FM215" s="136"/>
      <c r="FN215" s="136"/>
      <c r="FO215" s="136"/>
      <c r="FP215" s="136"/>
      <c r="FQ215" s="136"/>
      <c r="FR215" s="136"/>
      <c r="FS215" s="136"/>
      <c r="FT215" s="136"/>
      <c r="FU215" s="136"/>
      <c r="FV215" s="136"/>
      <c r="FW215" s="136"/>
      <c r="FX215" s="136"/>
      <c r="FY215" s="136"/>
      <c r="FZ215" s="136"/>
      <c r="GA215" s="136"/>
      <c r="GB215" s="136"/>
      <c r="GC215" s="136"/>
      <c r="GD215" s="136"/>
      <c r="GE215" s="136"/>
      <c r="GF215" s="136"/>
      <c r="GG215" s="136"/>
      <c r="GH215" s="136"/>
      <c r="GI215" s="136"/>
      <c r="GJ215" s="136"/>
      <c r="GK215" s="136"/>
      <c r="GL215" s="136"/>
      <c r="GM215" s="136"/>
      <c r="GN215" s="136"/>
      <c r="GO215" s="136"/>
      <c r="GP215" s="136"/>
      <c r="GQ215" s="136"/>
      <c r="GR215" s="136"/>
      <c r="GS215" s="136"/>
      <c r="GT215" s="136"/>
      <c r="GU215" s="136"/>
      <c r="GV215" s="136"/>
      <c r="GW215" s="136"/>
      <c r="GX215" s="136"/>
      <c r="GY215" s="136"/>
      <c r="GZ215" s="136"/>
      <c r="HA215" s="136"/>
      <c r="HB215" s="136"/>
      <c r="HC215" s="136"/>
      <c r="HD215" s="136"/>
      <c r="HE215" s="136"/>
      <c r="HF215" s="136"/>
      <c r="HG215" s="136"/>
      <c r="HH215" s="136"/>
      <c r="HI215" s="136"/>
      <c r="HJ215" s="136"/>
      <c r="HK215" s="136"/>
      <c r="HL215" s="136"/>
      <c r="HM215" s="136"/>
      <c r="HN215" s="136"/>
      <c r="HO215" s="136"/>
      <c r="HP215" s="136"/>
      <c r="HQ215" s="136"/>
      <c r="HR215" s="136"/>
      <c r="HS215" s="136"/>
      <c r="HT215" s="136"/>
      <c r="HU215" s="136"/>
      <c r="HV215" s="136"/>
      <c r="HW215" s="136"/>
      <c r="HX215" s="136"/>
      <c r="HY215" s="136"/>
      <c r="HZ215" s="136"/>
      <c r="IA215" s="136"/>
      <c r="IB215" s="136"/>
      <c r="IC215" s="136"/>
      <c r="ID215" s="136"/>
      <c r="IE215" s="136"/>
      <c r="IF215" s="136"/>
      <c r="IG215" s="136"/>
      <c r="IH215" s="136"/>
      <c r="II215" s="136"/>
      <c r="IJ215" s="136"/>
      <c r="IK215" s="136"/>
      <c r="IL215" s="136"/>
      <c r="IM215" s="136"/>
      <c r="IN215" s="136"/>
      <c r="IO215" s="136"/>
      <c r="IP215" s="136"/>
      <c r="IQ215" s="136"/>
      <c r="IR215" s="136"/>
      <c r="IS215" s="136"/>
      <c r="IT215" s="136"/>
      <c r="IU215" s="136"/>
    </row>
    <row r="216" spans="1:255" ht="128.25" x14ac:dyDescent="0.2">
      <c r="A216" s="242" t="str">
        <f>'HECVAT - Full'!A216</f>
        <v>MAPP-11</v>
      </c>
      <c r="B216" s="242" t="str">
        <f>VLOOKUP(A216,'HECVAT - Full'!A$24:B$312,2,FALSE)</f>
        <v>State the party that performed the vulnerability test and the date it was conducted?</v>
      </c>
      <c r="C216" s="275" t="s">
        <v>3043</v>
      </c>
      <c r="D216" s="278" t="s">
        <v>3045</v>
      </c>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6"/>
      <c r="AN216" s="136"/>
      <c r="AO216" s="136"/>
      <c r="AP216" s="136"/>
      <c r="AQ216" s="136"/>
      <c r="AR216" s="136"/>
      <c r="AS216" s="136"/>
      <c r="AT216" s="136"/>
      <c r="AU216" s="136"/>
      <c r="AV216" s="136"/>
      <c r="AW216" s="136"/>
      <c r="AX216" s="136"/>
      <c r="AY216" s="136"/>
      <c r="AZ216" s="136"/>
      <c r="BA216" s="136"/>
      <c r="BB216" s="136"/>
      <c r="BC216" s="136"/>
      <c r="BD216" s="136"/>
      <c r="BE216" s="136"/>
      <c r="BF216" s="136"/>
      <c r="BG216" s="136"/>
      <c r="BH216" s="136"/>
      <c r="BI216" s="136"/>
      <c r="BJ216" s="136"/>
      <c r="BK216" s="136"/>
      <c r="BL216" s="136"/>
      <c r="BM216" s="136"/>
      <c r="BN216" s="136"/>
      <c r="BO216" s="136"/>
      <c r="BP216" s="136"/>
      <c r="BQ216" s="136"/>
      <c r="BR216" s="136"/>
      <c r="BS216" s="136"/>
      <c r="BT216" s="136"/>
      <c r="BU216" s="136"/>
      <c r="BV216" s="136"/>
      <c r="BW216" s="136"/>
      <c r="BX216" s="136"/>
      <c r="BY216" s="136"/>
      <c r="BZ216" s="136"/>
      <c r="CA216" s="136"/>
      <c r="CB216" s="136"/>
      <c r="CC216" s="136"/>
      <c r="CD216" s="136"/>
      <c r="CE216" s="136"/>
      <c r="CF216" s="136"/>
      <c r="CG216" s="136"/>
      <c r="CH216" s="136"/>
      <c r="CI216" s="136"/>
      <c r="CJ216" s="136"/>
      <c r="CK216" s="136"/>
      <c r="CL216" s="136"/>
      <c r="CM216" s="136"/>
      <c r="CN216" s="136"/>
      <c r="CO216" s="136"/>
      <c r="CP216" s="136"/>
      <c r="CQ216" s="136"/>
      <c r="CR216" s="136"/>
      <c r="CS216" s="136"/>
      <c r="CT216" s="136"/>
      <c r="CU216" s="136"/>
      <c r="CV216" s="136"/>
      <c r="CW216" s="136"/>
      <c r="CX216" s="136"/>
      <c r="CY216" s="136"/>
      <c r="CZ216" s="136"/>
      <c r="DA216" s="136"/>
      <c r="DB216" s="136"/>
      <c r="DC216" s="136"/>
      <c r="DD216" s="136"/>
      <c r="DE216" s="136"/>
      <c r="DF216" s="136"/>
      <c r="DG216" s="136"/>
      <c r="DH216" s="136"/>
      <c r="DI216" s="136"/>
      <c r="DJ216" s="136"/>
      <c r="DK216" s="136"/>
      <c r="DL216" s="136"/>
      <c r="DM216" s="136"/>
      <c r="DN216" s="136"/>
      <c r="DO216" s="136"/>
      <c r="DP216" s="136"/>
      <c r="DQ216" s="136"/>
      <c r="DR216" s="136"/>
      <c r="DS216" s="136"/>
      <c r="DT216" s="136"/>
      <c r="DU216" s="136"/>
      <c r="DV216" s="136"/>
      <c r="DW216" s="136"/>
      <c r="DX216" s="136"/>
      <c r="DY216" s="136"/>
      <c r="DZ216" s="136"/>
      <c r="EA216" s="136"/>
      <c r="EB216" s="136"/>
      <c r="EC216" s="136"/>
      <c r="ED216" s="136"/>
      <c r="EE216" s="136"/>
      <c r="EF216" s="136"/>
      <c r="EG216" s="136"/>
      <c r="EH216" s="136"/>
      <c r="EI216" s="136"/>
      <c r="EJ216" s="136"/>
      <c r="EK216" s="136"/>
      <c r="EL216" s="136"/>
      <c r="EM216" s="136"/>
      <c r="EN216" s="136"/>
      <c r="EO216" s="136"/>
      <c r="EP216" s="136"/>
      <c r="EQ216" s="136"/>
      <c r="ER216" s="136"/>
      <c r="ES216" s="136"/>
      <c r="ET216" s="136"/>
      <c r="EU216" s="136"/>
      <c r="EV216" s="136"/>
      <c r="EW216" s="136"/>
      <c r="EX216" s="136"/>
      <c r="EY216" s="136"/>
      <c r="EZ216" s="136"/>
      <c r="FA216" s="136"/>
      <c r="FB216" s="136"/>
      <c r="FC216" s="136"/>
      <c r="FD216" s="136"/>
      <c r="FE216" s="136"/>
      <c r="FF216" s="136"/>
      <c r="FG216" s="136"/>
      <c r="FH216" s="136"/>
      <c r="FI216" s="136"/>
      <c r="FJ216" s="136"/>
      <c r="FK216" s="136"/>
      <c r="FL216" s="136"/>
      <c r="FM216" s="136"/>
      <c r="FN216" s="136"/>
      <c r="FO216" s="136"/>
      <c r="FP216" s="136"/>
      <c r="FQ216" s="136"/>
      <c r="FR216" s="136"/>
      <c r="FS216" s="136"/>
      <c r="FT216" s="136"/>
      <c r="FU216" s="136"/>
      <c r="FV216" s="136"/>
      <c r="FW216" s="136"/>
      <c r="FX216" s="136"/>
      <c r="FY216" s="136"/>
      <c r="FZ216" s="136"/>
      <c r="GA216" s="136"/>
      <c r="GB216" s="136"/>
      <c r="GC216" s="136"/>
      <c r="GD216" s="136"/>
      <c r="GE216" s="136"/>
      <c r="GF216" s="136"/>
      <c r="GG216" s="136"/>
      <c r="GH216" s="136"/>
      <c r="GI216" s="136"/>
      <c r="GJ216" s="136"/>
      <c r="GK216" s="136"/>
      <c r="GL216" s="136"/>
      <c r="GM216" s="136"/>
      <c r="GN216" s="136"/>
      <c r="GO216" s="136"/>
      <c r="GP216" s="136"/>
      <c r="GQ216" s="136"/>
      <c r="GR216" s="136"/>
      <c r="GS216" s="136"/>
      <c r="GT216" s="136"/>
      <c r="GU216" s="136"/>
      <c r="GV216" s="136"/>
      <c r="GW216" s="136"/>
      <c r="GX216" s="136"/>
      <c r="GY216" s="136"/>
      <c r="GZ216" s="136"/>
      <c r="HA216" s="136"/>
      <c r="HB216" s="136"/>
      <c r="HC216" s="136"/>
      <c r="HD216" s="136"/>
      <c r="HE216" s="136"/>
      <c r="HF216" s="136"/>
      <c r="HG216" s="136"/>
      <c r="HH216" s="136"/>
      <c r="HI216" s="136"/>
      <c r="HJ216" s="136"/>
      <c r="HK216" s="136"/>
      <c r="HL216" s="136"/>
      <c r="HM216" s="136"/>
      <c r="HN216" s="136"/>
      <c r="HO216" s="136"/>
      <c r="HP216" s="136"/>
      <c r="HQ216" s="136"/>
      <c r="HR216" s="136"/>
      <c r="HS216" s="136"/>
      <c r="HT216" s="136"/>
      <c r="HU216" s="136"/>
      <c r="HV216" s="136"/>
      <c r="HW216" s="136"/>
      <c r="HX216" s="136"/>
      <c r="HY216" s="136"/>
      <c r="HZ216" s="136"/>
      <c r="IA216" s="136"/>
      <c r="IB216" s="136"/>
      <c r="IC216" s="136"/>
      <c r="ID216" s="136"/>
      <c r="IE216" s="136"/>
      <c r="IF216" s="136"/>
      <c r="IG216" s="136"/>
      <c r="IH216" s="136"/>
      <c r="II216" s="136"/>
      <c r="IJ216" s="136"/>
      <c r="IK216" s="136"/>
      <c r="IL216" s="136"/>
      <c r="IM216" s="136"/>
      <c r="IN216" s="136"/>
      <c r="IO216" s="136"/>
      <c r="IP216" s="136"/>
      <c r="IQ216" s="136"/>
      <c r="IR216" s="136"/>
      <c r="IS216" s="136"/>
      <c r="IT216" s="136"/>
      <c r="IU216" s="136"/>
    </row>
    <row r="217" spans="1:255" ht="36" customHeight="1" x14ac:dyDescent="0.2">
      <c r="A217" s="335" t="str">
        <f>IF($C$30="","Physical Security",IF($C$30="Yes","Physical Security - Optional based on QUALIFIER response.","Physical Security"))</f>
        <v>Physical Security</v>
      </c>
      <c r="B217" s="335"/>
      <c r="C217" s="240" t="str">
        <f>$C$22</f>
        <v>Reason for Question</v>
      </c>
      <c r="D217" s="240" t="str">
        <f>$D$22</f>
        <v>Follow-up Inquiries/Responses</v>
      </c>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36"/>
      <c r="BF217" s="136"/>
      <c r="BG217" s="136"/>
      <c r="BH217" s="136"/>
      <c r="BI217" s="136"/>
      <c r="BJ217" s="136"/>
      <c r="BK217" s="136"/>
      <c r="BL217" s="136"/>
      <c r="BM217" s="136"/>
      <c r="BN217" s="136"/>
      <c r="BO217" s="136"/>
      <c r="BP217" s="136"/>
      <c r="BQ217" s="136"/>
      <c r="BR217" s="136"/>
      <c r="BS217" s="136"/>
      <c r="BT217" s="136"/>
      <c r="BU217" s="136"/>
      <c r="BV217" s="136"/>
      <c r="BW217" s="136"/>
      <c r="BX217" s="136"/>
      <c r="BY217" s="136"/>
      <c r="BZ217" s="136"/>
      <c r="CA217" s="136"/>
      <c r="CB217" s="136"/>
      <c r="CC217" s="136"/>
      <c r="CD217" s="136"/>
      <c r="CE217" s="136"/>
      <c r="CF217" s="136"/>
      <c r="CG217" s="136"/>
      <c r="CH217" s="136"/>
      <c r="CI217" s="136"/>
      <c r="CJ217" s="136"/>
      <c r="CK217" s="136"/>
      <c r="CL217" s="136"/>
      <c r="CM217" s="136"/>
      <c r="CN217" s="136"/>
      <c r="CO217" s="136"/>
      <c r="CP217" s="136"/>
      <c r="CQ217" s="136"/>
      <c r="CR217" s="136"/>
      <c r="CS217" s="136"/>
      <c r="CT217" s="136"/>
      <c r="CU217" s="136"/>
      <c r="CV217" s="136"/>
      <c r="CW217" s="136"/>
      <c r="CX217" s="136"/>
      <c r="CY217" s="136"/>
      <c r="CZ217" s="136"/>
      <c r="DA217" s="136"/>
      <c r="DB217" s="136"/>
      <c r="DC217" s="136"/>
      <c r="DD217" s="136"/>
      <c r="DE217" s="136"/>
      <c r="DF217" s="136"/>
      <c r="DG217" s="136"/>
      <c r="DH217" s="136"/>
      <c r="DI217" s="136"/>
      <c r="DJ217" s="136"/>
      <c r="DK217" s="136"/>
      <c r="DL217" s="136"/>
      <c r="DM217" s="136"/>
      <c r="DN217" s="136"/>
      <c r="DO217" s="136"/>
      <c r="DP217" s="136"/>
      <c r="DQ217" s="136"/>
      <c r="DR217" s="136"/>
      <c r="DS217" s="136"/>
      <c r="DT217" s="136"/>
      <c r="DU217" s="136"/>
      <c r="DV217" s="136"/>
      <c r="DW217" s="136"/>
      <c r="DX217" s="136"/>
      <c r="DY217" s="136"/>
      <c r="DZ217" s="136"/>
      <c r="EA217" s="136"/>
      <c r="EB217" s="136"/>
      <c r="EC217" s="136"/>
      <c r="ED217" s="136"/>
      <c r="EE217" s="136"/>
      <c r="EF217" s="136"/>
      <c r="EG217" s="136"/>
      <c r="EH217" s="136"/>
      <c r="EI217" s="136"/>
      <c r="EJ217" s="136"/>
      <c r="EK217" s="136"/>
      <c r="EL217" s="136"/>
      <c r="EM217" s="136"/>
      <c r="EN217" s="136"/>
      <c r="EO217" s="136"/>
      <c r="EP217" s="136"/>
      <c r="EQ217" s="136"/>
      <c r="ER217" s="136"/>
      <c r="ES217" s="136"/>
      <c r="ET217" s="136"/>
      <c r="EU217" s="136"/>
      <c r="EV217" s="136"/>
      <c r="EW217" s="136"/>
      <c r="EX217" s="136"/>
      <c r="EY217" s="136"/>
      <c r="EZ217" s="136"/>
      <c r="FA217" s="136"/>
      <c r="FB217" s="136"/>
      <c r="FC217" s="136"/>
      <c r="FD217" s="136"/>
      <c r="FE217" s="136"/>
      <c r="FF217" s="136"/>
      <c r="FG217" s="136"/>
      <c r="FH217" s="136"/>
      <c r="FI217" s="136"/>
      <c r="FJ217" s="136"/>
      <c r="FK217" s="136"/>
      <c r="FL217" s="136"/>
      <c r="FM217" s="136"/>
      <c r="FN217" s="136"/>
      <c r="FO217" s="136"/>
      <c r="FP217" s="136"/>
      <c r="FQ217" s="136"/>
      <c r="FR217" s="136"/>
      <c r="FS217" s="136"/>
      <c r="FT217" s="136"/>
      <c r="FU217" s="136"/>
      <c r="FV217" s="136"/>
      <c r="FW217" s="136"/>
      <c r="FX217" s="136"/>
      <c r="FY217" s="136"/>
      <c r="FZ217" s="136"/>
      <c r="GA217" s="136"/>
      <c r="GB217" s="136"/>
      <c r="GC217" s="136"/>
      <c r="GD217" s="136"/>
      <c r="GE217" s="136"/>
      <c r="GF217" s="136"/>
      <c r="GG217" s="136"/>
      <c r="GH217" s="136"/>
      <c r="GI217" s="136"/>
      <c r="GJ217" s="136"/>
      <c r="GK217" s="136"/>
      <c r="GL217" s="136"/>
      <c r="GM217" s="136"/>
      <c r="GN217" s="136"/>
      <c r="GO217" s="136"/>
      <c r="GP217" s="136"/>
      <c r="GQ217" s="136"/>
      <c r="GR217" s="136"/>
      <c r="GS217" s="136"/>
      <c r="GT217" s="136"/>
      <c r="GU217" s="136"/>
      <c r="GV217" s="136"/>
      <c r="GW217" s="136"/>
      <c r="GX217" s="136"/>
      <c r="GY217" s="136"/>
      <c r="GZ217" s="136"/>
      <c r="HA217" s="136"/>
      <c r="HB217" s="136"/>
      <c r="HC217" s="136"/>
      <c r="HD217" s="136"/>
      <c r="HE217" s="136"/>
      <c r="HF217" s="136"/>
      <c r="HG217" s="136"/>
      <c r="HH217" s="136"/>
      <c r="HI217" s="136"/>
      <c r="HJ217" s="136"/>
      <c r="HK217" s="136"/>
      <c r="HL217" s="136"/>
      <c r="HM217" s="136"/>
      <c r="HN217" s="136"/>
      <c r="HO217" s="136"/>
      <c r="HP217" s="136"/>
      <c r="HQ217" s="136"/>
      <c r="HR217" s="136"/>
      <c r="HS217" s="136"/>
      <c r="HT217" s="136"/>
      <c r="HU217" s="136"/>
      <c r="HV217" s="136"/>
      <c r="HW217" s="136"/>
      <c r="HX217" s="136"/>
      <c r="HY217" s="136"/>
      <c r="HZ217" s="136"/>
      <c r="IA217" s="136"/>
      <c r="IB217" s="136"/>
      <c r="IC217" s="136"/>
      <c r="ID217" s="136"/>
      <c r="IE217" s="136"/>
      <c r="IF217" s="136"/>
      <c r="IG217" s="136"/>
      <c r="IH217" s="136"/>
      <c r="II217" s="136"/>
      <c r="IJ217" s="136"/>
      <c r="IK217" s="136"/>
      <c r="IL217" s="136"/>
      <c r="IM217" s="136"/>
      <c r="IN217" s="136"/>
      <c r="IO217" s="136"/>
      <c r="IP217" s="136"/>
      <c r="IQ217" s="136"/>
      <c r="IR217" s="136"/>
      <c r="IS217" s="136"/>
      <c r="IT217" s="136"/>
      <c r="IU217" s="136"/>
    </row>
    <row r="218" spans="1:255" s="16" customFormat="1" ht="96" customHeight="1" x14ac:dyDescent="0.2">
      <c r="A218" s="242" t="str">
        <f>'HECVAT - Full'!A218</f>
        <v>PHYS-01</v>
      </c>
      <c r="B218" s="242" t="str">
        <f>VLOOKUP(A218,'HECVAT - Full'!A$24:B$312,2,FALSE)</f>
        <v>Does your organization have physical security controls and policies in place?</v>
      </c>
      <c r="C218" s="275" t="s">
        <v>3046</v>
      </c>
      <c r="D218" s="248" t="s">
        <v>2919</v>
      </c>
    </row>
    <row r="219" spans="1:255" ht="114" x14ac:dyDescent="0.2">
      <c r="A219" s="242" t="str">
        <f>'HECVAT - Full'!A219</f>
        <v>PHYS-02</v>
      </c>
      <c r="B219" s="242" t="str">
        <f>VLOOKUP(A219,'HECVAT - Full'!A$24:B$312,2,FALSE)</f>
        <v>Are employees allowed to take home Institution's data in any form?</v>
      </c>
      <c r="C219" s="245" t="s">
        <v>2920</v>
      </c>
      <c r="D219" s="250" t="s">
        <v>2921</v>
      </c>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6"/>
      <c r="AN219" s="136"/>
      <c r="AO219" s="136"/>
      <c r="AP219" s="136"/>
      <c r="AQ219" s="136"/>
      <c r="AR219" s="136"/>
      <c r="AS219" s="136"/>
      <c r="AT219" s="136"/>
      <c r="AU219" s="136"/>
      <c r="AV219" s="136"/>
      <c r="AW219" s="136"/>
      <c r="AX219" s="136"/>
      <c r="AY219" s="136"/>
      <c r="AZ219" s="136"/>
      <c r="BA219" s="136"/>
      <c r="BB219" s="136"/>
      <c r="BC219" s="136"/>
      <c r="BD219" s="136"/>
      <c r="BE219" s="136"/>
      <c r="BF219" s="136"/>
      <c r="BG219" s="136"/>
      <c r="BH219" s="136"/>
      <c r="BI219" s="136"/>
      <c r="BJ219" s="136"/>
      <c r="BK219" s="136"/>
      <c r="BL219" s="136"/>
      <c r="BM219" s="136"/>
      <c r="BN219" s="136"/>
      <c r="BO219" s="136"/>
      <c r="BP219" s="136"/>
      <c r="BQ219" s="136"/>
      <c r="BR219" s="136"/>
      <c r="BS219" s="136"/>
      <c r="BT219" s="136"/>
      <c r="BU219" s="136"/>
      <c r="BV219" s="136"/>
      <c r="BW219" s="136"/>
      <c r="BX219" s="136"/>
      <c r="BY219" s="136"/>
      <c r="BZ219" s="136"/>
      <c r="CA219" s="136"/>
      <c r="CB219" s="136"/>
      <c r="CC219" s="136"/>
      <c r="CD219" s="136"/>
      <c r="CE219" s="136"/>
      <c r="CF219" s="136"/>
      <c r="CG219" s="136"/>
      <c r="CH219" s="136"/>
      <c r="CI219" s="136"/>
      <c r="CJ219" s="136"/>
      <c r="CK219" s="136"/>
      <c r="CL219" s="136"/>
      <c r="CM219" s="136"/>
      <c r="CN219" s="136"/>
      <c r="CO219" s="136"/>
      <c r="CP219" s="136"/>
      <c r="CQ219" s="136"/>
      <c r="CR219" s="136"/>
      <c r="CS219" s="136"/>
      <c r="CT219" s="136"/>
      <c r="CU219" s="136"/>
      <c r="CV219" s="136"/>
      <c r="CW219" s="136"/>
      <c r="CX219" s="136"/>
      <c r="CY219" s="136"/>
      <c r="CZ219" s="136"/>
      <c r="DA219" s="136"/>
      <c r="DB219" s="136"/>
      <c r="DC219" s="136"/>
      <c r="DD219" s="136"/>
      <c r="DE219" s="136"/>
      <c r="DF219" s="136"/>
      <c r="DG219" s="136"/>
      <c r="DH219" s="136"/>
      <c r="DI219" s="136"/>
      <c r="DJ219" s="136"/>
      <c r="DK219" s="136"/>
      <c r="DL219" s="136"/>
      <c r="DM219" s="136"/>
      <c r="DN219" s="136"/>
      <c r="DO219" s="136"/>
      <c r="DP219" s="136"/>
      <c r="DQ219" s="136"/>
      <c r="DR219" s="136"/>
      <c r="DS219" s="136"/>
      <c r="DT219" s="136"/>
      <c r="DU219" s="136"/>
      <c r="DV219" s="136"/>
      <c r="DW219" s="136"/>
      <c r="DX219" s="136"/>
      <c r="DY219" s="136"/>
      <c r="DZ219" s="136"/>
      <c r="EA219" s="136"/>
      <c r="EB219" s="136"/>
      <c r="EC219" s="136"/>
      <c r="ED219" s="136"/>
      <c r="EE219" s="136"/>
      <c r="EF219" s="136"/>
      <c r="EG219" s="136"/>
      <c r="EH219" s="136"/>
      <c r="EI219" s="136"/>
      <c r="EJ219" s="136"/>
      <c r="EK219" s="136"/>
      <c r="EL219" s="136"/>
      <c r="EM219" s="136"/>
      <c r="EN219" s="136"/>
      <c r="EO219" s="136"/>
      <c r="EP219" s="136"/>
      <c r="EQ219" s="136"/>
      <c r="ER219" s="136"/>
      <c r="ES219" s="136"/>
      <c r="ET219" s="136"/>
      <c r="EU219" s="136"/>
      <c r="EV219" s="136"/>
      <c r="EW219" s="136"/>
      <c r="EX219" s="136"/>
      <c r="EY219" s="136"/>
      <c r="EZ219" s="136"/>
      <c r="FA219" s="136"/>
      <c r="FB219" s="136"/>
      <c r="FC219" s="136"/>
      <c r="FD219" s="136"/>
      <c r="FE219" s="136"/>
      <c r="FF219" s="136"/>
      <c r="FG219" s="136"/>
      <c r="FH219" s="136"/>
      <c r="FI219" s="136"/>
      <c r="FJ219" s="136"/>
      <c r="FK219" s="136"/>
      <c r="FL219" s="136"/>
      <c r="FM219" s="136"/>
      <c r="FN219" s="136"/>
      <c r="FO219" s="136"/>
      <c r="FP219" s="136"/>
      <c r="FQ219" s="136"/>
      <c r="FR219" s="136"/>
      <c r="FS219" s="136"/>
      <c r="FT219" s="136"/>
      <c r="FU219" s="136"/>
      <c r="FV219" s="136"/>
      <c r="FW219" s="136"/>
      <c r="FX219" s="136"/>
      <c r="FY219" s="136"/>
      <c r="FZ219" s="136"/>
      <c r="GA219" s="136"/>
      <c r="GB219" s="136"/>
      <c r="GC219" s="136"/>
      <c r="GD219" s="136"/>
      <c r="GE219" s="136"/>
      <c r="GF219" s="136"/>
      <c r="GG219" s="136"/>
      <c r="GH219" s="136"/>
      <c r="GI219" s="136"/>
      <c r="GJ219" s="136"/>
      <c r="GK219" s="136"/>
      <c r="GL219" s="136"/>
      <c r="GM219" s="136"/>
      <c r="GN219" s="136"/>
      <c r="GO219" s="136"/>
      <c r="GP219" s="136"/>
      <c r="GQ219" s="136"/>
      <c r="GR219" s="136"/>
      <c r="GS219" s="136"/>
      <c r="GT219" s="136"/>
      <c r="GU219" s="136"/>
      <c r="GV219" s="136"/>
      <c r="GW219" s="136"/>
      <c r="GX219" s="136"/>
      <c r="GY219" s="136"/>
      <c r="GZ219" s="136"/>
      <c r="HA219" s="136"/>
      <c r="HB219" s="136"/>
      <c r="HC219" s="136"/>
      <c r="HD219" s="136"/>
      <c r="HE219" s="136"/>
      <c r="HF219" s="136"/>
      <c r="HG219" s="136"/>
      <c r="HH219" s="136"/>
      <c r="HI219" s="136"/>
      <c r="HJ219" s="136"/>
      <c r="HK219" s="136"/>
      <c r="HL219" s="136"/>
      <c r="HM219" s="136"/>
      <c r="HN219" s="136"/>
      <c r="HO219" s="136"/>
      <c r="HP219" s="136"/>
      <c r="HQ219" s="136"/>
      <c r="HR219" s="136"/>
      <c r="HS219" s="136"/>
      <c r="HT219" s="136"/>
      <c r="HU219" s="136"/>
      <c r="HV219" s="136"/>
      <c r="HW219" s="136"/>
      <c r="HX219" s="136"/>
      <c r="HY219" s="136"/>
      <c r="HZ219" s="136"/>
      <c r="IA219" s="136"/>
      <c r="IB219" s="136"/>
      <c r="IC219" s="136"/>
      <c r="ID219" s="136"/>
      <c r="IE219" s="136"/>
      <c r="IF219" s="136"/>
      <c r="IG219" s="136"/>
      <c r="IH219" s="136"/>
      <c r="II219" s="136"/>
      <c r="IJ219" s="136"/>
      <c r="IK219" s="136"/>
      <c r="IL219" s="136"/>
      <c r="IM219" s="136"/>
      <c r="IN219" s="136"/>
      <c r="IO219" s="136"/>
      <c r="IP219" s="136"/>
      <c r="IQ219" s="136"/>
      <c r="IR219" s="136"/>
      <c r="IS219" s="136"/>
      <c r="IT219" s="136"/>
      <c r="IU219" s="136"/>
    </row>
    <row r="220" spans="1:255" ht="48" customHeight="1" x14ac:dyDescent="0.2">
      <c r="A220" s="242" t="str">
        <f>'HECVAT - Full'!A220</f>
        <v>PHYS-03</v>
      </c>
      <c r="B220" s="242" t="str">
        <f>VLOOKUP(A220,'HECVAT - Full'!A$24:B$312,2,FALSE)</f>
        <v>Are video monitoring feeds retained?</v>
      </c>
      <c r="C220" s="243" t="s">
        <v>2922</v>
      </c>
      <c r="D220" s="253" t="s">
        <v>2923</v>
      </c>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6"/>
      <c r="AN220" s="136"/>
      <c r="AO220" s="136"/>
      <c r="AP220" s="136"/>
      <c r="AQ220" s="136"/>
      <c r="AR220" s="136"/>
      <c r="AS220" s="136"/>
      <c r="AT220" s="136"/>
      <c r="AU220" s="136"/>
      <c r="AV220" s="136"/>
      <c r="AW220" s="136"/>
      <c r="AX220" s="136"/>
      <c r="AY220" s="136"/>
      <c r="AZ220" s="136"/>
      <c r="BA220" s="136"/>
      <c r="BB220" s="136"/>
      <c r="BC220" s="136"/>
      <c r="BD220" s="136"/>
      <c r="BE220" s="136"/>
      <c r="BF220" s="136"/>
      <c r="BG220" s="136"/>
      <c r="BH220" s="136"/>
      <c r="BI220" s="136"/>
      <c r="BJ220" s="136"/>
      <c r="BK220" s="136"/>
      <c r="BL220" s="136"/>
      <c r="BM220" s="136"/>
      <c r="BN220" s="136"/>
      <c r="BO220" s="136"/>
      <c r="BP220" s="136"/>
      <c r="BQ220" s="136"/>
      <c r="BR220" s="136"/>
      <c r="BS220" s="136"/>
      <c r="BT220" s="136"/>
      <c r="BU220" s="136"/>
      <c r="BV220" s="136"/>
      <c r="BW220" s="136"/>
      <c r="BX220" s="136"/>
      <c r="BY220" s="136"/>
      <c r="BZ220" s="136"/>
      <c r="CA220" s="136"/>
      <c r="CB220" s="136"/>
      <c r="CC220" s="136"/>
      <c r="CD220" s="136"/>
      <c r="CE220" s="136"/>
      <c r="CF220" s="136"/>
      <c r="CG220" s="136"/>
      <c r="CH220" s="136"/>
      <c r="CI220" s="136"/>
      <c r="CJ220" s="136"/>
      <c r="CK220" s="136"/>
      <c r="CL220" s="136"/>
      <c r="CM220" s="136"/>
      <c r="CN220" s="136"/>
      <c r="CO220" s="136"/>
      <c r="CP220" s="136"/>
      <c r="CQ220" s="136"/>
      <c r="CR220" s="136"/>
      <c r="CS220" s="136"/>
      <c r="CT220" s="136"/>
      <c r="CU220" s="136"/>
      <c r="CV220" s="136"/>
      <c r="CW220" s="136"/>
      <c r="CX220" s="136"/>
      <c r="CY220" s="136"/>
      <c r="CZ220" s="136"/>
      <c r="DA220" s="136"/>
      <c r="DB220" s="136"/>
      <c r="DC220" s="136"/>
      <c r="DD220" s="136"/>
      <c r="DE220" s="136"/>
      <c r="DF220" s="136"/>
      <c r="DG220" s="136"/>
      <c r="DH220" s="136"/>
      <c r="DI220" s="136"/>
      <c r="DJ220" s="136"/>
      <c r="DK220" s="136"/>
      <c r="DL220" s="136"/>
      <c r="DM220" s="136"/>
      <c r="DN220" s="136"/>
      <c r="DO220" s="136"/>
      <c r="DP220" s="136"/>
      <c r="DQ220" s="136"/>
      <c r="DR220" s="136"/>
      <c r="DS220" s="136"/>
      <c r="DT220" s="136"/>
      <c r="DU220" s="136"/>
      <c r="DV220" s="136"/>
      <c r="DW220" s="136"/>
      <c r="DX220" s="136"/>
      <c r="DY220" s="136"/>
      <c r="DZ220" s="136"/>
      <c r="EA220" s="136"/>
      <c r="EB220" s="136"/>
      <c r="EC220" s="136"/>
      <c r="ED220" s="136"/>
      <c r="EE220" s="136"/>
      <c r="EF220" s="136"/>
      <c r="EG220" s="136"/>
      <c r="EH220" s="136"/>
      <c r="EI220" s="136"/>
      <c r="EJ220" s="136"/>
      <c r="EK220" s="136"/>
      <c r="EL220" s="136"/>
      <c r="EM220" s="136"/>
      <c r="EN220" s="136"/>
      <c r="EO220" s="136"/>
      <c r="EP220" s="136"/>
      <c r="EQ220" s="136"/>
      <c r="ER220" s="136"/>
      <c r="ES220" s="136"/>
      <c r="ET220" s="136"/>
      <c r="EU220" s="136"/>
      <c r="EV220" s="136"/>
      <c r="EW220" s="136"/>
      <c r="EX220" s="136"/>
      <c r="EY220" s="136"/>
      <c r="EZ220" s="136"/>
      <c r="FA220" s="136"/>
      <c r="FB220" s="136"/>
      <c r="FC220" s="136"/>
      <c r="FD220" s="136"/>
      <c r="FE220" s="136"/>
      <c r="FF220" s="136"/>
      <c r="FG220" s="136"/>
      <c r="FH220" s="136"/>
      <c r="FI220" s="136"/>
      <c r="FJ220" s="136"/>
      <c r="FK220" s="136"/>
      <c r="FL220" s="136"/>
      <c r="FM220" s="136"/>
      <c r="FN220" s="136"/>
      <c r="FO220" s="136"/>
      <c r="FP220" s="136"/>
      <c r="FQ220" s="136"/>
      <c r="FR220" s="136"/>
      <c r="FS220" s="136"/>
      <c r="FT220" s="136"/>
      <c r="FU220" s="136"/>
      <c r="FV220" s="136"/>
      <c r="FW220" s="136"/>
      <c r="FX220" s="136"/>
      <c r="FY220" s="136"/>
      <c r="FZ220" s="136"/>
      <c r="GA220" s="136"/>
      <c r="GB220" s="136"/>
      <c r="GC220" s="136"/>
      <c r="GD220" s="136"/>
      <c r="GE220" s="136"/>
      <c r="GF220" s="136"/>
      <c r="GG220" s="136"/>
      <c r="GH220" s="136"/>
      <c r="GI220" s="136"/>
      <c r="GJ220" s="136"/>
      <c r="GK220" s="136"/>
      <c r="GL220" s="136"/>
      <c r="GM220" s="136"/>
      <c r="GN220" s="136"/>
      <c r="GO220" s="136"/>
      <c r="GP220" s="136"/>
      <c r="GQ220" s="136"/>
      <c r="GR220" s="136"/>
      <c r="GS220" s="136"/>
      <c r="GT220" s="136"/>
      <c r="GU220" s="136"/>
      <c r="GV220" s="136"/>
      <c r="GW220" s="136"/>
      <c r="GX220" s="136"/>
      <c r="GY220" s="136"/>
      <c r="GZ220" s="136"/>
      <c r="HA220" s="136"/>
      <c r="HB220" s="136"/>
      <c r="HC220" s="136"/>
      <c r="HD220" s="136"/>
      <c r="HE220" s="136"/>
      <c r="HF220" s="136"/>
      <c r="HG220" s="136"/>
      <c r="HH220" s="136"/>
      <c r="HI220" s="136"/>
      <c r="HJ220" s="136"/>
      <c r="HK220" s="136"/>
      <c r="HL220" s="136"/>
      <c r="HM220" s="136"/>
      <c r="HN220" s="136"/>
      <c r="HO220" s="136"/>
      <c r="HP220" s="136"/>
      <c r="HQ220" s="136"/>
      <c r="HR220" s="136"/>
      <c r="HS220" s="136"/>
      <c r="HT220" s="136"/>
      <c r="HU220" s="136"/>
      <c r="HV220" s="136"/>
      <c r="HW220" s="136"/>
      <c r="HX220" s="136"/>
      <c r="HY220" s="136"/>
      <c r="HZ220" s="136"/>
      <c r="IA220" s="136"/>
      <c r="IB220" s="136"/>
      <c r="IC220" s="136"/>
      <c r="ID220" s="136"/>
      <c r="IE220" s="136"/>
      <c r="IF220" s="136"/>
      <c r="IG220" s="136"/>
      <c r="IH220" s="136"/>
      <c r="II220" s="136"/>
      <c r="IJ220" s="136"/>
      <c r="IK220" s="136"/>
      <c r="IL220" s="136"/>
      <c r="IM220" s="136"/>
      <c r="IN220" s="136"/>
      <c r="IO220" s="136"/>
      <c r="IP220" s="136"/>
      <c r="IQ220" s="136"/>
      <c r="IR220" s="136"/>
      <c r="IS220" s="136"/>
      <c r="IT220" s="136"/>
      <c r="IU220" s="136"/>
    </row>
    <row r="221" spans="1:255" ht="48" customHeight="1" x14ac:dyDescent="0.2">
      <c r="A221" s="242" t="str">
        <f>'HECVAT - Full'!A221</f>
        <v>PHYS-04</v>
      </c>
      <c r="B221" s="242" t="str">
        <f>VLOOKUP(A221,'HECVAT - Full'!A$24:B$312,2,FALSE)</f>
        <v>Are video feeds monitored by datacenter staff?</v>
      </c>
      <c r="C221" s="243" t="s">
        <v>2922</v>
      </c>
      <c r="D221" s="253" t="s">
        <v>2924</v>
      </c>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6"/>
      <c r="AN221" s="136"/>
      <c r="AO221" s="136"/>
      <c r="AP221" s="136"/>
      <c r="AQ221" s="136"/>
      <c r="AR221" s="136"/>
      <c r="AS221" s="136"/>
      <c r="AT221" s="136"/>
      <c r="AU221" s="136"/>
      <c r="AV221" s="136"/>
      <c r="AW221" s="136"/>
      <c r="AX221" s="136"/>
      <c r="AY221" s="136"/>
      <c r="AZ221" s="136"/>
      <c r="BA221" s="136"/>
      <c r="BB221" s="136"/>
      <c r="BC221" s="136"/>
      <c r="BD221" s="136"/>
      <c r="BE221" s="136"/>
      <c r="BF221" s="136"/>
      <c r="BG221" s="136"/>
      <c r="BH221" s="136"/>
      <c r="BI221" s="136"/>
      <c r="BJ221" s="136"/>
      <c r="BK221" s="136"/>
      <c r="BL221" s="136"/>
      <c r="BM221" s="136"/>
      <c r="BN221" s="136"/>
      <c r="BO221" s="136"/>
      <c r="BP221" s="136"/>
      <c r="BQ221" s="136"/>
      <c r="BR221" s="136"/>
      <c r="BS221" s="136"/>
      <c r="BT221" s="136"/>
      <c r="BU221" s="136"/>
      <c r="BV221" s="136"/>
      <c r="BW221" s="136"/>
      <c r="BX221" s="136"/>
      <c r="BY221" s="136"/>
      <c r="BZ221" s="136"/>
      <c r="CA221" s="136"/>
      <c r="CB221" s="136"/>
      <c r="CC221" s="136"/>
      <c r="CD221" s="136"/>
      <c r="CE221" s="136"/>
      <c r="CF221" s="136"/>
      <c r="CG221" s="136"/>
      <c r="CH221" s="136"/>
      <c r="CI221" s="136"/>
      <c r="CJ221" s="136"/>
      <c r="CK221" s="136"/>
      <c r="CL221" s="136"/>
      <c r="CM221" s="136"/>
      <c r="CN221" s="136"/>
      <c r="CO221" s="136"/>
      <c r="CP221" s="136"/>
      <c r="CQ221" s="136"/>
      <c r="CR221" s="136"/>
      <c r="CS221" s="136"/>
      <c r="CT221" s="136"/>
      <c r="CU221" s="136"/>
      <c r="CV221" s="136"/>
      <c r="CW221" s="136"/>
      <c r="CX221" s="136"/>
      <c r="CY221" s="136"/>
      <c r="CZ221" s="136"/>
      <c r="DA221" s="136"/>
      <c r="DB221" s="136"/>
      <c r="DC221" s="136"/>
      <c r="DD221" s="136"/>
      <c r="DE221" s="136"/>
      <c r="DF221" s="136"/>
      <c r="DG221" s="136"/>
      <c r="DH221" s="136"/>
      <c r="DI221" s="136"/>
      <c r="DJ221" s="136"/>
      <c r="DK221" s="136"/>
      <c r="DL221" s="136"/>
      <c r="DM221" s="136"/>
      <c r="DN221" s="136"/>
      <c r="DO221" s="136"/>
      <c r="DP221" s="136"/>
      <c r="DQ221" s="136"/>
      <c r="DR221" s="136"/>
      <c r="DS221" s="136"/>
      <c r="DT221" s="136"/>
      <c r="DU221" s="136"/>
      <c r="DV221" s="136"/>
      <c r="DW221" s="136"/>
      <c r="DX221" s="136"/>
      <c r="DY221" s="136"/>
      <c r="DZ221" s="136"/>
      <c r="EA221" s="136"/>
      <c r="EB221" s="136"/>
      <c r="EC221" s="136"/>
      <c r="ED221" s="136"/>
      <c r="EE221" s="136"/>
      <c r="EF221" s="136"/>
      <c r="EG221" s="136"/>
      <c r="EH221" s="136"/>
      <c r="EI221" s="136"/>
      <c r="EJ221" s="136"/>
      <c r="EK221" s="136"/>
      <c r="EL221" s="136"/>
      <c r="EM221" s="136"/>
      <c r="EN221" s="136"/>
      <c r="EO221" s="136"/>
      <c r="EP221" s="136"/>
      <c r="EQ221" s="136"/>
      <c r="ER221" s="136"/>
      <c r="ES221" s="136"/>
      <c r="ET221" s="136"/>
      <c r="EU221" s="136"/>
      <c r="EV221" s="136"/>
      <c r="EW221" s="136"/>
      <c r="EX221" s="136"/>
      <c r="EY221" s="136"/>
      <c r="EZ221" s="136"/>
      <c r="FA221" s="136"/>
      <c r="FB221" s="136"/>
      <c r="FC221" s="136"/>
      <c r="FD221" s="136"/>
      <c r="FE221" s="136"/>
      <c r="FF221" s="136"/>
      <c r="FG221" s="136"/>
      <c r="FH221" s="136"/>
      <c r="FI221" s="136"/>
      <c r="FJ221" s="136"/>
      <c r="FK221" s="136"/>
      <c r="FL221" s="136"/>
      <c r="FM221" s="136"/>
      <c r="FN221" s="136"/>
      <c r="FO221" s="136"/>
      <c r="FP221" s="136"/>
      <c r="FQ221" s="136"/>
      <c r="FR221" s="136"/>
      <c r="FS221" s="136"/>
      <c r="FT221" s="136"/>
      <c r="FU221" s="136"/>
      <c r="FV221" s="136"/>
      <c r="FW221" s="136"/>
      <c r="FX221" s="136"/>
      <c r="FY221" s="136"/>
      <c r="FZ221" s="136"/>
      <c r="GA221" s="136"/>
      <c r="GB221" s="136"/>
      <c r="GC221" s="136"/>
      <c r="GD221" s="136"/>
      <c r="GE221" s="136"/>
      <c r="GF221" s="136"/>
      <c r="GG221" s="136"/>
      <c r="GH221" s="136"/>
      <c r="GI221" s="136"/>
      <c r="GJ221" s="136"/>
      <c r="GK221" s="136"/>
      <c r="GL221" s="136"/>
      <c r="GM221" s="136"/>
      <c r="GN221" s="136"/>
      <c r="GO221" s="136"/>
      <c r="GP221" s="136"/>
      <c r="GQ221" s="136"/>
      <c r="GR221" s="136"/>
      <c r="GS221" s="136"/>
      <c r="GT221" s="136"/>
      <c r="GU221" s="136"/>
      <c r="GV221" s="136"/>
      <c r="GW221" s="136"/>
      <c r="GX221" s="136"/>
      <c r="GY221" s="136"/>
      <c r="GZ221" s="136"/>
      <c r="HA221" s="136"/>
      <c r="HB221" s="136"/>
      <c r="HC221" s="136"/>
      <c r="HD221" s="136"/>
      <c r="HE221" s="136"/>
      <c r="HF221" s="136"/>
      <c r="HG221" s="136"/>
      <c r="HH221" s="136"/>
      <c r="HI221" s="136"/>
      <c r="HJ221" s="136"/>
      <c r="HK221" s="136"/>
      <c r="HL221" s="136"/>
      <c r="HM221" s="136"/>
      <c r="HN221" s="136"/>
      <c r="HO221" s="136"/>
      <c r="HP221" s="136"/>
      <c r="HQ221" s="136"/>
      <c r="HR221" s="136"/>
      <c r="HS221" s="136"/>
      <c r="HT221" s="136"/>
      <c r="HU221" s="136"/>
      <c r="HV221" s="136"/>
      <c r="HW221" s="136"/>
      <c r="HX221" s="136"/>
      <c r="HY221" s="136"/>
      <c r="HZ221" s="136"/>
      <c r="IA221" s="136"/>
      <c r="IB221" s="136"/>
      <c r="IC221" s="136"/>
      <c r="ID221" s="136"/>
      <c r="IE221" s="136"/>
      <c r="IF221" s="136"/>
      <c r="IG221" s="136"/>
      <c r="IH221" s="136"/>
      <c r="II221" s="136"/>
      <c r="IJ221" s="136"/>
      <c r="IK221" s="136"/>
      <c r="IL221" s="136"/>
      <c r="IM221" s="136"/>
      <c r="IN221" s="136"/>
      <c r="IO221" s="136"/>
      <c r="IP221" s="136"/>
      <c r="IQ221" s="136"/>
      <c r="IR221" s="136"/>
      <c r="IS221" s="136"/>
      <c r="IT221" s="136"/>
      <c r="IU221" s="136"/>
    </row>
    <row r="222" spans="1:255" ht="84" customHeight="1" x14ac:dyDescent="0.2">
      <c r="A222" s="242" t="str">
        <f>'HECVAT - Full'!A222</f>
        <v>PHYS-05</v>
      </c>
      <c r="B222" s="242" t="str">
        <f>VLOOKUP(A222,'HECVAT - Full'!A$24:B$312,2,FALSE)</f>
        <v>Are individuals required to sign in/out for installation and removal of equipment?</v>
      </c>
      <c r="C222" s="245" t="s">
        <v>2925</v>
      </c>
      <c r="D222" s="249" t="s">
        <v>2847</v>
      </c>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6"/>
      <c r="AN222" s="136"/>
      <c r="AO222" s="136"/>
      <c r="AP222" s="136"/>
      <c r="AQ222" s="136"/>
      <c r="AR222" s="136"/>
      <c r="AS222" s="136"/>
      <c r="AT222" s="136"/>
      <c r="AU222" s="136"/>
      <c r="AV222" s="136"/>
      <c r="AW222" s="136"/>
      <c r="AX222" s="136"/>
      <c r="AY222" s="136"/>
      <c r="AZ222" s="136"/>
      <c r="BA222" s="136"/>
      <c r="BB222" s="136"/>
      <c r="BC222" s="136"/>
      <c r="BD222" s="136"/>
      <c r="BE222" s="136"/>
      <c r="BF222" s="136"/>
      <c r="BG222" s="136"/>
      <c r="BH222" s="136"/>
      <c r="BI222" s="136"/>
      <c r="BJ222" s="136"/>
      <c r="BK222" s="136"/>
      <c r="BL222" s="136"/>
      <c r="BM222" s="136"/>
      <c r="BN222" s="136"/>
      <c r="BO222" s="136"/>
      <c r="BP222" s="136"/>
      <c r="BQ222" s="136"/>
      <c r="BR222" s="136"/>
      <c r="BS222" s="136"/>
      <c r="BT222" s="136"/>
      <c r="BU222" s="136"/>
      <c r="BV222" s="136"/>
      <c r="BW222" s="136"/>
      <c r="BX222" s="136"/>
      <c r="BY222" s="136"/>
      <c r="BZ222" s="136"/>
      <c r="CA222" s="136"/>
      <c r="CB222" s="136"/>
      <c r="CC222" s="136"/>
      <c r="CD222" s="136"/>
      <c r="CE222" s="136"/>
      <c r="CF222" s="136"/>
      <c r="CG222" s="136"/>
      <c r="CH222" s="136"/>
      <c r="CI222" s="136"/>
      <c r="CJ222" s="136"/>
      <c r="CK222" s="136"/>
      <c r="CL222" s="136"/>
      <c r="CM222" s="136"/>
      <c r="CN222" s="136"/>
      <c r="CO222" s="136"/>
      <c r="CP222" s="136"/>
      <c r="CQ222" s="136"/>
      <c r="CR222" s="136"/>
      <c r="CS222" s="136"/>
      <c r="CT222" s="136"/>
      <c r="CU222" s="136"/>
      <c r="CV222" s="136"/>
      <c r="CW222" s="136"/>
      <c r="CX222" s="136"/>
      <c r="CY222" s="136"/>
      <c r="CZ222" s="136"/>
      <c r="DA222" s="136"/>
      <c r="DB222" s="136"/>
      <c r="DC222" s="136"/>
      <c r="DD222" s="136"/>
      <c r="DE222" s="136"/>
      <c r="DF222" s="136"/>
      <c r="DG222" s="136"/>
      <c r="DH222" s="136"/>
      <c r="DI222" s="136"/>
      <c r="DJ222" s="136"/>
      <c r="DK222" s="136"/>
      <c r="DL222" s="136"/>
      <c r="DM222" s="136"/>
      <c r="DN222" s="136"/>
      <c r="DO222" s="136"/>
      <c r="DP222" s="136"/>
      <c r="DQ222" s="136"/>
      <c r="DR222" s="136"/>
      <c r="DS222" s="136"/>
      <c r="DT222" s="136"/>
      <c r="DU222" s="136"/>
      <c r="DV222" s="136"/>
      <c r="DW222" s="136"/>
      <c r="DX222" s="136"/>
      <c r="DY222" s="136"/>
      <c r="DZ222" s="136"/>
      <c r="EA222" s="136"/>
      <c r="EB222" s="136"/>
      <c r="EC222" s="136"/>
      <c r="ED222" s="136"/>
      <c r="EE222" s="136"/>
      <c r="EF222" s="136"/>
      <c r="EG222" s="136"/>
      <c r="EH222" s="136"/>
      <c r="EI222" s="136"/>
      <c r="EJ222" s="136"/>
      <c r="EK222" s="136"/>
      <c r="EL222" s="136"/>
      <c r="EM222" s="136"/>
      <c r="EN222" s="136"/>
      <c r="EO222" s="136"/>
      <c r="EP222" s="136"/>
      <c r="EQ222" s="136"/>
      <c r="ER222" s="136"/>
      <c r="ES222" s="136"/>
      <c r="ET222" s="136"/>
      <c r="EU222" s="136"/>
      <c r="EV222" s="136"/>
      <c r="EW222" s="136"/>
      <c r="EX222" s="136"/>
      <c r="EY222" s="136"/>
      <c r="EZ222" s="136"/>
      <c r="FA222" s="136"/>
      <c r="FB222" s="136"/>
      <c r="FC222" s="136"/>
      <c r="FD222" s="136"/>
      <c r="FE222" s="136"/>
      <c r="FF222" s="136"/>
      <c r="FG222" s="136"/>
      <c r="FH222" s="136"/>
      <c r="FI222" s="136"/>
      <c r="FJ222" s="136"/>
      <c r="FK222" s="136"/>
      <c r="FL222" s="136"/>
      <c r="FM222" s="136"/>
      <c r="FN222" s="136"/>
      <c r="FO222" s="136"/>
      <c r="FP222" s="136"/>
      <c r="FQ222" s="136"/>
      <c r="FR222" s="136"/>
      <c r="FS222" s="136"/>
      <c r="FT222" s="136"/>
      <c r="FU222" s="136"/>
      <c r="FV222" s="136"/>
      <c r="FW222" s="136"/>
      <c r="FX222" s="136"/>
      <c r="FY222" s="136"/>
      <c r="FZ222" s="136"/>
      <c r="GA222" s="136"/>
      <c r="GB222" s="136"/>
      <c r="GC222" s="136"/>
      <c r="GD222" s="136"/>
      <c r="GE222" s="136"/>
      <c r="GF222" s="136"/>
      <c r="GG222" s="136"/>
      <c r="GH222" s="136"/>
      <c r="GI222" s="136"/>
      <c r="GJ222" s="136"/>
      <c r="GK222" s="136"/>
      <c r="GL222" s="136"/>
      <c r="GM222" s="136"/>
      <c r="GN222" s="136"/>
      <c r="GO222" s="136"/>
      <c r="GP222" s="136"/>
      <c r="GQ222" s="136"/>
      <c r="GR222" s="136"/>
      <c r="GS222" s="136"/>
      <c r="GT222" s="136"/>
      <c r="GU222" s="136"/>
      <c r="GV222" s="136"/>
      <c r="GW222" s="136"/>
      <c r="GX222" s="136"/>
      <c r="GY222" s="136"/>
      <c r="GZ222" s="136"/>
      <c r="HA222" s="136"/>
      <c r="HB222" s="136"/>
      <c r="HC222" s="136"/>
      <c r="HD222" s="136"/>
      <c r="HE222" s="136"/>
      <c r="HF222" s="136"/>
      <c r="HG222" s="136"/>
      <c r="HH222" s="136"/>
      <c r="HI222" s="136"/>
      <c r="HJ222" s="136"/>
      <c r="HK222" s="136"/>
      <c r="HL222" s="136"/>
      <c r="HM222" s="136"/>
      <c r="HN222" s="136"/>
      <c r="HO222" s="136"/>
      <c r="HP222" s="136"/>
      <c r="HQ222" s="136"/>
      <c r="HR222" s="136"/>
      <c r="HS222" s="136"/>
      <c r="HT222" s="136"/>
      <c r="HU222" s="136"/>
      <c r="HV222" s="136"/>
      <c r="HW222" s="136"/>
      <c r="HX222" s="136"/>
      <c r="HY222" s="136"/>
      <c r="HZ222" s="136"/>
      <c r="IA222" s="136"/>
      <c r="IB222" s="136"/>
      <c r="IC222" s="136"/>
      <c r="ID222" s="136"/>
      <c r="IE222" s="136"/>
      <c r="IF222" s="136"/>
      <c r="IG222" s="136"/>
      <c r="IH222" s="136"/>
      <c r="II222" s="136"/>
      <c r="IJ222" s="136"/>
      <c r="IK222" s="136"/>
      <c r="IL222" s="136"/>
      <c r="IM222" s="136"/>
      <c r="IN222" s="136"/>
      <c r="IO222" s="136"/>
      <c r="IP222" s="136"/>
      <c r="IQ222" s="136"/>
      <c r="IR222" s="136"/>
      <c r="IS222" s="136"/>
      <c r="IT222" s="136"/>
      <c r="IU222" s="136"/>
    </row>
    <row r="223" spans="1:255" ht="36" customHeight="1" x14ac:dyDescent="0.2">
      <c r="A223" s="335" t="str">
        <f>IF($C$30="","Policies, Procedures, and Processes",IF($C$30="Yes","Pol/Pro/Proc - Optional based on QUALIFIER response.","Policies, Procedures, and Processes"))</f>
        <v>Policies, Procedures, and Processes</v>
      </c>
      <c r="B223" s="335"/>
      <c r="C223" s="240" t="str">
        <f>$C$22</f>
        <v>Reason for Question</v>
      </c>
      <c r="D223" s="240" t="str">
        <f>$D$22</f>
        <v>Follow-up Inquiries/Responses</v>
      </c>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6"/>
      <c r="AN223" s="136"/>
      <c r="AO223" s="136"/>
      <c r="AP223" s="136"/>
      <c r="AQ223" s="136"/>
      <c r="AR223" s="136"/>
      <c r="AS223" s="136"/>
      <c r="AT223" s="136"/>
      <c r="AU223" s="136"/>
      <c r="AV223" s="136"/>
      <c r="AW223" s="136"/>
      <c r="AX223" s="136"/>
      <c r="AY223" s="136"/>
      <c r="AZ223" s="136"/>
      <c r="BA223" s="136"/>
      <c r="BB223" s="136"/>
      <c r="BC223" s="136"/>
      <c r="BD223" s="136"/>
      <c r="BE223" s="136"/>
      <c r="BF223" s="136"/>
      <c r="BG223" s="136"/>
      <c r="BH223" s="136"/>
      <c r="BI223" s="136"/>
      <c r="BJ223" s="136"/>
      <c r="BK223" s="136"/>
      <c r="BL223" s="136"/>
      <c r="BM223" s="136"/>
      <c r="BN223" s="136"/>
      <c r="BO223" s="136"/>
      <c r="BP223" s="136"/>
      <c r="BQ223" s="136"/>
      <c r="BR223" s="136"/>
      <c r="BS223" s="136"/>
      <c r="BT223" s="136"/>
      <c r="BU223" s="136"/>
      <c r="BV223" s="136"/>
      <c r="BW223" s="136"/>
      <c r="BX223" s="136"/>
      <c r="BY223" s="136"/>
      <c r="BZ223" s="136"/>
      <c r="CA223" s="136"/>
      <c r="CB223" s="136"/>
      <c r="CC223" s="136"/>
      <c r="CD223" s="136"/>
      <c r="CE223" s="136"/>
      <c r="CF223" s="136"/>
      <c r="CG223" s="136"/>
      <c r="CH223" s="136"/>
      <c r="CI223" s="136"/>
      <c r="CJ223" s="136"/>
      <c r="CK223" s="136"/>
      <c r="CL223" s="136"/>
      <c r="CM223" s="136"/>
      <c r="CN223" s="136"/>
      <c r="CO223" s="136"/>
      <c r="CP223" s="136"/>
      <c r="CQ223" s="136"/>
      <c r="CR223" s="136"/>
      <c r="CS223" s="136"/>
      <c r="CT223" s="136"/>
      <c r="CU223" s="136"/>
      <c r="CV223" s="136"/>
      <c r="CW223" s="136"/>
      <c r="CX223" s="136"/>
      <c r="CY223" s="136"/>
      <c r="CZ223" s="136"/>
      <c r="DA223" s="136"/>
      <c r="DB223" s="136"/>
      <c r="DC223" s="136"/>
      <c r="DD223" s="136"/>
      <c r="DE223" s="136"/>
      <c r="DF223" s="136"/>
      <c r="DG223" s="136"/>
      <c r="DH223" s="136"/>
      <c r="DI223" s="136"/>
      <c r="DJ223" s="136"/>
      <c r="DK223" s="136"/>
      <c r="DL223" s="136"/>
      <c r="DM223" s="136"/>
      <c r="DN223" s="136"/>
      <c r="DO223" s="136"/>
      <c r="DP223" s="136"/>
      <c r="DQ223" s="136"/>
      <c r="DR223" s="136"/>
      <c r="DS223" s="136"/>
      <c r="DT223" s="136"/>
      <c r="DU223" s="136"/>
      <c r="DV223" s="136"/>
      <c r="DW223" s="136"/>
      <c r="DX223" s="136"/>
      <c r="DY223" s="136"/>
      <c r="DZ223" s="136"/>
      <c r="EA223" s="136"/>
      <c r="EB223" s="136"/>
      <c r="EC223" s="136"/>
      <c r="ED223" s="136"/>
      <c r="EE223" s="136"/>
      <c r="EF223" s="136"/>
      <c r="EG223" s="136"/>
      <c r="EH223" s="136"/>
      <c r="EI223" s="136"/>
      <c r="EJ223" s="136"/>
      <c r="EK223" s="136"/>
      <c r="EL223" s="136"/>
      <c r="EM223" s="136"/>
      <c r="EN223" s="136"/>
      <c r="EO223" s="136"/>
      <c r="EP223" s="136"/>
      <c r="EQ223" s="136"/>
      <c r="ER223" s="136"/>
      <c r="ES223" s="136"/>
      <c r="ET223" s="136"/>
      <c r="EU223" s="136"/>
      <c r="EV223" s="136"/>
      <c r="EW223" s="136"/>
      <c r="EX223" s="136"/>
      <c r="EY223" s="136"/>
      <c r="EZ223" s="136"/>
      <c r="FA223" s="136"/>
      <c r="FB223" s="136"/>
      <c r="FC223" s="136"/>
      <c r="FD223" s="136"/>
      <c r="FE223" s="136"/>
      <c r="FF223" s="136"/>
      <c r="FG223" s="136"/>
      <c r="FH223" s="136"/>
      <c r="FI223" s="136"/>
      <c r="FJ223" s="136"/>
      <c r="FK223" s="136"/>
      <c r="FL223" s="136"/>
      <c r="FM223" s="136"/>
      <c r="FN223" s="136"/>
      <c r="FO223" s="136"/>
      <c r="FP223" s="136"/>
      <c r="FQ223" s="136"/>
      <c r="FR223" s="136"/>
      <c r="FS223" s="136"/>
      <c r="FT223" s="136"/>
      <c r="FU223" s="136"/>
      <c r="FV223" s="136"/>
      <c r="FW223" s="136"/>
      <c r="FX223" s="136"/>
      <c r="FY223" s="136"/>
      <c r="FZ223" s="136"/>
      <c r="GA223" s="136"/>
      <c r="GB223" s="136"/>
      <c r="GC223" s="136"/>
      <c r="GD223" s="136"/>
      <c r="GE223" s="136"/>
      <c r="GF223" s="136"/>
      <c r="GG223" s="136"/>
      <c r="GH223" s="136"/>
      <c r="GI223" s="136"/>
      <c r="GJ223" s="136"/>
      <c r="GK223" s="136"/>
      <c r="GL223" s="136"/>
      <c r="GM223" s="136"/>
      <c r="GN223" s="136"/>
      <c r="GO223" s="136"/>
      <c r="GP223" s="136"/>
      <c r="GQ223" s="136"/>
      <c r="GR223" s="136"/>
      <c r="GS223" s="136"/>
      <c r="GT223" s="136"/>
      <c r="GU223" s="136"/>
      <c r="GV223" s="136"/>
      <c r="GW223" s="136"/>
      <c r="GX223" s="136"/>
      <c r="GY223" s="136"/>
      <c r="GZ223" s="136"/>
      <c r="HA223" s="136"/>
      <c r="HB223" s="136"/>
      <c r="HC223" s="136"/>
      <c r="HD223" s="136"/>
      <c r="HE223" s="136"/>
      <c r="HF223" s="136"/>
      <c r="HG223" s="136"/>
      <c r="HH223" s="136"/>
      <c r="HI223" s="136"/>
      <c r="HJ223" s="136"/>
      <c r="HK223" s="136"/>
      <c r="HL223" s="136"/>
      <c r="HM223" s="136"/>
      <c r="HN223" s="136"/>
      <c r="HO223" s="136"/>
      <c r="HP223" s="136"/>
      <c r="HQ223" s="136"/>
      <c r="HR223" s="136"/>
      <c r="HS223" s="136"/>
      <c r="HT223" s="136"/>
      <c r="HU223" s="136"/>
      <c r="HV223" s="136"/>
      <c r="HW223" s="136"/>
      <c r="HX223" s="136"/>
      <c r="HY223" s="136"/>
      <c r="HZ223" s="136"/>
      <c r="IA223" s="136"/>
      <c r="IB223" s="136"/>
      <c r="IC223" s="136"/>
      <c r="ID223" s="136"/>
      <c r="IE223" s="136"/>
      <c r="IF223" s="136"/>
      <c r="IG223" s="136"/>
      <c r="IH223" s="136"/>
      <c r="II223" s="136"/>
      <c r="IJ223" s="136"/>
      <c r="IK223" s="136"/>
      <c r="IL223" s="136"/>
      <c r="IM223" s="136"/>
      <c r="IN223" s="136"/>
      <c r="IO223" s="136"/>
      <c r="IP223" s="136"/>
      <c r="IQ223" s="136"/>
      <c r="IR223" s="136"/>
      <c r="IS223" s="136"/>
      <c r="IT223" s="136"/>
      <c r="IU223" s="136"/>
    </row>
    <row r="224" spans="1:255" ht="114" x14ac:dyDescent="0.2">
      <c r="A224" s="242" t="str">
        <f>'HECVAT - Full'!A224</f>
        <v>PPPR-01</v>
      </c>
      <c r="B224" s="242" t="str">
        <f>VLOOKUP(A224,'HECVAT - Full'!A$24:B$312,2,FALSE)</f>
        <v>Can you share the organization chart, mission statement, and policies for your information security unit?</v>
      </c>
      <c r="C224" s="245" t="s">
        <v>2926</v>
      </c>
      <c r="D224" s="249" t="s">
        <v>2927</v>
      </c>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6"/>
      <c r="AN224" s="136"/>
      <c r="AO224" s="136"/>
      <c r="AP224" s="136"/>
      <c r="AQ224" s="136"/>
      <c r="AR224" s="136"/>
      <c r="AS224" s="136"/>
      <c r="AT224" s="136"/>
      <c r="AU224" s="136"/>
      <c r="AV224" s="136"/>
      <c r="AW224" s="136"/>
      <c r="AX224" s="136"/>
      <c r="AY224" s="136"/>
      <c r="AZ224" s="136"/>
      <c r="BA224" s="136"/>
      <c r="BB224" s="136"/>
      <c r="BC224" s="136"/>
      <c r="BD224" s="136"/>
      <c r="BE224" s="136"/>
      <c r="BF224" s="136"/>
      <c r="BG224" s="136"/>
      <c r="BH224" s="136"/>
      <c r="BI224" s="136"/>
      <c r="BJ224" s="136"/>
      <c r="BK224" s="136"/>
      <c r="BL224" s="136"/>
      <c r="BM224" s="136"/>
      <c r="BN224" s="136"/>
      <c r="BO224" s="136"/>
      <c r="BP224" s="136"/>
      <c r="BQ224" s="136"/>
      <c r="BR224" s="136"/>
      <c r="BS224" s="136"/>
      <c r="BT224" s="136"/>
      <c r="BU224" s="136"/>
      <c r="BV224" s="136"/>
      <c r="BW224" s="136"/>
      <c r="BX224" s="136"/>
      <c r="BY224" s="136"/>
      <c r="BZ224" s="136"/>
      <c r="CA224" s="136"/>
      <c r="CB224" s="136"/>
      <c r="CC224" s="136"/>
      <c r="CD224" s="136"/>
      <c r="CE224" s="136"/>
      <c r="CF224" s="136"/>
      <c r="CG224" s="136"/>
      <c r="CH224" s="136"/>
      <c r="CI224" s="136"/>
      <c r="CJ224" s="136"/>
      <c r="CK224" s="136"/>
      <c r="CL224" s="136"/>
      <c r="CM224" s="136"/>
      <c r="CN224" s="136"/>
      <c r="CO224" s="136"/>
      <c r="CP224" s="136"/>
      <c r="CQ224" s="136"/>
      <c r="CR224" s="136"/>
      <c r="CS224" s="136"/>
      <c r="CT224" s="136"/>
      <c r="CU224" s="136"/>
      <c r="CV224" s="136"/>
      <c r="CW224" s="136"/>
      <c r="CX224" s="136"/>
      <c r="CY224" s="136"/>
      <c r="CZ224" s="136"/>
      <c r="DA224" s="136"/>
      <c r="DB224" s="136"/>
      <c r="DC224" s="136"/>
      <c r="DD224" s="136"/>
      <c r="DE224" s="136"/>
      <c r="DF224" s="136"/>
      <c r="DG224" s="136"/>
      <c r="DH224" s="136"/>
      <c r="DI224" s="136"/>
      <c r="DJ224" s="136"/>
      <c r="DK224" s="136"/>
      <c r="DL224" s="136"/>
      <c r="DM224" s="136"/>
      <c r="DN224" s="136"/>
      <c r="DO224" s="136"/>
      <c r="DP224" s="136"/>
      <c r="DQ224" s="136"/>
      <c r="DR224" s="136"/>
      <c r="DS224" s="136"/>
      <c r="DT224" s="136"/>
      <c r="DU224" s="136"/>
      <c r="DV224" s="136"/>
      <c r="DW224" s="136"/>
      <c r="DX224" s="136"/>
      <c r="DY224" s="136"/>
      <c r="DZ224" s="136"/>
      <c r="EA224" s="136"/>
      <c r="EB224" s="136"/>
      <c r="EC224" s="136"/>
      <c r="ED224" s="136"/>
      <c r="EE224" s="136"/>
      <c r="EF224" s="136"/>
      <c r="EG224" s="136"/>
      <c r="EH224" s="136"/>
      <c r="EI224" s="136"/>
      <c r="EJ224" s="136"/>
      <c r="EK224" s="136"/>
      <c r="EL224" s="136"/>
      <c r="EM224" s="136"/>
      <c r="EN224" s="136"/>
      <c r="EO224" s="136"/>
      <c r="EP224" s="136"/>
      <c r="EQ224" s="136"/>
      <c r="ER224" s="136"/>
      <c r="ES224" s="136"/>
      <c r="ET224" s="136"/>
      <c r="EU224" s="136"/>
      <c r="EV224" s="136"/>
      <c r="EW224" s="136"/>
      <c r="EX224" s="136"/>
      <c r="EY224" s="136"/>
      <c r="EZ224" s="136"/>
      <c r="FA224" s="136"/>
      <c r="FB224" s="136"/>
      <c r="FC224" s="136"/>
      <c r="FD224" s="136"/>
      <c r="FE224" s="136"/>
      <c r="FF224" s="136"/>
      <c r="FG224" s="136"/>
      <c r="FH224" s="136"/>
      <c r="FI224" s="136"/>
      <c r="FJ224" s="136"/>
      <c r="FK224" s="136"/>
      <c r="FL224" s="136"/>
      <c r="FM224" s="136"/>
      <c r="FN224" s="136"/>
      <c r="FO224" s="136"/>
      <c r="FP224" s="136"/>
      <c r="FQ224" s="136"/>
      <c r="FR224" s="136"/>
      <c r="FS224" s="136"/>
      <c r="FT224" s="136"/>
      <c r="FU224" s="136"/>
      <c r="FV224" s="136"/>
      <c r="FW224" s="136"/>
      <c r="FX224" s="136"/>
      <c r="FY224" s="136"/>
      <c r="FZ224" s="136"/>
      <c r="GA224" s="136"/>
      <c r="GB224" s="136"/>
      <c r="GC224" s="136"/>
      <c r="GD224" s="136"/>
      <c r="GE224" s="136"/>
      <c r="GF224" s="136"/>
      <c r="GG224" s="136"/>
      <c r="GH224" s="136"/>
      <c r="GI224" s="136"/>
      <c r="GJ224" s="136"/>
      <c r="GK224" s="136"/>
      <c r="GL224" s="136"/>
      <c r="GM224" s="136"/>
      <c r="GN224" s="136"/>
      <c r="GO224" s="136"/>
      <c r="GP224" s="136"/>
      <c r="GQ224" s="136"/>
      <c r="GR224" s="136"/>
      <c r="GS224" s="136"/>
      <c r="GT224" s="136"/>
      <c r="GU224" s="136"/>
      <c r="GV224" s="136"/>
      <c r="GW224" s="136"/>
      <c r="GX224" s="136"/>
      <c r="GY224" s="136"/>
      <c r="GZ224" s="136"/>
      <c r="HA224" s="136"/>
      <c r="HB224" s="136"/>
      <c r="HC224" s="136"/>
      <c r="HD224" s="136"/>
      <c r="HE224" s="136"/>
      <c r="HF224" s="136"/>
      <c r="HG224" s="136"/>
      <c r="HH224" s="136"/>
      <c r="HI224" s="136"/>
      <c r="HJ224" s="136"/>
      <c r="HK224" s="136"/>
      <c r="HL224" s="136"/>
      <c r="HM224" s="136"/>
      <c r="HN224" s="136"/>
      <c r="HO224" s="136"/>
      <c r="HP224" s="136"/>
      <c r="HQ224" s="136"/>
      <c r="HR224" s="136"/>
      <c r="HS224" s="136"/>
      <c r="HT224" s="136"/>
      <c r="HU224" s="136"/>
      <c r="HV224" s="136"/>
      <c r="HW224" s="136"/>
      <c r="HX224" s="136"/>
      <c r="HY224" s="136"/>
      <c r="HZ224" s="136"/>
      <c r="IA224" s="136"/>
      <c r="IB224" s="136"/>
      <c r="IC224" s="136"/>
      <c r="ID224" s="136"/>
      <c r="IE224" s="136"/>
      <c r="IF224" s="136"/>
      <c r="IG224" s="136"/>
      <c r="IH224" s="136"/>
      <c r="II224" s="136"/>
      <c r="IJ224" s="136"/>
      <c r="IK224" s="136"/>
      <c r="IL224" s="136"/>
      <c r="IM224" s="136"/>
      <c r="IN224" s="136"/>
      <c r="IO224" s="136"/>
      <c r="IP224" s="136"/>
      <c r="IQ224" s="136"/>
      <c r="IR224" s="136"/>
      <c r="IS224" s="136"/>
      <c r="IT224" s="136"/>
      <c r="IU224" s="136"/>
    </row>
    <row r="225" spans="1:255" ht="85.5" x14ac:dyDescent="0.2">
      <c r="A225" s="242" t="str">
        <f>'HECVAT - Full'!A225</f>
        <v>PPPR-02</v>
      </c>
      <c r="B225" s="242" t="str">
        <f>VLOOKUP(A225,'HECVAT - Full'!A$24:B$312,2,FALSE)</f>
        <v>Do you have a documented patch management process?</v>
      </c>
      <c r="C225" s="245" t="s">
        <v>2928</v>
      </c>
      <c r="D225" s="245" t="s">
        <v>2929</v>
      </c>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6"/>
      <c r="AN225" s="136"/>
      <c r="AO225" s="136"/>
      <c r="AP225" s="136"/>
      <c r="AQ225" s="136"/>
      <c r="AR225" s="136"/>
      <c r="AS225" s="136"/>
      <c r="AT225" s="136"/>
      <c r="AU225" s="136"/>
      <c r="AV225" s="136"/>
      <c r="AW225" s="136"/>
      <c r="AX225" s="136"/>
      <c r="AY225" s="136"/>
      <c r="AZ225" s="136"/>
      <c r="BA225" s="136"/>
      <c r="BB225" s="136"/>
      <c r="BC225" s="136"/>
      <c r="BD225" s="136"/>
      <c r="BE225" s="136"/>
      <c r="BF225" s="136"/>
      <c r="BG225" s="136"/>
      <c r="BH225" s="136"/>
      <c r="BI225" s="136"/>
      <c r="BJ225" s="136"/>
      <c r="BK225" s="136"/>
      <c r="BL225" s="136"/>
      <c r="BM225" s="136"/>
      <c r="BN225" s="136"/>
      <c r="BO225" s="136"/>
      <c r="BP225" s="136"/>
      <c r="BQ225" s="136"/>
      <c r="BR225" s="136"/>
      <c r="BS225" s="136"/>
      <c r="BT225" s="136"/>
      <c r="BU225" s="136"/>
      <c r="BV225" s="136"/>
      <c r="BW225" s="136"/>
      <c r="BX225" s="136"/>
      <c r="BY225" s="136"/>
      <c r="BZ225" s="136"/>
      <c r="CA225" s="136"/>
      <c r="CB225" s="136"/>
      <c r="CC225" s="136"/>
      <c r="CD225" s="136"/>
      <c r="CE225" s="136"/>
      <c r="CF225" s="136"/>
      <c r="CG225" s="136"/>
      <c r="CH225" s="136"/>
      <c r="CI225" s="136"/>
      <c r="CJ225" s="136"/>
      <c r="CK225" s="136"/>
      <c r="CL225" s="136"/>
      <c r="CM225" s="136"/>
      <c r="CN225" s="136"/>
      <c r="CO225" s="136"/>
      <c r="CP225" s="136"/>
      <c r="CQ225" s="136"/>
      <c r="CR225" s="136"/>
      <c r="CS225" s="136"/>
      <c r="CT225" s="136"/>
      <c r="CU225" s="136"/>
      <c r="CV225" s="136"/>
      <c r="CW225" s="136"/>
      <c r="CX225" s="136"/>
      <c r="CY225" s="136"/>
      <c r="CZ225" s="136"/>
      <c r="DA225" s="136"/>
      <c r="DB225" s="136"/>
      <c r="DC225" s="136"/>
      <c r="DD225" s="136"/>
      <c r="DE225" s="136"/>
      <c r="DF225" s="136"/>
      <c r="DG225" s="136"/>
      <c r="DH225" s="136"/>
      <c r="DI225" s="136"/>
      <c r="DJ225" s="136"/>
      <c r="DK225" s="136"/>
      <c r="DL225" s="136"/>
      <c r="DM225" s="136"/>
      <c r="DN225" s="136"/>
      <c r="DO225" s="136"/>
      <c r="DP225" s="136"/>
      <c r="DQ225" s="136"/>
      <c r="DR225" s="136"/>
      <c r="DS225" s="136"/>
      <c r="DT225" s="136"/>
      <c r="DU225" s="136"/>
      <c r="DV225" s="136"/>
      <c r="DW225" s="136"/>
      <c r="DX225" s="136"/>
      <c r="DY225" s="136"/>
      <c r="DZ225" s="136"/>
      <c r="EA225" s="136"/>
      <c r="EB225" s="136"/>
      <c r="EC225" s="136"/>
      <c r="ED225" s="136"/>
      <c r="EE225" s="136"/>
      <c r="EF225" s="136"/>
      <c r="EG225" s="136"/>
      <c r="EH225" s="136"/>
      <c r="EI225" s="136"/>
      <c r="EJ225" s="136"/>
      <c r="EK225" s="136"/>
      <c r="EL225" s="136"/>
      <c r="EM225" s="136"/>
      <c r="EN225" s="136"/>
      <c r="EO225" s="136"/>
      <c r="EP225" s="136"/>
      <c r="EQ225" s="136"/>
      <c r="ER225" s="136"/>
      <c r="ES225" s="136"/>
      <c r="ET225" s="136"/>
      <c r="EU225" s="136"/>
      <c r="EV225" s="136"/>
      <c r="EW225" s="136"/>
      <c r="EX225" s="136"/>
      <c r="EY225" s="136"/>
      <c r="EZ225" s="136"/>
      <c r="FA225" s="136"/>
      <c r="FB225" s="136"/>
      <c r="FC225" s="136"/>
      <c r="FD225" s="136"/>
      <c r="FE225" s="136"/>
      <c r="FF225" s="136"/>
      <c r="FG225" s="136"/>
      <c r="FH225" s="136"/>
      <c r="FI225" s="136"/>
      <c r="FJ225" s="136"/>
      <c r="FK225" s="136"/>
      <c r="FL225" s="136"/>
      <c r="FM225" s="136"/>
      <c r="FN225" s="136"/>
      <c r="FO225" s="136"/>
      <c r="FP225" s="136"/>
      <c r="FQ225" s="136"/>
      <c r="FR225" s="136"/>
      <c r="FS225" s="136"/>
      <c r="FT225" s="136"/>
      <c r="FU225" s="136"/>
      <c r="FV225" s="136"/>
      <c r="FW225" s="136"/>
      <c r="FX225" s="136"/>
      <c r="FY225" s="136"/>
      <c r="FZ225" s="136"/>
      <c r="GA225" s="136"/>
      <c r="GB225" s="136"/>
      <c r="GC225" s="136"/>
      <c r="GD225" s="136"/>
      <c r="GE225" s="136"/>
      <c r="GF225" s="136"/>
      <c r="GG225" s="136"/>
      <c r="GH225" s="136"/>
      <c r="GI225" s="136"/>
      <c r="GJ225" s="136"/>
      <c r="GK225" s="136"/>
      <c r="GL225" s="136"/>
      <c r="GM225" s="136"/>
      <c r="GN225" s="136"/>
      <c r="GO225" s="136"/>
      <c r="GP225" s="136"/>
      <c r="GQ225" s="136"/>
      <c r="GR225" s="136"/>
      <c r="GS225" s="136"/>
      <c r="GT225" s="136"/>
      <c r="GU225" s="136"/>
      <c r="GV225" s="136"/>
      <c r="GW225" s="136"/>
      <c r="GX225" s="136"/>
      <c r="GY225" s="136"/>
      <c r="GZ225" s="136"/>
      <c r="HA225" s="136"/>
      <c r="HB225" s="136"/>
      <c r="HC225" s="136"/>
      <c r="HD225" s="136"/>
      <c r="HE225" s="136"/>
      <c r="HF225" s="136"/>
      <c r="HG225" s="136"/>
      <c r="HH225" s="136"/>
      <c r="HI225" s="136"/>
      <c r="HJ225" s="136"/>
      <c r="HK225" s="136"/>
      <c r="HL225" s="136"/>
      <c r="HM225" s="136"/>
      <c r="HN225" s="136"/>
      <c r="HO225" s="136"/>
      <c r="HP225" s="136"/>
      <c r="HQ225" s="136"/>
      <c r="HR225" s="136"/>
      <c r="HS225" s="136"/>
      <c r="HT225" s="136"/>
      <c r="HU225" s="136"/>
      <c r="HV225" s="136"/>
      <c r="HW225" s="136"/>
      <c r="HX225" s="136"/>
      <c r="HY225" s="136"/>
      <c r="HZ225" s="136"/>
      <c r="IA225" s="136"/>
      <c r="IB225" s="136"/>
      <c r="IC225" s="136"/>
      <c r="ID225" s="136"/>
      <c r="IE225" s="136"/>
      <c r="IF225" s="136"/>
      <c r="IG225" s="136"/>
      <c r="IH225" s="136"/>
      <c r="II225" s="136"/>
      <c r="IJ225" s="136"/>
      <c r="IK225" s="136"/>
      <c r="IL225" s="136"/>
      <c r="IM225" s="136"/>
      <c r="IN225" s="136"/>
      <c r="IO225" s="136"/>
      <c r="IP225" s="136"/>
      <c r="IQ225" s="136"/>
      <c r="IR225" s="136"/>
      <c r="IS225" s="136"/>
      <c r="IT225" s="136"/>
      <c r="IU225" s="136"/>
    </row>
    <row r="226" spans="1:255" ht="85.5" x14ac:dyDescent="0.2">
      <c r="A226" s="242" t="str">
        <f>'HECVAT - Full'!A226</f>
        <v>PPPR-03</v>
      </c>
      <c r="B226" s="242" t="str">
        <f>VLOOKUP(A226,'HECVAT - Full'!A$24:B$312,2,FALSE)</f>
        <v>Can you accommodate encryption requirements using open standards?</v>
      </c>
      <c r="C226" s="243" t="s">
        <v>2820</v>
      </c>
      <c r="D226" s="253" t="s">
        <v>2821</v>
      </c>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6"/>
      <c r="AN226" s="136"/>
      <c r="AO226" s="136"/>
      <c r="AP226" s="136"/>
      <c r="AQ226" s="136"/>
      <c r="AR226" s="136"/>
      <c r="AS226" s="136"/>
      <c r="AT226" s="136"/>
      <c r="AU226" s="136"/>
      <c r="AV226" s="136"/>
      <c r="AW226" s="136"/>
      <c r="AX226" s="136"/>
      <c r="AY226" s="136"/>
      <c r="AZ226" s="136"/>
      <c r="BA226" s="136"/>
      <c r="BB226" s="136"/>
      <c r="BC226" s="136"/>
      <c r="BD226" s="136"/>
      <c r="BE226" s="136"/>
      <c r="BF226" s="136"/>
      <c r="BG226" s="136"/>
      <c r="BH226" s="136"/>
      <c r="BI226" s="136"/>
      <c r="BJ226" s="136"/>
      <c r="BK226" s="136"/>
      <c r="BL226" s="136"/>
      <c r="BM226" s="136"/>
      <c r="BN226" s="136"/>
      <c r="BO226" s="136"/>
      <c r="BP226" s="136"/>
      <c r="BQ226" s="136"/>
      <c r="BR226" s="136"/>
      <c r="BS226" s="136"/>
      <c r="BT226" s="136"/>
      <c r="BU226" s="136"/>
      <c r="BV226" s="136"/>
      <c r="BW226" s="136"/>
      <c r="BX226" s="136"/>
      <c r="BY226" s="136"/>
      <c r="BZ226" s="136"/>
      <c r="CA226" s="136"/>
      <c r="CB226" s="136"/>
      <c r="CC226" s="136"/>
      <c r="CD226" s="136"/>
      <c r="CE226" s="136"/>
      <c r="CF226" s="136"/>
      <c r="CG226" s="136"/>
      <c r="CH226" s="136"/>
      <c r="CI226" s="136"/>
      <c r="CJ226" s="136"/>
      <c r="CK226" s="136"/>
      <c r="CL226" s="136"/>
      <c r="CM226" s="136"/>
      <c r="CN226" s="136"/>
      <c r="CO226" s="136"/>
      <c r="CP226" s="136"/>
      <c r="CQ226" s="136"/>
      <c r="CR226" s="136"/>
      <c r="CS226" s="136"/>
      <c r="CT226" s="136"/>
      <c r="CU226" s="136"/>
      <c r="CV226" s="136"/>
      <c r="CW226" s="136"/>
      <c r="CX226" s="136"/>
      <c r="CY226" s="136"/>
      <c r="CZ226" s="136"/>
      <c r="DA226" s="136"/>
      <c r="DB226" s="136"/>
      <c r="DC226" s="136"/>
      <c r="DD226" s="136"/>
      <c r="DE226" s="136"/>
      <c r="DF226" s="136"/>
      <c r="DG226" s="136"/>
      <c r="DH226" s="136"/>
      <c r="DI226" s="136"/>
      <c r="DJ226" s="136"/>
      <c r="DK226" s="136"/>
      <c r="DL226" s="136"/>
      <c r="DM226" s="136"/>
      <c r="DN226" s="136"/>
      <c r="DO226" s="136"/>
      <c r="DP226" s="136"/>
      <c r="DQ226" s="136"/>
      <c r="DR226" s="136"/>
      <c r="DS226" s="136"/>
      <c r="DT226" s="136"/>
      <c r="DU226" s="136"/>
      <c r="DV226" s="136"/>
      <c r="DW226" s="136"/>
      <c r="DX226" s="136"/>
      <c r="DY226" s="136"/>
      <c r="DZ226" s="136"/>
      <c r="EA226" s="136"/>
      <c r="EB226" s="136"/>
      <c r="EC226" s="136"/>
      <c r="ED226" s="136"/>
      <c r="EE226" s="136"/>
      <c r="EF226" s="136"/>
      <c r="EG226" s="136"/>
      <c r="EH226" s="136"/>
      <c r="EI226" s="136"/>
      <c r="EJ226" s="136"/>
      <c r="EK226" s="136"/>
      <c r="EL226" s="136"/>
      <c r="EM226" s="136"/>
      <c r="EN226" s="136"/>
      <c r="EO226" s="136"/>
      <c r="EP226" s="136"/>
      <c r="EQ226" s="136"/>
      <c r="ER226" s="136"/>
      <c r="ES226" s="136"/>
      <c r="ET226" s="136"/>
      <c r="EU226" s="136"/>
      <c r="EV226" s="136"/>
      <c r="EW226" s="136"/>
      <c r="EX226" s="136"/>
      <c r="EY226" s="136"/>
      <c r="EZ226" s="136"/>
      <c r="FA226" s="136"/>
      <c r="FB226" s="136"/>
      <c r="FC226" s="136"/>
      <c r="FD226" s="136"/>
      <c r="FE226" s="136"/>
      <c r="FF226" s="136"/>
      <c r="FG226" s="136"/>
      <c r="FH226" s="136"/>
      <c r="FI226" s="136"/>
      <c r="FJ226" s="136"/>
      <c r="FK226" s="136"/>
      <c r="FL226" s="136"/>
      <c r="FM226" s="136"/>
      <c r="FN226" s="136"/>
      <c r="FO226" s="136"/>
      <c r="FP226" s="136"/>
      <c r="FQ226" s="136"/>
      <c r="FR226" s="136"/>
      <c r="FS226" s="136"/>
      <c r="FT226" s="136"/>
      <c r="FU226" s="136"/>
      <c r="FV226" s="136"/>
      <c r="FW226" s="136"/>
      <c r="FX226" s="136"/>
      <c r="FY226" s="136"/>
      <c r="FZ226" s="136"/>
      <c r="GA226" s="136"/>
      <c r="GB226" s="136"/>
      <c r="GC226" s="136"/>
      <c r="GD226" s="136"/>
      <c r="GE226" s="136"/>
      <c r="GF226" s="136"/>
      <c r="GG226" s="136"/>
      <c r="GH226" s="136"/>
      <c r="GI226" s="136"/>
      <c r="GJ226" s="136"/>
      <c r="GK226" s="136"/>
      <c r="GL226" s="136"/>
      <c r="GM226" s="136"/>
      <c r="GN226" s="136"/>
      <c r="GO226" s="136"/>
      <c r="GP226" s="136"/>
      <c r="GQ226" s="136"/>
      <c r="GR226" s="136"/>
      <c r="GS226" s="136"/>
      <c r="GT226" s="136"/>
      <c r="GU226" s="136"/>
      <c r="GV226" s="136"/>
      <c r="GW226" s="136"/>
      <c r="GX226" s="136"/>
      <c r="GY226" s="136"/>
      <c r="GZ226" s="136"/>
      <c r="HA226" s="136"/>
      <c r="HB226" s="136"/>
      <c r="HC226" s="136"/>
      <c r="HD226" s="136"/>
      <c r="HE226" s="136"/>
      <c r="HF226" s="136"/>
      <c r="HG226" s="136"/>
      <c r="HH226" s="136"/>
      <c r="HI226" s="136"/>
      <c r="HJ226" s="136"/>
      <c r="HK226" s="136"/>
      <c r="HL226" s="136"/>
      <c r="HM226" s="136"/>
      <c r="HN226" s="136"/>
      <c r="HO226" s="136"/>
      <c r="HP226" s="136"/>
      <c r="HQ226" s="136"/>
      <c r="HR226" s="136"/>
      <c r="HS226" s="136"/>
      <c r="HT226" s="136"/>
      <c r="HU226" s="136"/>
      <c r="HV226" s="136"/>
      <c r="HW226" s="136"/>
      <c r="HX226" s="136"/>
      <c r="HY226" s="136"/>
      <c r="HZ226" s="136"/>
      <c r="IA226" s="136"/>
      <c r="IB226" s="136"/>
      <c r="IC226" s="136"/>
      <c r="ID226" s="136"/>
      <c r="IE226" s="136"/>
      <c r="IF226" s="136"/>
      <c r="IG226" s="136"/>
      <c r="IH226" s="136"/>
      <c r="II226" s="136"/>
      <c r="IJ226" s="136"/>
      <c r="IK226" s="136"/>
      <c r="IL226" s="136"/>
      <c r="IM226" s="136"/>
      <c r="IN226" s="136"/>
      <c r="IO226" s="136"/>
      <c r="IP226" s="136"/>
      <c r="IQ226" s="136"/>
      <c r="IR226" s="136"/>
      <c r="IS226" s="136"/>
      <c r="IT226" s="136"/>
      <c r="IU226" s="136"/>
    </row>
    <row r="227" spans="1:255" ht="84.75" customHeight="1" x14ac:dyDescent="0.2">
      <c r="A227" s="242" t="str">
        <f>'HECVAT - Full'!A227</f>
        <v>PPPR-04</v>
      </c>
      <c r="B227" s="242" t="str">
        <f>VLOOKUP(A227,'HECVAT - Full'!A$24:B$312,2,FALSE)</f>
        <v>Have your developers been trained in secure coding techniques?</v>
      </c>
      <c r="C227" s="275" t="s">
        <v>3042</v>
      </c>
      <c r="D227" s="248" t="s">
        <v>2918</v>
      </c>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6"/>
      <c r="AN227" s="136"/>
      <c r="AO227" s="136"/>
      <c r="AP227" s="136"/>
      <c r="AQ227" s="136"/>
      <c r="AR227" s="136"/>
      <c r="AS227" s="136"/>
      <c r="AT227" s="136"/>
      <c r="AU227" s="136"/>
      <c r="AV227" s="136"/>
      <c r="AW227" s="136"/>
      <c r="AX227" s="136"/>
      <c r="AY227" s="136"/>
      <c r="AZ227" s="136"/>
      <c r="BA227" s="136"/>
      <c r="BB227" s="136"/>
      <c r="BC227" s="136"/>
      <c r="BD227" s="136"/>
      <c r="BE227" s="136"/>
      <c r="BF227" s="136"/>
      <c r="BG227" s="136"/>
      <c r="BH227" s="136"/>
      <c r="BI227" s="136"/>
      <c r="BJ227" s="136"/>
      <c r="BK227" s="136"/>
      <c r="BL227" s="136"/>
      <c r="BM227" s="136"/>
      <c r="BN227" s="136"/>
      <c r="BO227" s="136"/>
      <c r="BP227" s="136"/>
      <c r="BQ227" s="136"/>
      <c r="BR227" s="136"/>
      <c r="BS227" s="136"/>
      <c r="BT227" s="136"/>
      <c r="BU227" s="136"/>
      <c r="BV227" s="136"/>
      <c r="BW227" s="136"/>
      <c r="BX227" s="136"/>
      <c r="BY227" s="136"/>
      <c r="BZ227" s="136"/>
      <c r="CA227" s="136"/>
      <c r="CB227" s="136"/>
      <c r="CC227" s="136"/>
      <c r="CD227" s="136"/>
      <c r="CE227" s="136"/>
      <c r="CF227" s="136"/>
      <c r="CG227" s="136"/>
      <c r="CH227" s="136"/>
      <c r="CI227" s="136"/>
      <c r="CJ227" s="136"/>
      <c r="CK227" s="136"/>
      <c r="CL227" s="136"/>
      <c r="CM227" s="136"/>
      <c r="CN227" s="136"/>
      <c r="CO227" s="136"/>
      <c r="CP227" s="136"/>
      <c r="CQ227" s="136"/>
      <c r="CR227" s="136"/>
      <c r="CS227" s="136"/>
      <c r="CT227" s="136"/>
      <c r="CU227" s="136"/>
      <c r="CV227" s="136"/>
      <c r="CW227" s="136"/>
      <c r="CX227" s="136"/>
      <c r="CY227" s="136"/>
      <c r="CZ227" s="136"/>
      <c r="DA227" s="136"/>
      <c r="DB227" s="136"/>
      <c r="DC227" s="136"/>
      <c r="DD227" s="136"/>
      <c r="DE227" s="136"/>
      <c r="DF227" s="136"/>
      <c r="DG227" s="136"/>
      <c r="DH227" s="136"/>
      <c r="DI227" s="136"/>
      <c r="DJ227" s="136"/>
      <c r="DK227" s="136"/>
      <c r="DL227" s="136"/>
      <c r="DM227" s="136"/>
      <c r="DN227" s="136"/>
      <c r="DO227" s="136"/>
      <c r="DP227" s="136"/>
      <c r="DQ227" s="136"/>
      <c r="DR227" s="136"/>
      <c r="DS227" s="136"/>
      <c r="DT227" s="136"/>
      <c r="DU227" s="136"/>
      <c r="DV227" s="136"/>
      <c r="DW227" s="136"/>
      <c r="DX227" s="136"/>
      <c r="DY227" s="136"/>
      <c r="DZ227" s="136"/>
      <c r="EA227" s="136"/>
      <c r="EB227" s="136"/>
      <c r="EC227" s="136"/>
      <c r="ED227" s="136"/>
      <c r="EE227" s="136"/>
      <c r="EF227" s="136"/>
      <c r="EG227" s="136"/>
      <c r="EH227" s="136"/>
      <c r="EI227" s="136"/>
      <c r="EJ227" s="136"/>
      <c r="EK227" s="136"/>
      <c r="EL227" s="136"/>
      <c r="EM227" s="136"/>
      <c r="EN227" s="136"/>
      <c r="EO227" s="136"/>
      <c r="EP227" s="136"/>
      <c r="EQ227" s="136"/>
      <c r="ER227" s="136"/>
      <c r="ES227" s="136"/>
      <c r="ET227" s="136"/>
      <c r="EU227" s="136"/>
      <c r="EV227" s="136"/>
      <c r="EW227" s="136"/>
      <c r="EX227" s="136"/>
      <c r="EY227" s="136"/>
      <c r="EZ227" s="136"/>
      <c r="FA227" s="136"/>
      <c r="FB227" s="136"/>
      <c r="FC227" s="136"/>
      <c r="FD227" s="136"/>
      <c r="FE227" s="136"/>
      <c r="FF227" s="136"/>
      <c r="FG227" s="136"/>
      <c r="FH227" s="136"/>
      <c r="FI227" s="136"/>
      <c r="FJ227" s="136"/>
      <c r="FK227" s="136"/>
      <c r="FL227" s="136"/>
      <c r="FM227" s="136"/>
      <c r="FN227" s="136"/>
      <c r="FO227" s="136"/>
      <c r="FP227" s="136"/>
      <c r="FQ227" s="136"/>
      <c r="FR227" s="136"/>
      <c r="FS227" s="136"/>
      <c r="FT227" s="136"/>
      <c r="FU227" s="136"/>
      <c r="FV227" s="136"/>
      <c r="FW227" s="136"/>
      <c r="FX227" s="136"/>
      <c r="FY227" s="136"/>
      <c r="FZ227" s="136"/>
      <c r="GA227" s="136"/>
      <c r="GB227" s="136"/>
      <c r="GC227" s="136"/>
      <c r="GD227" s="136"/>
      <c r="GE227" s="136"/>
      <c r="GF227" s="136"/>
      <c r="GG227" s="136"/>
      <c r="GH227" s="136"/>
      <c r="GI227" s="136"/>
      <c r="GJ227" s="136"/>
      <c r="GK227" s="136"/>
      <c r="GL227" s="136"/>
      <c r="GM227" s="136"/>
      <c r="GN227" s="136"/>
      <c r="GO227" s="136"/>
      <c r="GP227" s="136"/>
      <c r="GQ227" s="136"/>
      <c r="GR227" s="136"/>
      <c r="GS227" s="136"/>
      <c r="GT227" s="136"/>
      <c r="GU227" s="136"/>
      <c r="GV227" s="136"/>
      <c r="GW227" s="136"/>
      <c r="GX227" s="136"/>
      <c r="GY227" s="136"/>
      <c r="GZ227" s="136"/>
      <c r="HA227" s="136"/>
      <c r="HB227" s="136"/>
      <c r="HC227" s="136"/>
      <c r="HD227" s="136"/>
      <c r="HE227" s="136"/>
      <c r="HF227" s="136"/>
      <c r="HG227" s="136"/>
      <c r="HH227" s="136"/>
      <c r="HI227" s="136"/>
      <c r="HJ227" s="136"/>
      <c r="HK227" s="136"/>
      <c r="HL227" s="136"/>
      <c r="HM227" s="136"/>
      <c r="HN227" s="136"/>
      <c r="HO227" s="136"/>
      <c r="HP227" s="136"/>
      <c r="HQ227" s="136"/>
      <c r="HR227" s="136"/>
      <c r="HS227" s="136"/>
      <c r="HT227" s="136"/>
      <c r="HU227" s="136"/>
      <c r="HV227" s="136"/>
      <c r="HW227" s="136"/>
      <c r="HX227" s="136"/>
      <c r="HY227" s="136"/>
      <c r="HZ227" s="136"/>
      <c r="IA227" s="136"/>
      <c r="IB227" s="136"/>
      <c r="IC227" s="136"/>
      <c r="ID227" s="136"/>
      <c r="IE227" s="136"/>
      <c r="IF227" s="136"/>
      <c r="IG227" s="136"/>
      <c r="IH227" s="136"/>
      <c r="II227" s="136"/>
      <c r="IJ227" s="136"/>
      <c r="IK227" s="136"/>
      <c r="IL227" s="136"/>
      <c r="IM227" s="136"/>
      <c r="IN227" s="136"/>
      <c r="IO227" s="136"/>
      <c r="IP227" s="136"/>
      <c r="IQ227" s="136"/>
      <c r="IR227" s="136"/>
      <c r="IS227" s="136"/>
      <c r="IT227" s="136"/>
      <c r="IU227" s="136"/>
    </row>
    <row r="228" spans="1:255" ht="84.75" customHeight="1" x14ac:dyDescent="0.2">
      <c r="A228" s="242" t="str">
        <f>'HECVAT - Full'!A228</f>
        <v>PPPR-05</v>
      </c>
      <c r="B228" s="242" t="str">
        <f>VLOOKUP(A228,'HECVAT - Full'!A$24:B$312,2,FALSE)</f>
        <v>Was your application developed using secure coding techniques?</v>
      </c>
      <c r="C228" s="275" t="s">
        <v>3042</v>
      </c>
      <c r="D228" s="248" t="s">
        <v>2918</v>
      </c>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6"/>
      <c r="AN228" s="136"/>
      <c r="AO228" s="136"/>
      <c r="AP228" s="136"/>
      <c r="AQ228" s="136"/>
      <c r="AR228" s="136"/>
      <c r="AS228" s="136"/>
      <c r="AT228" s="136"/>
      <c r="AU228" s="136"/>
      <c r="AV228" s="136"/>
      <c r="AW228" s="136"/>
      <c r="AX228" s="136"/>
      <c r="AY228" s="136"/>
      <c r="AZ228" s="136"/>
      <c r="BA228" s="136"/>
      <c r="BB228" s="136"/>
      <c r="BC228" s="136"/>
      <c r="BD228" s="136"/>
      <c r="BE228" s="136"/>
      <c r="BF228" s="136"/>
      <c r="BG228" s="136"/>
      <c r="BH228" s="136"/>
      <c r="BI228" s="136"/>
      <c r="BJ228" s="136"/>
      <c r="BK228" s="136"/>
      <c r="BL228" s="136"/>
      <c r="BM228" s="136"/>
      <c r="BN228" s="136"/>
      <c r="BO228" s="136"/>
      <c r="BP228" s="136"/>
      <c r="BQ228" s="136"/>
      <c r="BR228" s="136"/>
      <c r="BS228" s="136"/>
      <c r="BT228" s="136"/>
      <c r="BU228" s="136"/>
      <c r="BV228" s="136"/>
      <c r="BW228" s="136"/>
      <c r="BX228" s="136"/>
      <c r="BY228" s="136"/>
      <c r="BZ228" s="136"/>
      <c r="CA228" s="136"/>
      <c r="CB228" s="136"/>
      <c r="CC228" s="136"/>
      <c r="CD228" s="136"/>
      <c r="CE228" s="136"/>
      <c r="CF228" s="136"/>
      <c r="CG228" s="136"/>
      <c r="CH228" s="136"/>
      <c r="CI228" s="136"/>
      <c r="CJ228" s="136"/>
      <c r="CK228" s="136"/>
      <c r="CL228" s="136"/>
      <c r="CM228" s="136"/>
      <c r="CN228" s="136"/>
      <c r="CO228" s="136"/>
      <c r="CP228" s="136"/>
      <c r="CQ228" s="136"/>
      <c r="CR228" s="136"/>
      <c r="CS228" s="136"/>
      <c r="CT228" s="136"/>
      <c r="CU228" s="136"/>
      <c r="CV228" s="136"/>
      <c r="CW228" s="136"/>
      <c r="CX228" s="136"/>
      <c r="CY228" s="136"/>
      <c r="CZ228" s="136"/>
      <c r="DA228" s="136"/>
      <c r="DB228" s="136"/>
      <c r="DC228" s="136"/>
      <c r="DD228" s="136"/>
      <c r="DE228" s="136"/>
      <c r="DF228" s="136"/>
      <c r="DG228" s="136"/>
      <c r="DH228" s="136"/>
      <c r="DI228" s="136"/>
      <c r="DJ228" s="136"/>
      <c r="DK228" s="136"/>
      <c r="DL228" s="136"/>
      <c r="DM228" s="136"/>
      <c r="DN228" s="136"/>
      <c r="DO228" s="136"/>
      <c r="DP228" s="136"/>
      <c r="DQ228" s="136"/>
      <c r="DR228" s="136"/>
      <c r="DS228" s="136"/>
      <c r="DT228" s="136"/>
      <c r="DU228" s="136"/>
      <c r="DV228" s="136"/>
      <c r="DW228" s="136"/>
      <c r="DX228" s="136"/>
      <c r="DY228" s="136"/>
      <c r="DZ228" s="136"/>
      <c r="EA228" s="136"/>
      <c r="EB228" s="136"/>
      <c r="EC228" s="136"/>
      <c r="ED228" s="136"/>
      <c r="EE228" s="136"/>
      <c r="EF228" s="136"/>
      <c r="EG228" s="136"/>
      <c r="EH228" s="136"/>
      <c r="EI228" s="136"/>
      <c r="EJ228" s="136"/>
      <c r="EK228" s="136"/>
      <c r="EL228" s="136"/>
      <c r="EM228" s="136"/>
      <c r="EN228" s="136"/>
      <c r="EO228" s="136"/>
      <c r="EP228" s="136"/>
      <c r="EQ228" s="136"/>
      <c r="ER228" s="136"/>
      <c r="ES228" s="136"/>
      <c r="ET228" s="136"/>
      <c r="EU228" s="136"/>
      <c r="EV228" s="136"/>
      <c r="EW228" s="136"/>
      <c r="EX228" s="136"/>
      <c r="EY228" s="136"/>
      <c r="EZ228" s="136"/>
      <c r="FA228" s="136"/>
      <c r="FB228" s="136"/>
      <c r="FC228" s="136"/>
      <c r="FD228" s="136"/>
      <c r="FE228" s="136"/>
      <c r="FF228" s="136"/>
      <c r="FG228" s="136"/>
      <c r="FH228" s="136"/>
      <c r="FI228" s="136"/>
      <c r="FJ228" s="136"/>
      <c r="FK228" s="136"/>
      <c r="FL228" s="136"/>
      <c r="FM228" s="136"/>
      <c r="FN228" s="136"/>
      <c r="FO228" s="136"/>
      <c r="FP228" s="136"/>
      <c r="FQ228" s="136"/>
      <c r="FR228" s="136"/>
      <c r="FS228" s="136"/>
      <c r="FT228" s="136"/>
      <c r="FU228" s="136"/>
      <c r="FV228" s="136"/>
      <c r="FW228" s="136"/>
      <c r="FX228" s="136"/>
      <c r="FY228" s="136"/>
      <c r="FZ228" s="136"/>
      <c r="GA228" s="136"/>
      <c r="GB228" s="136"/>
      <c r="GC228" s="136"/>
      <c r="GD228" s="136"/>
      <c r="GE228" s="136"/>
      <c r="GF228" s="136"/>
      <c r="GG228" s="136"/>
      <c r="GH228" s="136"/>
      <c r="GI228" s="136"/>
      <c r="GJ228" s="136"/>
      <c r="GK228" s="136"/>
      <c r="GL228" s="136"/>
      <c r="GM228" s="136"/>
      <c r="GN228" s="136"/>
      <c r="GO228" s="136"/>
      <c r="GP228" s="136"/>
      <c r="GQ228" s="136"/>
      <c r="GR228" s="136"/>
      <c r="GS228" s="136"/>
      <c r="GT228" s="136"/>
      <c r="GU228" s="136"/>
      <c r="GV228" s="136"/>
      <c r="GW228" s="136"/>
      <c r="GX228" s="136"/>
      <c r="GY228" s="136"/>
      <c r="GZ228" s="136"/>
      <c r="HA228" s="136"/>
      <c r="HB228" s="136"/>
      <c r="HC228" s="136"/>
      <c r="HD228" s="136"/>
      <c r="HE228" s="136"/>
      <c r="HF228" s="136"/>
      <c r="HG228" s="136"/>
      <c r="HH228" s="136"/>
      <c r="HI228" s="136"/>
      <c r="HJ228" s="136"/>
      <c r="HK228" s="136"/>
      <c r="HL228" s="136"/>
      <c r="HM228" s="136"/>
      <c r="HN228" s="136"/>
      <c r="HO228" s="136"/>
      <c r="HP228" s="136"/>
      <c r="HQ228" s="136"/>
      <c r="HR228" s="136"/>
      <c r="HS228" s="136"/>
      <c r="HT228" s="136"/>
      <c r="HU228" s="136"/>
      <c r="HV228" s="136"/>
      <c r="HW228" s="136"/>
      <c r="HX228" s="136"/>
      <c r="HY228" s="136"/>
      <c r="HZ228" s="136"/>
      <c r="IA228" s="136"/>
      <c r="IB228" s="136"/>
      <c r="IC228" s="136"/>
      <c r="ID228" s="136"/>
      <c r="IE228" s="136"/>
      <c r="IF228" s="136"/>
      <c r="IG228" s="136"/>
      <c r="IH228" s="136"/>
      <c r="II228" s="136"/>
      <c r="IJ228" s="136"/>
      <c r="IK228" s="136"/>
      <c r="IL228" s="136"/>
      <c r="IM228" s="136"/>
      <c r="IN228" s="136"/>
      <c r="IO228" s="136"/>
      <c r="IP228" s="136"/>
      <c r="IQ228" s="136"/>
      <c r="IR228" s="136"/>
      <c r="IS228" s="136"/>
      <c r="IT228" s="136"/>
      <c r="IU228" s="136"/>
    </row>
    <row r="229" spans="1:255" ht="120.75" customHeight="1" x14ac:dyDescent="0.2">
      <c r="A229" s="242" t="str">
        <f>'HECVAT - Full'!A229</f>
        <v>PPPR-06</v>
      </c>
      <c r="B229" s="242" t="str">
        <f>VLOOKUP(A229,'HECVAT - Full'!A$24:B$312,2,FALSE)</f>
        <v>Do you subject your code to static code analysis and/or static application security testing prior to release?</v>
      </c>
      <c r="C229" s="243" t="s">
        <v>2930</v>
      </c>
      <c r="D229" s="248" t="s">
        <v>2931</v>
      </c>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6"/>
      <c r="AN229" s="136"/>
      <c r="AO229" s="136"/>
      <c r="AP229" s="136"/>
      <c r="AQ229" s="136"/>
      <c r="AR229" s="136"/>
      <c r="AS229" s="136"/>
      <c r="AT229" s="136"/>
      <c r="AU229" s="136"/>
      <c r="AV229" s="136"/>
      <c r="AW229" s="136"/>
      <c r="AX229" s="136"/>
      <c r="AY229" s="136"/>
      <c r="AZ229" s="136"/>
      <c r="BA229" s="136"/>
      <c r="BB229" s="136"/>
      <c r="BC229" s="136"/>
      <c r="BD229" s="136"/>
      <c r="BE229" s="136"/>
      <c r="BF229" s="136"/>
      <c r="BG229" s="136"/>
      <c r="BH229" s="136"/>
      <c r="BI229" s="136"/>
      <c r="BJ229" s="136"/>
      <c r="BK229" s="136"/>
      <c r="BL229" s="136"/>
      <c r="BM229" s="136"/>
      <c r="BN229" s="136"/>
      <c r="BO229" s="136"/>
      <c r="BP229" s="136"/>
      <c r="BQ229" s="136"/>
      <c r="BR229" s="136"/>
      <c r="BS229" s="136"/>
      <c r="BT229" s="136"/>
      <c r="BU229" s="136"/>
      <c r="BV229" s="136"/>
      <c r="BW229" s="136"/>
      <c r="BX229" s="136"/>
      <c r="BY229" s="136"/>
      <c r="BZ229" s="136"/>
      <c r="CA229" s="136"/>
      <c r="CB229" s="136"/>
      <c r="CC229" s="136"/>
      <c r="CD229" s="136"/>
      <c r="CE229" s="136"/>
      <c r="CF229" s="136"/>
      <c r="CG229" s="136"/>
      <c r="CH229" s="136"/>
      <c r="CI229" s="136"/>
      <c r="CJ229" s="136"/>
      <c r="CK229" s="136"/>
      <c r="CL229" s="136"/>
      <c r="CM229" s="136"/>
      <c r="CN229" s="136"/>
      <c r="CO229" s="136"/>
      <c r="CP229" s="136"/>
      <c r="CQ229" s="136"/>
      <c r="CR229" s="136"/>
      <c r="CS229" s="136"/>
      <c r="CT229" s="136"/>
      <c r="CU229" s="136"/>
      <c r="CV229" s="136"/>
      <c r="CW229" s="136"/>
      <c r="CX229" s="136"/>
      <c r="CY229" s="136"/>
      <c r="CZ229" s="136"/>
      <c r="DA229" s="136"/>
      <c r="DB229" s="136"/>
      <c r="DC229" s="136"/>
      <c r="DD229" s="136"/>
      <c r="DE229" s="136"/>
      <c r="DF229" s="136"/>
      <c r="DG229" s="136"/>
      <c r="DH229" s="136"/>
      <c r="DI229" s="136"/>
      <c r="DJ229" s="136"/>
      <c r="DK229" s="136"/>
      <c r="DL229" s="136"/>
      <c r="DM229" s="136"/>
      <c r="DN229" s="136"/>
      <c r="DO229" s="136"/>
      <c r="DP229" s="136"/>
      <c r="DQ229" s="136"/>
      <c r="DR229" s="136"/>
      <c r="DS229" s="136"/>
      <c r="DT229" s="136"/>
      <c r="DU229" s="136"/>
      <c r="DV229" s="136"/>
      <c r="DW229" s="136"/>
      <c r="DX229" s="136"/>
      <c r="DY229" s="136"/>
      <c r="DZ229" s="136"/>
      <c r="EA229" s="136"/>
      <c r="EB229" s="136"/>
      <c r="EC229" s="136"/>
      <c r="ED229" s="136"/>
      <c r="EE229" s="136"/>
      <c r="EF229" s="136"/>
      <c r="EG229" s="136"/>
      <c r="EH229" s="136"/>
      <c r="EI229" s="136"/>
      <c r="EJ229" s="136"/>
      <c r="EK229" s="136"/>
      <c r="EL229" s="136"/>
      <c r="EM229" s="136"/>
      <c r="EN229" s="136"/>
      <c r="EO229" s="136"/>
      <c r="EP229" s="136"/>
      <c r="EQ229" s="136"/>
      <c r="ER229" s="136"/>
      <c r="ES229" s="136"/>
      <c r="ET229" s="136"/>
      <c r="EU229" s="136"/>
      <c r="EV229" s="136"/>
      <c r="EW229" s="136"/>
      <c r="EX229" s="136"/>
      <c r="EY229" s="136"/>
      <c r="EZ229" s="136"/>
      <c r="FA229" s="136"/>
      <c r="FB229" s="136"/>
      <c r="FC229" s="136"/>
      <c r="FD229" s="136"/>
      <c r="FE229" s="136"/>
      <c r="FF229" s="136"/>
      <c r="FG229" s="136"/>
      <c r="FH229" s="136"/>
      <c r="FI229" s="136"/>
      <c r="FJ229" s="136"/>
      <c r="FK229" s="136"/>
      <c r="FL229" s="136"/>
      <c r="FM229" s="136"/>
      <c r="FN229" s="136"/>
      <c r="FO229" s="136"/>
      <c r="FP229" s="136"/>
      <c r="FQ229" s="136"/>
      <c r="FR229" s="136"/>
      <c r="FS229" s="136"/>
      <c r="FT229" s="136"/>
      <c r="FU229" s="136"/>
      <c r="FV229" s="136"/>
      <c r="FW229" s="136"/>
      <c r="FX229" s="136"/>
      <c r="FY229" s="136"/>
      <c r="FZ229" s="136"/>
      <c r="GA229" s="136"/>
      <c r="GB229" s="136"/>
      <c r="GC229" s="136"/>
      <c r="GD229" s="136"/>
      <c r="GE229" s="136"/>
      <c r="GF229" s="136"/>
      <c r="GG229" s="136"/>
      <c r="GH229" s="136"/>
      <c r="GI229" s="136"/>
      <c r="GJ229" s="136"/>
      <c r="GK229" s="136"/>
      <c r="GL229" s="136"/>
      <c r="GM229" s="136"/>
      <c r="GN229" s="136"/>
      <c r="GO229" s="136"/>
      <c r="GP229" s="136"/>
      <c r="GQ229" s="136"/>
      <c r="GR229" s="136"/>
      <c r="GS229" s="136"/>
      <c r="GT229" s="136"/>
      <c r="GU229" s="136"/>
      <c r="GV229" s="136"/>
      <c r="GW229" s="136"/>
      <c r="GX229" s="136"/>
      <c r="GY229" s="136"/>
      <c r="GZ229" s="136"/>
      <c r="HA229" s="136"/>
      <c r="HB229" s="136"/>
      <c r="HC229" s="136"/>
      <c r="HD229" s="136"/>
      <c r="HE229" s="136"/>
      <c r="HF229" s="136"/>
      <c r="HG229" s="136"/>
      <c r="HH229" s="136"/>
      <c r="HI229" s="136"/>
      <c r="HJ229" s="136"/>
      <c r="HK229" s="136"/>
      <c r="HL229" s="136"/>
      <c r="HM229" s="136"/>
      <c r="HN229" s="136"/>
      <c r="HO229" s="136"/>
      <c r="HP229" s="136"/>
      <c r="HQ229" s="136"/>
      <c r="HR229" s="136"/>
      <c r="HS229" s="136"/>
      <c r="HT229" s="136"/>
      <c r="HU229" s="136"/>
      <c r="HV229" s="136"/>
      <c r="HW229" s="136"/>
      <c r="HX229" s="136"/>
      <c r="HY229" s="136"/>
      <c r="HZ229" s="136"/>
      <c r="IA229" s="136"/>
      <c r="IB229" s="136"/>
      <c r="IC229" s="136"/>
      <c r="ID229" s="136"/>
      <c r="IE229" s="136"/>
      <c r="IF229" s="136"/>
      <c r="IG229" s="136"/>
      <c r="IH229" s="136"/>
      <c r="II229" s="136"/>
      <c r="IJ229" s="136"/>
      <c r="IK229" s="136"/>
      <c r="IL229" s="136"/>
      <c r="IM229" s="136"/>
      <c r="IN229" s="136"/>
      <c r="IO229" s="136"/>
      <c r="IP229" s="136"/>
      <c r="IQ229" s="136"/>
      <c r="IR229" s="136"/>
      <c r="IS229" s="136"/>
      <c r="IT229" s="136"/>
      <c r="IU229" s="136"/>
    </row>
    <row r="230" spans="1:255" ht="84" customHeight="1" x14ac:dyDescent="0.2">
      <c r="A230" s="242" t="str">
        <f>'HECVAT - Full'!A230</f>
        <v>PPPR-07</v>
      </c>
      <c r="B230" s="242" t="str">
        <f>VLOOKUP(A230,'HECVAT - Full'!A$24:B$312,2,FALSE)</f>
        <v>Do you have software testing processes (dynamic or static) that are established and followed?</v>
      </c>
      <c r="C230" s="243" t="s">
        <v>2932</v>
      </c>
      <c r="D230" s="248" t="s">
        <v>2933</v>
      </c>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36"/>
      <c r="AY230" s="136"/>
      <c r="AZ230" s="136"/>
      <c r="BA230" s="136"/>
      <c r="BB230" s="136"/>
      <c r="BC230" s="136"/>
      <c r="BD230" s="136"/>
      <c r="BE230" s="136"/>
      <c r="BF230" s="136"/>
      <c r="BG230" s="136"/>
      <c r="BH230" s="136"/>
      <c r="BI230" s="136"/>
      <c r="BJ230" s="136"/>
      <c r="BK230" s="136"/>
      <c r="BL230" s="136"/>
      <c r="BM230" s="136"/>
      <c r="BN230" s="136"/>
      <c r="BO230" s="136"/>
      <c r="BP230" s="136"/>
      <c r="BQ230" s="136"/>
      <c r="BR230" s="136"/>
      <c r="BS230" s="136"/>
      <c r="BT230" s="136"/>
      <c r="BU230" s="136"/>
      <c r="BV230" s="136"/>
      <c r="BW230" s="136"/>
      <c r="BX230" s="136"/>
      <c r="BY230" s="136"/>
      <c r="BZ230" s="136"/>
      <c r="CA230" s="136"/>
      <c r="CB230" s="136"/>
      <c r="CC230" s="136"/>
      <c r="CD230" s="136"/>
      <c r="CE230" s="136"/>
      <c r="CF230" s="136"/>
      <c r="CG230" s="136"/>
      <c r="CH230" s="136"/>
      <c r="CI230" s="136"/>
      <c r="CJ230" s="136"/>
      <c r="CK230" s="136"/>
      <c r="CL230" s="136"/>
      <c r="CM230" s="136"/>
      <c r="CN230" s="136"/>
      <c r="CO230" s="136"/>
      <c r="CP230" s="136"/>
      <c r="CQ230" s="136"/>
      <c r="CR230" s="136"/>
      <c r="CS230" s="136"/>
      <c r="CT230" s="136"/>
      <c r="CU230" s="136"/>
      <c r="CV230" s="136"/>
      <c r="CW230" s="136"/>
      <c r="CX230" s="136"/>
      <c r="CY230" s="136"/>
      <c r="CZ230" s="136"/>
      <c r="DA230" s="136"/>
      <c r="DB230" s="136"/>
      <c r="DC230" s="136"/>
      <c r="DD230" s="136"/>
      <c r="DE230" s="136"/>
      <c r="DF230" s="136"/>
      <c r="DG230" s="136"/>
      <c r="DH230" s="136"/>
      <c r="DI230" s="136"/>
      <c r="DJ230" s="136"/>
      <c r="DK230" s="136"/>
      <c r="DL230" s="136"/>
      <c r="DM230" s="136"/>
      <c r="DN230" s="136"/>
      <c r="DO230" s="136"/>
      <c r="DP230" s="136"/>
      <c r="DQ230" s="136"/>
      <c r="DR230" s="136"/>
      <c r="DS230" s="136"/>
      <c r="DT230" s="136"/>
      <c r="DU230" s="136"/>
      <c r="DV230" s="136"/>
      <c r="DW230" s="136"/>
      <c r="DX230" s="136"/>
      <c r="DY230" s="136"/>
      <c r="DZ230" s="136"/>
      <c r="EA230" s="136"/>
      <c r="EB230" s="136"/>
      <c r="EC230" s="136"/>
      <c r="ED230" s="136"/>
      <c r="EE230" s="136"/>
      <c r="EF230" s="136"/>
      <c r="EG230" s="136"/>
      <c r="EH230" s="136"/>
      <c r="EI230" s="136"/>
      <c r="EJ230" s="136"/>
      <c r="EK230" s="136"/>
      <c r="EL230" s="136"/>
      <c r="EM230" s="136"/>
      <c r="EN230" s="136"/>
      <c r="EO230" s="136"/>
      <c r="EP230" s="136"/>
      <c r="EQ230" s="136"/>
      <c r="ER230" s="136"/>
      <c r="ES230" s="136"/>
      <c r="ET230" s="136"/>
      <c r="EU230" s="136"/>
      <c r="EV230" s="136"/>
      <c r="EW230" s="136"/>
      <c r="EX230" s="136"/>
      <c r="EY230" s="136"/>
      <c r="EZ230" s="136"/>
      <c r="FA230" s="136"/>
      <c r="FB230" s="136"/>
      <c r="FC230" s="136"/>
      <c r="FD230" s="136"/>
      <c r="FE230" s="136"/>
      <c r="FF230" s="136"/>
      <c r="FG230" s="136"/>
      <c r="FH230" s="136"/>
      <c r="FI230" s="136"/>
      <c r="FJ230" s="136"/>
      <c r="FK230" s="136"/>
      <c r="FL230" s="136"/>
      <c r="FM230" s="136"/>
      <c r="FN230" s="136"/>
      <c r="FO230" s="136"/>
      <c r="FP230" s="136"/>
      <c r="FQ230" s="136"/>
      <c r="FR230" s="136"/>
      <c r="FS230" s="136"/>
      <c r="FT230" s="136"/>
      <c r="FU230" s="136"/>
      <c r="FV230" s="136"/>
      <c r="FW230" s="136"/>
      <c r="FX230" s="136"/>
      <c r="FY230" s="136"/>
      <c r="FZ230" s="136"/>
      <c r="GA230" s="136"/>
      <c r="GB230" s="136"/>
      <c r="GC230" s="136"/>
      <c r="GD230" s="136"/>
      <c r="GE230" s="136"/>
      <c r="GF230" s="136"/>
      <c r="GG230" s="136"/>
      <c r="GH230" s="136"/>
      <c r="GI230" s="136"/>
      <c r="GJ230" s="136"/>
      <c r="GK230" s="136"/>
      <c r="GL230" s="136"/>
      <c r="GM230" s="136"/>
      <c r="GN230" s="136"/>
      <c r="GO230" s="136"/>
      <c r="GP230" s="136"/>
      <c r="GQ230" s="136"/>
      <c r="GR230" s="136"/>
      <c r="GS230" s="136"/>
      <c r="GT230" s="136"/>
      <c r="GU230" s="136"/>
      <c r="GV230" s="136"/>
      <c r="GW230" s="136"/>
      <c r="GX230" s="136"/>
      <c r="GY230" s="136"/>
      <c r="GZ230" s="136"/>
      <c r="HA230" s="136"/>
      <c r="HB230" s="136"/>
      <c r="HC230" s="136"/>
      <c r="HD230" s="136"/>
      <c r="HE230" s="136"/>
      <c r="HF230" s="136"/>
      <c r="HG230" s="136"/>
      <c r="HH230" s="136"/>
      <c r="HI230" s="136"/>
      <c r="HJ230" s="136"/>
      <c r="HK230" s="136"/>
      <c r="HL230" s="136"/>
      <c r="HM230" s="136"/>
      <c r="HN230" s="136"/>
      <c r="HO230" s="136"/>
      <c r="HP230" s="136"/>
      <c r="HQ230" s="136"/>
      <c r="HR230" s="136"/>
      <c r="HS230" s="136"/>
      <c r="HT230" s="136"/>
      <c r="HU230" s="136"/>
      <c r="HV230" s="136"/>
      <c r="HW230" s="136"/>
      <c r="HX230" s="136"/>
      <c r="HY230" s="136"/>
      <c r="HZ230" s="136"/>
      <c r="IA230" s="136"/>
      <c r="IB230" s="136"/>
      <c r="IC230" s="136"/>
      <c r="ID230" s="136"/>
      <c r="IE230" s="136"/>
      <c r="IF230" s="136"/>
      <c r="IG230" s="136"/>
      <c r="IH230" s="136"/>
      <c r="II230" s="136"/>
      <c r="IJ230" s="136"/>
      <c r="IK230" s="136"/>
      <c r="IL230" s="136"/>
      <c r="IM230" s="136"/>
      <c r="IN230" s="136"/>
      <c r="IO230" s="136"/>
      <c r="IP230" s="136"/>
      <c r="IQ230" s="136"/>
      <c r="IR230" s="136"/>
      <c r="IS230" s="136"/>
      <c r="IT230" s="136"/>
      <c r="IU230" s="136"/>
    </row>
    <row r="231" spans="1:255" ht="84" customHeight="1" x14ac:dyDescent="0.2">
      <c r="A231" s="242" t="str">
        <f>'HECVAT - Full'!A231</f>
        <v>PPPR-08</v>
      </c>
      <c r="B231" s="242" t="str">
        <f>VLOOKUP(A231,'HECVAT - Full'!A$24:B$312,2,FALSE)</f>
        <v>Are information security principles designed into the product lifecycle?</v>
      </c>
      <c r="C231" s="275" t="s">
        <v>3042</v>
      </c>
      <c r="D231" s="248" t="s">
        <v>2918</v>
      </c>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36"/>
      <c r="AY231" s="136"/>
      <c r="AZ231" s="136"/>
      <c r="BA231" s="136"/>
      <c r="BB231" s="136"/>
      <c r="BC231" s="136"/>
      <c r="BD231" s="136"/>
      <c r="BE231" s="136"/>
      <c r="BF231" s="136"/>
      <c r="BG231" s="136"/>
      <c r="BH231" s="136"/>
      <c r="BI231" s="136"/>
      <c r="BJ231" s="136"/>
      <c r="BK231" s="136"/>
      <c r="BL231" s="136"/>
      <c r="BM231" s="136"/>
      <c r="BN231" s="136"/>
      <c r="BO231" s="136"/>
      <c r="BP231" s="136"/>
      <c r="BQ231" s="136"/>
      <c r="BR231" s="136"/>
      <c r="BS231" s="136"/>
      <c r="BT231" s="136"/>
      <c r="BU231" s="136"/>
      <c r="BV231" s="136"/>
      <c r="BW231" s="136"/>
      <c r="BX231" s="136"/>
      <c r="BY231" s="136"/>
      <c r="BZ231" s="136"/>
      <c r="CA231" s="136"/>
      <c r="CB231" s="136"/>
      <c r="CC231" s="136"/>
      <c r="CD231" s="136"/>
      <c r="CE231" s="136"/>
      <c r="CF231" s="136"/>
      <c r="CG231" s="136"/>
      <c r="CH231" s="136"/>
      <c r="CI231" s="136"/>
      <c r="CJ231" s="136"/>
      <c r="CK231" s="136"/>
      <c r="CL231" s="136"/>
      <c r="CM231" s="136"/>
      <c r="CN231" s="136"/>
      <c r="CO231" s="136"/>
      <c r="CP231" s="136"/>
      <c r="CQ231" s="136"/>
      <c r="CR231" s="136"/>
      <c r="CS231" s="136"/>
      <c r="CT231" s="136"/>
      <c r="CU231" s="136"/>
      <c r="CV231" s="136"/>
      <c r="CW231" s="136"/>
      <c r="CX231" s="136"/>
      <c r="CY231" s="136"/>
      <c r="CZ231" s="136"/>
      <c r="DA231" s="136"/>
      <c r="DB231" s="136"/>
      <c r="DC231" s="136"/>
      <c r="DD231" s="136"/>
      <c r="DE231" s="136"/>
      <c r="DF231" s="136"/>
      <c r="DG231" s="136"/>
      <c r="DH231" s="136"/>
      <c r="DI231" s="136"/>
      <c r="DJ231" s="136"/>
      <c r="DK231" s="136"/>
      <c r="DL231" s="136"/>
      <c r="DM231" s="136"/>
      <c r="DN231" s="136"/>
      <c r="DO231" s="136"/>
      <c r="DP231" s="136"/>
      <c r="DQ231" s="136"/>
      <c r="DR231" s="136"/>
      <c r="DS231" s="136"/>
      <c r="DT231" s="136"/>
      <c r="DU231" s="136"/>
      <c r="DV231" s="136"/>
      <c r="DW231" s="136"/>
      <c r="DX231" s="136"/>
      <c r="DY231" s="136"/>
      <c r="DZ231" s="136"/>
      <c r="EA231" s="136"/>
      <c r="EB231" s="136"/>
      <c r="EC231" s="136"/>
      <c r="ED231" s="136"/>
      <c r="EE231" s="136"/>
      <c r="EF231" s="136"/>
      <c r="EG231" s="136"/>
      <c r="EH231" s="136"/>
      <c r="EI231" s="136"/>
      <c r="EJ231" s="136"/>
      <c r="EK231" s="136"/>
      <c r="EL231" s="136"/>
      <c r="EM231" s="136"/>
      <c r="EN231" s="136"/>
      <c r="EO231" s="136"/>
      <c r="EP231" s="136"/>
      <c r="EQ231" s="136"/>
      <c r="ER231" s="136"/>
      <c r="ES231" s="136"/>
      <c r="ET231" s="136"/>
      <c r="EU231" s="136"/>
      <c r="EV231" s="136"/>
      <c r="EW231" s="136"/>
      <c r="EX231" s="136"/>
      <c r="EY231" s="136"/>
      <c r="EZ231" s="136"/>
      <c r="FA231" s="136"/>
      <c r="FB231" s="136"/>
      <c r="FC231" s="136"/>
      <c r="FD231" s="136"/>
      <c r="FE231" s="136"/>
      <c r="FF231" s="136"/>
      <c r="FG231" s="136"/>
      <c r="FH231" s="136"/>
      <c r="FI231" s="136"/>
      <c r="FJ231" s="136"/>
      <c r="FK231" s="136"/>
      <c r="FL231" s="136"/>
      <c r="FM231" s="136"/>
      <c r="FN231" s="136"/>
      <c r="FO231" s="136"/>
      <c r="FP231" s="136"/>
      <c r="FQ231" s="136"/>
      <c r="FR231" s="136"/>
      <c r="FS231" s="136"/>
      <c r="FT231" s="136"/>
      <c r="FU231" s="136"/>
      <c r="FV231" s="136"/>
      <c r="FW231" s="136"/>
      <c r="FX231" s="136"/>
      <c r="FY231" s="136"/>
      <c r="FZ231" s="136"/>
      <c r="GA231" s="136"/>
      <c r="GB231" s="136"/>
      <c r="GC231" s="136"/>
      <c r="GD231" s="136"/>
      <c r="GE231" s="136"/>
      <c r="GF231" s="136"/>
      <c r="GG231" s="136"/>
      <c r="GH231" s="136"/>
      <c r="GI231" s="136"/>
      <c r="GJ231" s="136"/>
      <c r="GK231" s="136"/>
      <c r="GL231" s="136"/>
      <c r="GM231" s="136"/>
      <c r="GN231" s="136"/>
      <c r="GO231" s="136"/>
      <c r="GP231" s="136"/>
      <c r="GQ231" s="136"/>
      <c r="GR231" s="136"/>
      <c r="GS231" s="136"/>
      <c r="GT231" s="136"/>
      <c r="GU231" s="136"/>
      <c r="GV231" s="136"/>
      <c r="GW231" s="136"/>
      <c r="GX231" s="136"/>
      <c r="GY231" s="136"/>
      <c r="GZ231" s="136"/>
      <c r="HA231" s="136"/>
      <c r="HB231" s="136"/>
      <c r="HC231" s="136"/>
      <c r="HD231" s="136"/>
      <c r="HE231" s="136"/>
      <c r="HF231" s="136"/>
      <c r="HG231" s="136"/>
      <c r="HH231" s="136"/>
      <c r="HI231" s="136"/>
      <c r="HJ231" s="136"/>
      <c r="HK231" s="136"/>
      <c r="HL231" s="136"/>
      <c r="HM231" s="136"/>
      <c r="HN231" s="136"/>
      <c r="HO231" s="136"/>
      <c r="HP231" s="136"/>
      <c r="HQ231" s="136"/>
      <c r="HR231" s="136"/>
      <c r="HS231" s="136"/>
      <c r="HT231" s="136"/>
      <c r="HU231" s="136"/>
      <c r="HV231" s="136"/>
      <c r="HW231" s="136"/>
      <c r="HX231" s="136"/>
      <c r="HY231" s="136"/>
      <c r="HZ231" s="136"/>
      <c r="IA231" s="136"/>
      <c r="IB231" s="136"/>
      <c r="IC231" s="136"/>
      <c r="ID231" s="136"/>
      <c r="IE231" s="136"/>
      <c r="IF231" s="136"/>
      <c r="IG231" s="136"/>
      <c r="IH231" s="136"/>
      <c r="II231" s="136"/>
      <c r="IJ231" s="136"/>
      <c r="IK231" s="136"/>
      <c r="IL231" s="136"/>
      <c r="IM231" s="136"/>
      <c r="IN231" s="136"/>
      <c r="IO231" s="136"/>
      <c r="IP231" s="136"/>
      <c r="IQ231" s="136"/>
      <c r="IR231" s="136"/>
      <c r="IS231" s="136"/>
      <c r="IT231" s="136"/>
      <c r="IU231" s="136"/>
    </row>
    <row r="232" spans="1:255" ht="96" customHeight="1" x14ac:dyDescent="0.2">
      <c r="A232" s="242" t="str">
        <f>'HECVAT - Full'!A232</f>
        <v>PPPR-09</v>
      </c>
      <c r="B232" s="242" t="str">
        <f>VLOOKUP(A232,'HECVAT - Full'!A$24:B$312,2,FALSE)</f>
        <v>Do you have a documented systems development life cycle (SDLC)?</v>
      </c>
      <c r="C232" s="243" t="s">
        <v>2934</v>
      </c>
      <c r="D232" s="253" t="s">
        <v>2935</v>
      </c>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36"/>
      <c r="AW232" s="136"/>
      <c r="AX232" s="136"/>
      <c r="AY232" s="136"/>
      <c r="AZ232" s="136"/>
      <c r="BA232" s="136"/>
      <c r="BB232" s="136"/>
      <c r="BC232" s="136"/>
      <c r="BD232" s="136"/>
      <c r="BE232" s="136"/>
      <c r="BF232" s="136"/>
      <c r="BG232" s="136"/>
      <c r="BH232" s="136"/>
      <c r="BI232" s="136"/>
      <c r="BJ232" s="136"/>
      <c r="BK232" s="136"/>
      <c r="BL232" s="136"/>
      <c r="BM232" s="136"/>
      <c r="BN232" s="136"/>
      <c r="BO232" s="136"/>
      <c r="BP232" s="136"/>
      <c r="BQ232" s="136"/>
      <c r="BR232" s="136"/>
      <c r="BS232" s="136"/>
      <c r="BT232" s="136"/>
      <c r="BU232" s="136"/>
      <c r="BV232" s="136"/>
      <c r="BW232" s="136"/>
      <c r="BX232" s="136"/>
      <c r="BY232" s="136"/>
      <c r="BZ232" s="136"/>
      <c r="CA232" s="136"/>
      <c r="CB232" s="136"/>
      <c r="CC232" s="136"/>
      <c r="CD232" s="136"/>
      <c r="CE232" s="136"/>
      <c r="CF232" s="136"/>
      <c r="CG232" s="136"/>
      <c r="CH232" s="136"/>
      <c r="CI232" s="136"/>
      <c r="CJ232" s="136"/>
      <c r="CK232" s="136"/>
      <c r="CL232" s="136"/>
      <c r="CM232" s="136"/>
      <c r="CN232" s="136"/>
      <c r="CO232" s="136"/>
      <c r="CP232" s="136"/>
      <c r="CQ232" s="136"/>
      <c r="CR232" s="136"/>
      <c r="CS232" s="136"/>
      <c r="CT232" s="136"/>
      <c r="CU232" s="136"/>
      <c r="CV232" s="136"/>
      <c r="CW232" s="136"/>
      <c r="CX232" s="136"/>
      <c r="CY232" s="136"/>
      <c r="CZ232" s="136"/>
      <c r="DA232" s="136"/>
      <c r="DB232" s="136"/>
      <c r="DC232" s="136"/>
      <c r="DD232" s="136"/>
      <c r="DE232" s="136"/>
      <c r="DF232" s="136"/>
      <c r="DG232" s="136"/>
      <c r="DH232" s="136"/>
      <c r="DI232" s="136"/>
      <c r="DJ232" s="136"/>
      <c r="DK232" s="136"/>
      <c r="DL232" s="136"/>
      <c r="DM232" s="136"/>
      <c r="DN232" s="136"/>
      <c r="DO232" s="136"/>
      <c r="DP232" s="136"/>
      <c r="DQ232" s="136"/>
      <c r="DR232" s="136"/>
      <c r="DS232" s="136"/>
      <c r="DT232" s="136"/>
      <c r="DU232" s="136"/>
      <c r="DV232" s="136"/>
      <c r="DW232" s="136"/>
      <c r="DX232" s="136"/>
      <c r="DY232" s="136"/>
      <c r="DZ232" s="136"/>
      <c r="EA232" s="136"/>
      <c r="EB232" s="136"/>
      <c r="EC232" s="136"/>
      <c r="ED232" s="136"/>
      <c r="EE232" s="136"/>
      <c r="EF232" s="136"/>
      <c r="EG232" s="136"/>
      <c r="EH232" s="136"/>
      <c r="EI232" s="136"/>
      <c r="EJ232" s="136"/>
      <c r="EK232" s="136"/>
      <c r="EL232" s="136"/>
      <c r="EM232" s="136"/>
      <c r="EN232" s="136"/>
      <c r="EO232" s="136"/>
      <c r="EP232" s="136"/>
      <c r="EQ232" s="136"/>
      <c r="ER232" s="136"/>
      <c r="ES232" s="136"/>
      <c r="ET232" s="136"/>
      <c r="EU232" s="136"/>
      <c r="EV232" s="136"/>
      <c r="EW232" s="136"/>
      <c r="EX232" s="136"/>
      <c r="EY232" s="136"/>
      <c r="EZ232" s="136"/>
      <c r="FA232" s="136"/>
      <c r="FB232" s="136"/>
      <c r="FC232" s="136"/>
      <c r="FD232" s="136"/>
      <c r="FE232" s="136"/>
      <c r="FF232" s="136"/>
      <c r="FG232" s="136"/>
      <c r="FH232" s="136"/>
      <c r="FI232" s="136"/>
      <c r="FJ232" s="136"/>
      <c r="FK232" s="136"/>
      <c r="FL232" s="136"/>
      <c r="FM232" s="136"/>
      <c r="FN232" s="136"/>
      <c r="FO232" s="136"/>
      <c r="FP232" s="136"/>
      <c r="FQ232" s="136"/>
      <c r="FR232" s="136"/>
      <c r="FS232" s="136"/>
      <c r="FT232" s="136"/>
      <c r="FU232" s="136"/>
      <c r="FV232" s="136"/>
      <c r="FW232" s="136"/>
      <c r="FX232" s="136"/>
      <c r="FY232" s="136"/>
      <c r="FZ232" s="136"/>
      <c r="GA232" s="136"/>
      <c r="GB232" s="136"/>
      <c r="GC232" s="136"/>
      <c r="GD232" s="136"/>
      <c r="GE232" s="136"/>
      <c r="GF232" s="136"/>
      <c r="GG232" s="136"/>
      <c r="GH232" s="136"/>
      <c r="GI232" s="136"/>
      <c r="GJ232" s="136"/>
      <c r="GK232" s="136"/>
      <c r="GL232" s="136"/>
      <c r="GM232" s="136"/>
      <c r="GN232" s="136"/>
      <c r="GO232" s="136"/>
      <c r="GP232" s="136"/>
      <c r="GQ232" s="136"/>
      <c r="GR232" s="136"/>
      <c r="GS232" s="136"/>
      <c r="GT232" s="136"/>
      <c r="GU232" s="136"/>
      <c r="GV232" s="136"/>
      <c r="GW232" s="136"/>
      <c r="GX232" s="136"/>
      <c r="GY232" s="136"/>
      <c r="GZ232" s="136"/>
      <c r="HA232" s="136"/>
      <c r="HB232" s="136"/>
      <c r="HC232" s="136"/>
      <c r="HD232" s="136"/>
      <c r="HE232" s="136"/>
      <c r="HF232" s="136"/>
      <c r="HG232" s="136"/>
      <c r="HH232" s="136"/>
      <c r="HI232" s="136"/>
      <c r="HJ232" s="136"/>
      <c r="HK232" s="136"/>
      <c r="HL232" s="136"/>
      <c r="HM232" s="136"/>
      <c r="HN232" s="136"/>
      <c r="HO232" s="136"/>
      <c r="HP232" s="136"/>
      <c r="HQ232" s="136"/>
      <c r="HR232" s="136"/>
      <c r="HS232" s="136"/>
      <c r="HT232" s="136"/>
      <c r="HU232" s="136"/>
      <c r="HV232" s="136"/>
      <c r="HW232" s="136"/>
      <c r="HX232" s="136"/>
      <c r="HY232" s="136"/>
      <c r="HZ232" s="136"/>
      <c r="IA232" s="136"/>
      <c r="IB232" s="136"/>
      <c r="IC232" s="136"/>
      <c r="ID232" s="136"/>
      <c r="IE232" s="136"/>
      <c r="IF232" s="136"/>
      <c r="IG232" s="136"/>
      <c r="IH232" s="136"/>
      <c r="II232" s="136"/>
      <c r="IJ232" s="136"/>
      <c r="IK232" s="136"/>
      <c r="IL232" s="136"/>
      <c r="IM232" s="136"/>
      <c r="IN232" s="136"/>
      <c r="IO232" s="136"/>
      <c r="IP232" s="136"/>
      <c r="IQ232" s="136"/>
      <c r="IR232" s="136"/>
      <c r="IS232" s="136"/>
      <c r="IT232" s="136"/>
      <c r="IU232" s="136"/>
    </row>
    <row r="233" spans="1:255" ht="128.25" x14ac:dyDescent="0.2">
      <c r="A233" s="242" t="str">
        <f>'HECVAT - Full'!A233</f>
        <v>PPPR-10</v>
      </c>
      <c r="B233" s="242" t="str">
        <f>VLOOKUP(A233,'HECVAT - Full'!A$24:B$312,2,FALSE)</f>
        <v>Do you have a formal incident response plan?</v>
      </c>
      <c r="C233" s="245" t="s">
        <v>2936</v>
      </c>
      <c r="D233" s="248" t="s">
        <v>2937</v>
      </c>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36"/>
      <c r="AW233" s="136"/>
      <c r="AX233" s="136"/>
      <c r="AY233" s="136"/>
      <c r="AZ233" s="136"/>
      <c r="BA233" s="136"/>
      <c r="BB233" s="136"/>
      <c r="BC233" s="136"/>
      <c r="BD233" s="136"/>
      <c r="BE233" s="136"/>
      <c r="BF233" s="136"/>
      <c r="BG233" s="136"/>
      <c r="BH233" s="136"/>
      <c r="BI233" s="136"/>
      <c r="BJ233" s="136"/>
      <c r="BK233" s="136"/>
      <c r="BL233" s="136"/>
      <c r="BM233" s="136"/>
      <c r="BN233" s="136"/>
      <c r="BO233" s="136"/>
      <c r="BP233" s="136"/>
      <c r="BQ233" s="136"/>
      <c r="BR233" s="136"/>
      <c r="BS233" s="136"/>
      <c r="BT233" s="136"/>
      <c r="BU233" s="136"/>
      <c r="BV233" s="136"/>
      <c r="BW233" s="136"/>
      <c r="BX233" s="136"/>
      <c r="BY233" s="136"/>
      <c r="BZ233" s="136"/>
      <c r="CA233" s="136"/>
      <c r="CB233" s="136"/>
      <c r="CC233" s="136"/>
      <c r="CD233" s="136"/>
      <c r="CE233" s="136"/>
      <c r="CF233" s="136"/>
      <c r="CG233" s="136"/>
      <c r="CH233" s="136"/>
      <c r="CI233" s="136"/>
      <c r="CJ233" s="136"/>
      <c r="CK233" s="136"/>
      <c r="CL233" s="136"/>
      <c r="CM233" s="136"/>
      <c r="CN233" s="136"/>
      <c r="CO233" s="136"/>
      <c r="CP233" s="136"/>
      <c r="CQ233" s="136"/>
      <c r="CR233" s="136"/>
      <c r="CS233" s="136"/>
      <c r="CT233" s="136"/>
      <c r="CU233" s="136"/>
      <c r="CV233" s="136"/>
      <c r="CW233" s="136"/>
      <c r="CX233" s="136"/>
      <c r="CY233" s="136"/>
      <c r="CZ233" s="136"/>
      <c r="DA233" s="136"/>
      <c r="DB233" s="136"/>
      <c r="DC233" s="136"/>
      <c r="DD233" s="136"/>
      <c r="DE233" s="136"/>
      <c r="DF233" s="136"/>
      <c r="DG233" s="136"/>
      <c r="DH233" s="136"/>
      <c r="DI233" s="136"/>
      <c r="DJ233" s="136"/>
      <c r="DK233" s="136"/>
      <c r="DL233" s="136"/>
      <c r="DM233" s="136"/>
      <c r="DN233" s="136"/>
      <c r="DO233" s="136"/>
      <c r="DP233" s="136"/>
      <c r="DQ233" s="136"/>
      <c r="DR233" s="136"/>
      <c r="DS233" s="136"/>
      <c r="DT233" s="136"/>
      <c r="DU233" s="136"/>
      <c r="DV233" s="136"/>
      <c r="DW233" s="136"/>
      <c r="DX233" s="136"/>
      <c r="DY233" s="136"/>
      <c r="DZ233" s="136"/>
      <c r="EA233" s="136"/>
      <c r="EB233" s="136"/>
      <c r="EC233" s="136"/>
      <c r="ED233" s="136"/>
      <c r="EE233" s="136"/>
      <c r="EF233" s="136"/>
      <c r="EG233" s="136"/>
      <c r="EH233" s="136"/>
      <c r="EI233" s="136"/>
      <c r="EJ233" s="136"/>
      <c r="EK233" s="136"/>
      <c r="EL233" s="136"/>
      <c r="EM233" s="136"/>
      <c r="EN233" s="136"/>
      <c r="EO233" s="136"/>
      <c r="EP233" s="136"/>
      <c r="EQ233" s="136"/>
      <c r="ER233" s="136"/>
      <c r="ES233" s="136"/>
      <c r="ET233" s="136"/>
      <c r="EU233" s="136"/>
      <c r="EV233" s="136"/>
      <c r="EW233" s="136"/>
      <c r="EX233" s="136"/>
      <c r="EY233" s="136"/>
      <c r="EZ233" s="136"/>
      <c r="FA233" s="136"/>
      <c r="FB233" s="136"/>
      <c r="FC233" s="136"/>
      <c r="FD233" s="136"/>
      <c r="FE233" s="136"/>
      <c r="FF233" s="136"/>
      <c r="FG233" s="136"/>
      <c r="FH233" s="136"/>
      <c r="FI233" s="136"/>
      <c r="FJ233" s="136"/>
      <c r="FK233" s="136"/>
      <c r="FL233" s="136"/>
      <c r="FM233" s="136"/>
      <c r="FN233" s="136"/>
      <c r="FO233" s="136"/>
      <c r="FP233" s="136"/>
      <c r="FQ233" s="136"/>
      <c r="FR233" s="136"/>
      <c r="FS233" s="136"/>
      <c r="FT233" s="136"/>
      <c r="FU233" s="136"/>
      <c r="FV233" s="136"/>
      <c r="FW233" s="136"/>
      <c r="FX233" s="136"/>
      <c r="FY233" s="136"/>
      <c r="FZ233" s="136"/>
      <c r="GA233" s="136"/>
      <c r="GB233" s="136"/>
      <c r="GC233" s="136"/>
      <c r="GD233" s="136"/>
      <c r="GE233" s="136"/>
      <c r="GF233" s="136"/>
      <c r="GG233" s="136"/>
      <c r="GH233" s="136"/>
      <c r="GI233" s="136"/>
      <c r="GJ233" s="136"/>
      <c r="GK233" s="136"/>
      <c r="GL233" s="136"/>
      <c r="GM233" s="136"/>
      <c r="GN233" s="136"/>
      <c r="GO233" s="136"/>
      <c r="GP233" s="136"/>
      <c r="GQ233" s="136"/>
      <c r="GR233" s="136"/>
      <c r="GS233" s="136"/>
      <c r="GT233" s="136"/>
      <c r="GU233" s="136"/>
      <c r="GV233" s="136"/>
      <c r="GW233" s="136"/>
      <c r="GX233" s="136"/>
      <c r="GY233" s="136"/>
      <c r="GZ233" s="136"/>
      <c r="HA233" s="136"/>
      <c r="HB233" s="136"/>
      <c r="HC233" s="136"/>
      <c r="HD233" s="136"/>
      <c r="HE233" s="136"/>
      <c r="HF233" s="136"/>
      <c r="HG233" s="136"/>
      <c r="HH233" s="136"/>
      <c r="HI233" s="136"/>
      <c r="HJ233" s="136"/>
      <c r="HK233" s="136"/>
      <c r="HL233" s="136"/>
      <c r="HM233" s="136"/>
      <c r="HN233" s="136"/>
      <c r="HO233" s="136"/>
      <c r="HP233" s="136"/>
      <c r="HQ233" s="136"/>
      <c r="HR233" s="136"/>
      <c r="HS233" s="136"/>
      <c r="HT233" s="136"/>
      <c r="HU233" s="136"/>
      <c r="HV233" s="136"/>
      <c r="HW233" s="136"/>
      <c r="HX233" s="136"/>
      <c r="HY233" s="136"/>
      <c r="HZ233" s="136"/>
      <c r="IA233" s="136"/>
      <c r="IB233" s="136"/>
      <c r="IC233" s="136"/>
      <c r="ID233" s="136"/>
      <c r="IE233" s="136"/>
      <c r="IF233" s="136"/>
      <c r="IG233" s="136"/>
      <c r="IH233" s="136"/>
      <c r="II233" s="136"/>
      <c r="IJ233" s="136"/>
      <c r="IK233" s="136"/>
      <c r="IL233" s="136"/>
      <c r="IM233" s="136"/>
      <c r="IN233" s="136"/>
      <c r="IO233" s="136"/>
      <c r="IP233" s="136"/>
      <c r="IQ233" s="136"/>
      <c r="IR233" s="136"/>
      <c r="IS233" s="136"/>
      <c r="IT233" s="136"/>
      <c r="IU233" s="136"/>
    </row>
    <row r="234" spans="1:255" ht="63.75" customHeight="1" x14ac:dyDescent="0.2">
      <c r="A234" s="242" t="str">
        <f>'HECVAT - Full'!A234</f>
        <v>PPPR-11</v>
      </c>
      <c r="B234" s="242" t="str">
        <f>VLOOKUP(A234,'HECVAT - Full'!A$24:B$312,2,FALSE)</f>
        <v>Will you comply with applicable breach notification laws?</v>
      </c>
      <c r="C234" s="243" t="s">
        <v>2938</v>
      </c>
      <c r="D234" s="253" t="s">
        <v>2939</v>
      </c>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36"/>
      <c r="AW234" s="136"/>
      <c r="AX234" s="136"/>
      <c r="AY234" s="136"/>
      <c r="AZ234" s="136"/>
      <c r="BA234" s="136"/>
      <c r="BB234" s="136"/>
      <c r="BC234" s="136"/>
      <c r="BD234" s="136"/>
      <c r="BE234" s="136"/>
      <c r="BF234" s="136"/>
      <c r="BG234" s="136"/>
      <c r="BH234" s="136"/>
      <c r="BI234" s="136"/>
      <c r="BJ234" s="136"/>
      <c r="BK234" s="136"/>
      <c r="BL234" s="136"/>
      <c r="BM234" s="136"/>
      <c r="BN234" s="136"/>
      <c r="BO234" s="136"/>
      <c r="BP234" s="136"/>
      <c r="BQ234" s="136"/>
      <c r="BR234" s="136"/>
      <c r="BS234" s="136"/>
      <c r="BT234" s="136"/>
      <c r="BU234" s="136"/>
      <c r="BV234" s="136"/>
      <c r="BW234" s="136"/>
      <c r="BX234" s="136"/>
      <c r="BY234" s="136"/>
      <c r="BZ234" s="136"/>
      <c r="CA234" s="136"/>
      <c r="CB234" s="136"/>
      <c r="CC234" s="136"/>
      <c r="CD234" s="136"/>
      <c r="CE234" s="136"/>
      <c r="CF234" s="136"/>
      <c r="CG234" s="136"/>
      <c r="CH234" s="136"/>
      <c r="CI234" s="136"/>
      <c r="CJ234" s="136"/>
      <c r="CK234" s="136"/>
      <c r="CL234" s="136"/>
      <c r="CM234" s="136"/>
      <c r="CN234" s="136"/>
      <c r="CO234" s="136"/>
      <c r="CP234" s="136"/>
      <c r="CQ234" s="136"/>
      <c r="CR234" s="136"/>
      <c r="CS234" s="136"/>
      <c r="CT234" s="136"/>
      <c r="CU234" s="136"/>
      <c r="CV234" s="136"/>
      <c r="CW234" s="136"/>
      <c r="CX234" s="136"/>
      <c r="CY234" s="136"/>
      <c r="CZ234" s="136"/>
      <c r="DA234" s="136"/>
      <c r="DB234" s="136"/>
      <c r="DC234" s="136"/>
      <c r="DD234" s="136"/>
      <c r="DE234" s="136"/>
      <c r="DF234" s="136"/>
      <c r="DG234" s="136"/>
      <c r="DH234" s="136"/>
      <c r="DI234" s="136"/>
      <c r="DJ234" s="136"/>
      <c r="DK234" s="136"/>
      <c r="DL234" s="136"/>
      <c r="DM234" s="136"/>
      <c r="DN234" s="136"/>
      <c r="DO234" s="136"/>
      <c r="DP234" s="136"/>
      <c r="DQ234" s="136"/>
      <c r="DR234" s="136"/>
      <c r="DS234" s="136"/>
      <c r="DT234" s="136"/>
      <c r="DU234" s="136"/>
      <c r="DV234" s="136"/>
      <c r="DW234" s="136"/>
      <c r="DX234" s="136"/>
      <c r="DY234" s="136"/>
      <c r="DZ234" s="136"/>
      <c r="EA234" s="136"/>
      <c r="EB234" s="136"/>
      <c r="EC234" s="136"/>
      <c r="ED234" s="136"/>
      <c r="EE234" s="136"/>
      <c r="EF234" s="136"/>
      <c r="EG234" s="136"/>
      <c r="EH234" s="136"/>
      <c r="EI234" s="136"/>
      <c r="EJ234" s="136"/>
      <c r="EK234" s="136"/>
      <c r="EL234" s="136"/>
      <c r="EM234" s="136"/>
      <c r="EN234" s="136"/>
      <c r="EO234" s="136"/>
      <c r="EP234" s="136"/>
      <c r="EQ234" s="136"/>
      <c r="ER234" s="136"/>
      <c r="ES234" s="136"/>
      <c r="ET234" s="136"/>
      <c r="EU234" s="136"/>
      <c r="EV234" s="136"/>
      <c r="EW234" s="136"/>
      <c r="EX234" s="136"/>
      <c r="EY234" s="136"/>
      <c r="EZ234" s="136"/>
      <c r="FA234" s="136"/>
      <c r="FB234" s="136"/>
      <c r="FC234" s="136"/>
      <c r="FD234" s="136"/>
      <c r="FE234" s="136"/>
      <c r="FF234" s="136"/>
      <c r="FG234" s="136"/>
      <c r="FH234" s="136"/>
      <c r="FI234" s="136"/>
      <c r="FJ234" s="136"/>
      <c r="FK234" s="136"/>
      <c r="FL234" s="136"/>
      <c r="FM234" s="136"/>
      <c r="FN234" s="136"/>
      <c r="FO234" s="136"/>
      <c r="FP234" s="136"/>
      <c r="FQ234" s="136"/>
      <c r="FR234" s="136"/>
      <c r="FS234" s="136"/>
      <c r="FT234" s="136"/>
      <c r="FU234" s="136"/>
      <c r="FV234" s="136"/>
      <c r="FW234" s="136"/>
      <c r="FX234" s="136"/>
      <c r="FY234" s="136"/>
      <c r="FZ234" s="136"/>
      <c r="GA234" s="136"/>
      <c r="GB234" s="136"/>
      <c r="GC234" s="136"/>
      <c r="GD234" s="136"/>
      <c r="GE234" s="136"/>
      <c r="GF234" s="136"/>
      <c r="GG234" s="136"/>
      <c r="GH234" s="136"/>
      <c r="GI234" s="136"/>
      <c r="GJ234" s="136"/>
      <c r="GK234" s="136"/>
      <c r="GL234" s="136"/>
      <c r="GM234" s="136"/>
      <c r="GN234" s="136"/>
      <c r="GO234" s="136"/>
      <c r="GP234" s="136"/>
      <c r="GQ234" s="136"/>
      <c r="GR234" s="136"/>
      <c r="GS234" s="136"/>
      <c r="GT234" s="136"/>
      <c r="GU234" s="136"/>
      <c r="GV234" s="136"/>
      <c r="GW234" s="136"/>
      <c r="GX234" s="136"/>
      <c r="GY234" s="136"/>
      <c r="GZ234" s="136"/>
      <c r="HA234" s="136"/>
      <c r="HB234" s="136"/>
      <c r="HC234" s="136"/>
      <c r="HD234" s="136"/>
      <c r="HE234" s="136"/>
      <c r="HF234" s="136"/>
      <c r="HG234" s="136"/>
      <c r="HH234" s="136"/>
      <c r="HI234" s="136"/>
      <c r="HJ234" s="136"/>
      <c r="HK234" s="136"/>
      <c r="HL234" s="136"/>
      <c r="HM234" s="136"/>
      <c r="HN234" s="136"/>
      <c r="HO234" s="136"/>
      <c r="HP234" s="136"/>
      <c r="HQ234" s="136"/>
      <c r="HR234" s="136"/>
      <c r="HS234" s="136"/>
      <c r="HT234" s="136"/>
      <c r="HU234" s="136"/>
      <c r="HV234" s="136"/>
      <c r="HW234" s="136"/>
      <c r="HX234" s="136"/>
      <c r="HY234" s="136"/>
      <c r="HZ234" s="136"/>
      <c r="IA234" s="136"/>
      <c r="IB234" s="136"/>
      <c r="IC234" s="136"/>
      <c r="ID234" s="136"/>
      <c r="IE234" s="136"/>
      <c r="IF234" s="136"/>
      <c r="IG234" s="136"/>
      <c r="IH234" s="136"/>
      <c r="II234" s="136"/>
      <c r="IJ234" s="136"/>
      <c r="IK234" s="136"/>
      <c r="IL234" s="136"/>
      <c r="IM234" s="136"/>
      <c r="IN234" s="136"/>
      <c r="IO234" s="136"/>
      <c r="IP234" s="136"/>
      <c r="IQ234" s="136"/>
      <c r="IR234" s="136"/>
      <c r="IS234" s="136"/>
      <c r="IT234" s="136"/>
      <c r="IU234" s="136"/>
    </row>
    <row r="235" spans="1:255" ht="63.75" customHeight="1" x14ac:dyDescent="0.2">
      <c r="A235" s="242" t="str">
        <f>'HECVAT - Full'!A235</f>
        <v>PPPR-12</v>
      </c>
      <c r="B235" s="242" t="str">
        <f>VLOOKUP(A235,'HECVAT - Full'!A$24:B$312,2,FALSE)</f>
        <v>Will you comply with the Institution's IT policies with regards to user privacy and data protection?</v>
      </c>
      <c r="C235" s="243" t="s">
        <v>2940</v>
      </c>
      <c r="D235" s="253" t="s">
        <v>2941</v>
      </c>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36"/>
      <c r="AW235" s="136"/>
      <c r="AX235" s="136"/>
      <c r="AY235" s="136"/>
      <c r="AZ235" s="136"/>
      <c r="BA235" s="136"/>
      <c r="BB235" s="136"/>
      <c r="BC235" s="136"/>
      <c r="BD235" s="136"/>
      <c r="BE235" s="136"/>
      <c r="BF235" s="136"/>
      <c r="BG235" s="136"/>
      <c r="BH235" s="136"/>
      <c r="BI235" s="136"/>
      <c r="BJ235" s="136"/>
      <c r="BK235" s="136"/>
      <c r="BL235" s="136"/>
      <c r="BM235" s="136"/>
      <c r="BN235" s="136"/>
      <c r="BO235" s="136"/>
      <c r="BP235" s="136"/>
      <c r="BQ235" s="136"/>
      <c r="BR235" s="136"/>
      <c r="BS235" s="136"/>
      <c r="BT235" s="136"/>
      <c r="BU235" s="136"/>
      <c r="BV235" s="136"/>
      <c r="BW235" s="136"/>
      <c r="BX235" s="136"/>
      <c r="BY235" s="136"/>
      <c r="BZ235" s="136"/>
      <c r="CA235" s="136"/>
      <c r="CB235" s="136"/>
      <c r="CC235" s="136"/>
      <c r="CD235" s="136"/>
      <c r="CE235" s="136"/>
      <c r="CF235" s="136"/>
      <c r="CG235" s="136"/>
      <c r="CH235" s="136"/>
      <c r="CI235" s="136"/>
      <c r="CJ235" s="136"/>
      <c r="CK235" s="136"/>
      <c r="CL235" s="136"/>
      <c r="CM235" s="136"/>
      <c r="CN235" s="136"/>
      <c r="CO235" s="136"/>
      <c r="CP235" s="136"/>
      <c r="CQ235" s="136"/>
      <c r="CR235" s="136"/>
      <c r="CS235" s="136"/>
      <c r="CT235" s="136"/>
      <c r="CU235" s="136"/>
      <c r="CV235" s="136"/>
      <c r="CW235" s="136"/>
      <c r="CX235" s="136"/>
      <c r="CY235" s="136"/>
      <c r="CZ235" s="136"/>
      <c r="DA235" s="136"/>
      <c r="DB235" s="136"/>
      <c r="DC235" s="136"/>
      <c r="DD235" s="136"/>
      <c r="DE235" s="136"/>
      <c r="DF235" s="136"/>
      <c r="DG235" s="136"/>
      <c r="DH235" s="136"/>
      <c r="DI235" s="136"/>
      <c r="DJ235" s="136"/>
      <c r="DK235" s="136"/>
      <c r="DL235" s="136"/>
      <c r="DM235" s="136"/>
      <c r="DN235" s="136"/>
      <c r="DO235" s="136"/>
      <c r="DP235" s="136"/>
      <c r="DQ235" s="136"/>
      <c r="DR235" s="136"/>
      <c r="DS235" s="136"/>
      <c r="DT235" s="136"/>
      <c r="DU235" s="136"/>
      <c r="DV235" s="136"/>
      <c r="DW235" s="136"/>
      <c r="DX235" s="136"/>
      <c r="DY235" s="136"/>
      <c r="DZ235" s="136"/>
      <c r="EA235" s="136"/>
      <c r="EB235" s="136"/>
      <c r="EC235" s="136"/>
      <c r="ED235" s="136"/>
      <c r="EE235" s="136"/>
      <c r="EF235" s="136"/>
      <c r="EG235" s="136"/>
      <c r="EH235" s="136"/>
      <c r="EI235" s="136"/>
      <c r="EJ235" s="136"/>
      <c r="EK235" s="136"/>
      <c r="EL235" s="136"/>
      <c r="EM235" s="136"/>
      <c r="EN235" s="136"/>
      <c r="EO235" s="136"/>
      <c r="EP235" s="136"/>
      <c r="EQ235" s="136"/>
      <c r="ER235" s="136"/>
      <c r="ES235" s="136"/>
      <c r="ET235" s="136"/>
      <c r="EU235" s="136"/>
      <c r="EV235" s="136"/>
      <c r="EW235" s="136"/>
      <c r="EX235" s="136"/>
      <c r="EY235" s="136"/>
      <c r="EZ235" s="136"/>
      <c r="FA235" s="136"/>
      <c r="FB235" s="136"/>
      <c r="FC235" s="136"/>
      <c r="FD235" s="136"/>
      <c r="FE235" s="136"/>
      <c r="FF235" s="136"/>
      <c r="FG235" s="136"/>
      <c r="FH235" s="136"/>
      <c r="FI235" s="136"/>
      <c r="FJ235" s="136"/>
      <c r="FK235" s="136"/>
      <c r="FL235" s="136"/>
      <c r="FM235" s="136"/>
      <c r="FN235" s="136"/>
      <c r="FO235" s="136"/>
      <c r="FP235" s="136"/>
      <c r="FQ235" s="136"/>
      <c r="FR235" s="136"/>
      <c r="FS235" s="136"/>
      <c r="FT235" s="136"/>
      <c r="FU235" s="136"/>
      <c r="FV235" s="136"/>
      <c r="FW235" s="136"/>
      <c r="FX235" s="136"/>
      <c r="FY235" s="136"/>
      <c r="FZ235" s="136"/>
      <c r="GA235" s="136"/>
      <c r="GB235" s="136"/>
      <c r="GC235" s="136"/>
      <c r="GD235" s="136"/>
      <c r="GE235" s="136"/>
      <c r="GF235" s="136"/>
      <c r="GG235" s="136"/>
      <c r="GH235" s="136"/>
      <c r="GI235" s="136"/>
      <c r="GJ235" s="136"/>
      <c r="GK235" s="136"/>
      <c r="GL235" s="136"/>
      <c r="GM235" s="136"/>
      <c r="GN235" s="136"/>
      <c r="GO235" s="136"/>
      <c r="GP235" s="136"/>
      <c r="GQ235" s="136"/>
      <c r="GR235" s="136"/>
      <c r="GS235" s="136"/>
      <c r="GT235" s="136"/>
      <c r="GU235" s="136"/>
      <c r="GV235" s="136"/>
      <c r="GW235" s="136"/>
      <c r="GX235" s="136"/>
      <c r="GY235" s="136"/>
      <c r="GZ235" s="136"/>
      <c r="HA235" s="136"/>
      <c r="HB235" s="136"/>
      <c r="HC235" s="136"/>
      <c r="HD235" s="136"/>
      <c r="HE235" s="136"/>
      <c r="HF235" s="136"/>
      <c r="HG235" s="136"/>
      <c r="HH235" s="136"/>
      <c r="HI235" s="136"/>
      <c r="HJ235" s="136"/>
      <c r="HK235" s="136"/>
      <c r="HL235" s="136"/>
      <c r="HM235" s="136"/>
      <c r="HN235" s="136"/>
      <c r="HO235" s="136"/>
      <c r="HP235" s="136"/>
      <c r="HQ235" s="136"/>
      <c r="HR235" s="136"/>
      <c r="HS235" s="136"/>
      <c r="HT235" s="136"/>
      <c r="HU235" s="136"/>
      <c r="HV235" s="136"/>
      <c r="HW235" s="136"/>
      <c r="HX235" s="136"/>
      <c r="HY235" s="136"/>
      <c r="HZ235" s="136"/>
      <c r="IA235" s="136"/>
      <c r="IB235" s="136"/>
      <c r="IC235" s="136"/>
      <c r="ID235" s="136"/>
      <c r="IE235" s="136"/>
      <c r="IF235" s="136"/>
      <c r="IG235" s="136"/>
      <c r="IH235" s="136"/>
      <c r="II235" s="136"/>
      <c r="IJ235" s="136"/>
      <c r="IK235" s="136"/>
      <c r="IL235" s="136"/>
      <c r="IM235" s="136"/>
      <c r="IN235" s="136"/>
      <c r="IO235" s="136"/>
      <c r="IP235" s="136"/>
      <c r="IQ235" s="136"/>
      <c r="IR235" s="136"/>
      <c r="IS235" s="136"/>
      <c r="IT235" s="136"/>
      <c r="IU235" s="136"/>
    </row>
    <row r="236" spans="1:255" ht="63" customHeight="1" x14ac:dyDescent="0.2">
      <c r="A236" s="242" t="str">
        <f>'HECVAT - Full'!A236</f>
        <v>PPPR-13</v>
      </c>
      <c r="B236" s="242" t="str">
        <f>VLOOKUP(A236,'HECVAT - Full'!A$24:B$312,2,FALSE)</f>
        <v>Is your company subject to Institution's Data Zone laws and regulations?</v>
      </c>
      <c r="C236" s="243" t="s">
        <v>2938</v>
      </c>
      <c r="D236" s="253" t="s">
        <v>2939</v>
      </c>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36"/>
      <c r="AY236" s="136"/>
      <c r="AZ236" s="136"/>
      <c r="BA236" s="136"/>
      <c r="BB236" s="136"/>
      <c r="BC236" s="136"/>
      <c r="BD236" s="136"/>
      <c r="BE236" s="136"/>
      <c r="BF236" s="136"/>
      <c r="BG236" s="136"/>
      <c r="BH236" s="136"/>
      <c r="BI236" s="136"/>
      <c r="BJ236" s="136"/>
      <c r="BK236" s="136"/>
      <c r="BL236" s="136"/>
      <c r="BM236" s="136"/>
      <c r="BN236" s="136"/>
      <c r="BO236" s="136"/>
      <c r="BP236" s="136"/>
      <c r="BQ236" s="136"/>
      <c r="BR236" s="136"/>
      <c r="BS236" s="136"/>
      <c r="BT236" s="136"/>
      <c r="BU236" s="136"/>
      <c r="BV236" s="136"/>
      <c r="BW236" s="136"/>
      <c r="BX236" s="136"/>
      <c r="BY236" s="136"/>
      <c r="BZ236" s="136"/>
      <c r="CA236" s="136"/>
      <c r="CB236" s="136"/>
      <c r="CC236" s="136"/>
      <c r="CD236" s="136"/>
      <c r="CE236" s="136"/>
      <c r="CF236" s="136"/>
      <c r="CG236" s="136"/>
      <c r="CH236" s="136"/>
      <c r="CI236" s="136"/>
      <c r="CJ236" s="136"/>
      <c r="CK236" s="136"/>
      <c r="CL236" s="136"/>
      <c r="CM236" s="136"/>
      <c r="CN236" s="136"/>
      <c r="CO236" s="136"/>
      <c r="CP236" s="136"/>
      <c r="CQ236" s="136"/>
      <c r="CR236" s="136"/>
      <c r="CS236" s="136"/>
      <c r="CT236" s="136"/>
      <c r="CU236" s="136"/>
      <c r="CV236" s="136"/>
      <c r="CW236" s="136"/>
      <c r="CX236" s="136"/>
      <c r="CY236" s="136"/>
      <c r="CZ236" s="136"/>
      <c r="DA236" s="136"/>
      <c r="DB236" s="136"/>
      <c r="DC236" s="136"/>
      <c r="DD236" s="136"/>
      <c r="DE236" s="136"/>
      <c r="DF236" s="136"/>
      <c r="DG236" s="136"/>
      <c r="DH236" s="136"/>
      <c r="DI236" s="136"/>
      <c r="DJ236" s="136"/>
      <c r="DK236" s="136"/>
      <c r="DL236" s="136"/>
      <c r="DM236" s="136"/>
      <c r="DN236" s="136"/>
      <c r="DO236" s="136"/>
      <c r="DP236" s="136"/>
      <c r="DQ236" s="136"/>
      <c r="DR236" s="136"/>
      <c r="DS236" s="136"/>
      <c r="DT236" s="136"/>
      <c r="DU236" s="136"/>
      <c r="DV236" s="136"/>
      <c r="DW236" s="136"/>
      <c r="DX236" s="136"/>
      <c r="DY236" s="136"/>
      <c r="DZ236" s="136"/>
      <c r="EA236" s="136"/>
      <c r="EB236" s="136"/>
      <c r="EC236" s="136"/>
      <c r="ED236" s="136"/>
      <c r="EE236" s="136"/>
      <c r="EF236" s="136"/>
      <c r="EG236" s="136"/>
      <c r="EH236" s="136"/>
      <c r="EI236" s="136"/>
      <c r="EJ236" s="136"/>
      <c r="EK236" s="136"/>
      <c r="EL236" s="136"/>
      <c r="EM236" s="136"/>
      <c r="EN236" s="136"/>
      <c r="EO236" s="136"/>
      <c r="EP236" s="136"/>
      <c r="EQ236" s="136"/>
      <c r="ER236" s="136"/>
      <c r="ES236" s="136"/>
      <c r="ET236" s="136"/>
      <c r="EU236" s="136"/>
      <c r="EV236" s="136"/>
      <c r="EW236" s="136"/>
      <c r="EX236" s="136"/>
      <c r="EY236" s="136"/>
      <c r="EZ236" s="136"/>
      <c r="FA236" s="136"/>
      <c r="FB236" s="136"/>
      <c r="FC236" s="136"/>
      <c r="FD236" s="136"/>
      <c r="FE236" s="136"/>
      <c r="FF236" s="136"/>
      <c r="FG236" s="136"/>
      <c r="FH236" s="136"/>
      <c r="FI236" s="136"/>
      <c r="FJ236" s="136"/>
      <c r="FK236" s="136"/>
      <c r="FL236" s="136"/>
      <c r="FM236" s="136"/>
      <c r="FN236" s="136"/>
      <c r="FO236" s="136"/>
      <c r="FP236" s="136"/>
      <c r="FQ236" s="136"/>
      <c r="FR236" s="136"/>
      <c r="FS236" s="136"/>
      <c r="FT236" s="136"/>
      <c r="FU236" s="136"/>
      <c r="FV236" s="136"/>
      <c r="FW236" s="136"/>
      <c r="FX236" s="136"/>
      <c r="FY236" s="136"/>
      <c r="FZ236" s="136"/>
      <c r="GA236" s="136"/>
      <c r="GB236" s="136"/>
      <c r="GC236" s="136"/>
      <c r="GD236" s="136"/>
      <c r="GE236" s="136"/>
      <c r="GF236" s="136"/>
      <c r="GG236" s="136"/>
      <c r="GH236" s="136"/>
      <c r="GI236" s="136"/>
      <c r="GJ236" s="136"/>
      <c r="GK236" s="136"/>
      <c r="GL236" s="136"/>
      <c r="GM236" s="136"/>
      <c r="GN236" s="136"/>
      <c r="GO236" s="136"/>
      <c r="GP236" s="136"/>
      <c r="GQ236" s="136"/>
      <c r="GR236" s="136"/>
      <c r="GS236" s="136"/>
      <c r="GT236" s="136"/>
      <c r="GU236" s="136"/>
      <c r="GV236" s="136"/>
      <c r="GW236" s="136"/>
      <c r="GX236" s="136"/>
      <c r="GY236" s="136"/>
      <c r="GZ236" s="136"/>
      <c r="HA236" s="136"/>
      <c r="HB236" s="136"/>
      <c r="HC236" s="136"/>
      <c r="HD236" s="136"/>
      <c r="HE236" s="136"/>
      <c r="HF236" s="136"/>
      <c r="HG236" s="136"/>
      <c r="HH236" s="136"/>
      <c r="HI236" s="136"/>
      <c r="HJ236" s="136"/>
      <c r="HK236" s="136"/>
      <c r="HL236" s="136"/>
      <c r="HM236" s="136"/>
      <c r="HN236" s="136"/>
      <c r="HO236" s="136"/>
      <c r="HP236" s="136"/>
      <c r="HQ236" s="136"/>
      <c r="HR236" s="136"/>
      <c r="HS236" s="136"/>
      <c r="HT236" s="136"/>
      <c r="HU236" s="136"/>
      <c r="HV236" s="136"/>
      <c r="HW236" s="136"/>
      <c r="HX236" s="136"/>
      <c r="HY236" s="136"/>
      <c r="HZ236" s="136"/>
      <c r="IA236" s="136"/>
      <c r="IB236" s="136"/>
      <c r="IC236" s="136"/>
      <c r="ID236" s="136"/>
      <c r="IE236" s="136"/>
      <c r="IF236" s="136"/>
      <c r="IG236" s="136"/>
      <c r="IH236" s="136"/>
      <c r="II236" s="136"/>
      <c r="IJ236" s="136"/>
      <c r="IK236" s="136"/>
      <c r="IL236" s="136"/>
      <c r="IM236" s="136"/>
      <c r="IN236" s="136"/>
      <c r="IO236" s="136"/>
      <c r="IP236" s="136"/>
      <c r="IQ236" s="136"/>
      <c r="IR236" s="136"/>
      <c r="IS236" s="136"/>
      <c r="IT236" s="136"/>
      <c r="IU236" s="136"/>
    </row>
    <row r="237" spans="1:255" ht="90" customHeight="1" x14ac:dyDescent="0.2">
      <c r="A237" s="242" t="str">
        <f>'HECVAT - Full'!A237</f>
        <v>PPPR-14</v>
      </c>
      <c r="B237" s="242" t="str">
        <f>VLOOKUP(A237,'HECVAT - Full'!A$24:B$312,2,FALSE)</f>
        <v>Do you perform background screenings or multi-state background checks on all employees prior to their first day of work?</v>
      </c>
      <c r="C237" s="243" t="s">
        <v>2942</v>
      </c>
      <c r="D237" s="253" t="s">
        <v>2943</v>
      </c>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36"/>
      <c r="AW237" s="136"/>
      <c r="AX237" s="136"/>
      <c r="AY237" s="136"/>
      <c r="AZ237" s="136"/>
      <c r="BA237" s="136"/>
      <c r="BB237" s="136"/>
      <c r="BC237" s="136"/>
      <c r="BD237" s="136"/>
      <c r="BE237" s="136"/>
      <c r="BF237" s="136"/>
      <c r="BG237" s="136"/>
      <c r="BH237" s="136"/>
      <c r="BI237" s="136"/>
      <c r="BJ237" s="136"/>
      <c r="BK237" s="136"/>
      <c r="BL237" s="136"/>
      <c r="BM237" s="136"/>
      <c r="BN237" s="136"/>
      <c r="BO237" s="136"/>
      <c r="BP237" s="136"/>
      <c r="BQ237" s="136"/>
      <c r="BR237" s="136"/>
      <c r="BS237" s="136"/>
      <c r="BT237" s="136"/>
      <c r="BU237" s="136"/>
      <c r="BV237" s="136"/>
      <c r="BW237" s="136"/>
      <c r="BX237" s="136"/>
      <c r="BY237" s="136"/>
      <c r="BZ237" s="136"/>
      <c r="CA237" s="136"/>
      <c r="CB237" s="136"/>
      <c r="CC237" s="136"/>
      <c r="CD237" s="136"/>
      <c r="CE237" s="136"/>
      <c r="CF237" s="136"/>
      <c r="CG237" s="136"/>
      <c r="CH237" s="136"/>
      <c r="CI237" s="136"/>
      <c r="CJ237" s="136"/>
      <c r="CK237" s="136"/>
      <c r="CL237" s="136"/>
      <c r="CM237" s="136"/>
      <c r="CN237" s="136"/>
      <c r="CO237" s="136"/>
      <c r="CP237" s="136"/>
      <c r="CQ237" s="136"/>
      <c r="CR237" s="136"/>
      <c r="CS237" s="136"/>
      <c r="CT237" s="136"/>
      <c r="CU237" s="136"/>
      <c r="CV237" s="136"/>
      <c r="CW237" s="136"/>
      <c r="CX237" s="136"/>
      <c r="CY237" s="136"/>
      <c r="CZ237" s="136"/>
      <c r="DA237" s="136"/>
      <c r="DB237" s="136"/>
      <c r="DC237" s="136"/>
      <c r="DD237" s="136"/>
      <c r="DE237" s="136"/>
      <c r="DF237" s="136"/>
      <c r="DG237" s="136"/>
      <c r="DH237" s="136"/>
      <c r="DI237" s="136"/>
      <c r="DJ237" s="136"/>
      <c r="DK237" s="136"/>
      <c r="DL237" s="136"/>
      <c r="DM237" s="136"/>
      <c r="DN237" s="136"/>
      <c r="DO237" s="136"/>
      <c r="DP237" s="136"/>
      <c r="DQ237" s="136"/>
      <c r="DR237" s="136"/>
      <c r="DS237" s="136"/>
      <c r="DT237" s="136"/>
      <c r="DU237" s="136"/>
      <c r="DV237" s="136"/>
      <c r="DW237" s="136"/>
      <c r="DX237" s="136"/>
      <c r="DY237" s="136"/>
      <c r="DZ237" s="136"/>
      <c r="EA237" s="136"/>
      <c r="EB237" s="136"/>
      <c r="EC237" s="136"/>
      <c r="ED237" s="136"/>
      <c r="EE237" s="136"/>
      <c r="EF237" s="136"/>
      <c r="EG237" s="136"/>
      <c r="EH237" s="136"/>
      <c r="EI237" s="136"/>
      <c r="EJ237" s="136"/>
      <c r="EK237" s="136"/>
      <c r="EL237" s="136"/>
      <c r="EM237" s="136"/>
      <c r="EN237" s="136"/>
      <c r="EO237" s="136"/>
      <c r="EP237" s="136"/>
      <c r="EQ237" s="136"/>
      <c r="ER237" s="136"/>
      <c r="ES237" s="136"/>
      <c r="ET237" s="136"/>
      <c r="EU237" s="136"/>
      <c r="EV237" s="136"/>
      <c r="EW237" s="136"/>
      <c r="EX237" s="136"/>
      <c r="EY237" s="136"/>
      <c r="EZ237" s="136"/>
      <c r="FA237" s="136"/>
      <c r="FB237" s="136"/>
      <c r="FC237" s="136"/>
      <c r="FD237" s="136"/>
      <c r="FE237" s="136"/>
      <c r="FF237" s="136"/>
      <c r="FG237" s="136"/>
      <c r="FH237" s="136"/>
      <c r="FI237" s="136"/>
      <c r="FJ237" s="136"/>
      <c r="FK237" s="136"/>
      <c r="FL237" s="136"/>
      <c r="FM237" s="136"/>
      <c r="FN237" s="136"/>
      <c r="FO237" s="136"/>
      <c r="FP237" s="136"/>
      <c r="FQ237" s="136"/>
      <c r="FR237" s="136"/>
      <c r="FS237" s="136"/>
      <c r="FT237" s="136"/>
      <c r="FU237" s="136"/>
      <c r="FV237" s="136"/>
      <c r="FW237" s="136"/>
      <c r="FX237" s="136"/>
      <c r="FY237" s="136"/>
      <c r="FZ237" s="136"/>
      <c r="GA237" s="136"/>
      <c r="GB237" s="136"/>
      <c r="GC237" s="136"/>
      <c r="GD237" s="136"/>
      <c r="GE237" s="136"/>
      <c r="GF237" s="136"/>
      <c r="GG237" s="136"/>
      <c r="GH237" s="136"/>
      <c r="GI237" s="136"/>
      <c r="GJ237" s="136"/>
      <c r="GK237" s="136"/>
      <c r="GL237" s="136"/>
      <c r="GM237" s="136"/>
      <c r="GN237" s="136"/>
      <c r="GO237" s="136"/>
      <c r="GP237" s="136"/>
      <c r="GQ237" s="136"/>
      <c r="GR237" s="136"/>
      <c r="GS237" s="136"/>
      <c r="GT237" s="136"/>
      <c r="GU237" s="136"/>
      <c r="GV237" s="136"/>
      <c r="GW237" s="136"/>
      <c r="GX237" s="136"/>
      <c r="GY237" s="136"/>
      <c r="GZ237" s="136"/>
      <c r="HA237" s="136"/>
      <c r="HB237" s="136"/>
      <c r="HC237" s="136"/>
      <c r="HD237" s="136"/>
      <c r="HE237" s="136"/>
      <c r="HF237" s="136"/>
      <c r="HG237" s="136"/>
      <c r="HH237" s="136"/>
      <c r="HI237" s="136"/>
      <c r="HJ237" s="136"/>
      <c r="HK237" s="136"/>
      <c r="HL237" s="136"/>
      <c r="HM237" s="136"/>
      <c r="HN237" s="136"/>
      <c r="HO237" s="136"/>
      <c r="HP237" s="136"/>
      <c r="HQ237" s="136"/>
      <c r="HR237" s="136"/>
      <c r="HS237" s="136"/>
      <c r="HT237" s="136"/>
      <c r="HU237" s="136"/>
      <c r="HV237" s="136"/>
      <c r="HW237" s="136"/>
      <c r="HX237" s="136"/>
      <c r="HY237" s="136"/>
      <c r="HZ237" s="136"/>
      <c r="IA237" s="136"/>
      <c r="IB237" s="136"/>
      <c r="IC237" s="136"/>
      <c r="ID237" s="136"/>
      <c r="IE237" s="136"/>
      <c r="IF237" s="136"/>
      <c r="IG237" s="136"/>
      <c r="IH237" s="136"/>
      <c r="II237" s="136"/>
      <c r="IJ237" s="136"/>
      <c r="IK237" s="136"/>
      <c r="IL237" s="136"/>
      <c r="IM237" s="136"/>
      <c r="IN237" s="136"/>
      <c r="IO237" s="136"/>
      <c r="IP237" s="136"/>
      <c r="IQ237" s="136"/>
      <c r="IR237" s="136"/>
      <c r="IS237" s="136"/>
      <c r="IT237" s="136"/>
      <c r="IU237" s="136"/>
    </row>
    <row r="238" spans="1:255" ht="71.25" x14ac:dyDescent="0.2">
      <c r="A238" s="242" t="str">
        <f>'HECVAT - Full'!A238</f>
        <v>PPPR-15</v>
      </c>
      <c r="B238" s="242" t="str">
        <f>VLOOKUP(A238,'HECVAT - Full'!A$24:B$312,2,FALSE)</f>
        <v xml:space="preserve">Do you require new employees to fill out agreements and review policies?  </v>
      </c>
      <c r="C238" s="243" t="s">
        <v>2944</v>
      </c>
      <c r="D238" s="253" t="s">
        <v>2945</v>
      </c>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36"/>
      <c r="AW238" s="136"/>
      <c r="AX238" s="136"/>
      <c r="AY238" s="136"/>
      <c r="AZ238" s="136"/>
      <c r="BA238" s="136"/>
      <c r="BB238" s="136"/>
      <c r="BC238" s="136"/>
      <c r="BD238" s="136"/>
      <c r="BE238" s="136"/>
      <c r="BF238" s="136"/>
      <c r="BG238" s="136"/>
      <c r="BH238" s="136"/>
      <c r="BI238" s="136"/>
      <c r="BJ238" s="136"/>
      <c r="BK238" s="136"/>
      <c r="BL238" s="136"/>
      <c r="BM238" s="136"/>
      <c r="BN238" s="136"/>
      <c r="BO238" s="136"/>
      <c r="BP238" s="136"/>
      <c r="BQ238" s="136"/>
      <c r="BR238" s="136"/>
      <c r="BS238" s="136"/>
      <c r="BT238" s="136"/>
      <c r="BU238" s="136"/>
      <c r="BV238" s="136"/>
      <c r="BW238" s="136"/>
      <c r="BX238" s="136"/>
      <c r="BY238" s="136"/>
      <c r="BZ238" s="136"/>
      <c r="CA238" s="136"/>
      <c r="CB238" s="136"/>
      <c r="CC238" s="136"/>
      <c r="CD238" s="136"/>
      <c r="CE238" s="136"/>
      <c r="CF238" s="136"/>
      <c r="CG238" s="136"/>
      <c r="CH238" s="136"/>
      <c r="CI238" s="136"/>
      <c r="CJ238" s="136"/>
      <c r="CK238" s="136"/>
      <c r="CL238" s="136"/>
      <c r="CM238" s="136"/>
      <c r="CN238" s="136"/>
      <c r="CO238" s="136"/>
      <c r="CP238" s="136"/>
      <c r="CQ238" s="136"/>
      <c r="CR238" s="136"/>
      <c r="CS238" s="136"/>
      <c r="CT238" s="136"/>
      <c r="CU238" s="136"/>
      <c r="CV238" s="136"/>
      <c r="CW238" s="136"/>
      <c r="CX238" s="136"/>
      <c r="CY238" s="136"/>
      <c r="CZ238" s="136"/>
      <c r="DA238" s="136"/>
      <c r="DB238" s="136"/>
      <c r="DC238" s="136"/>
      <c r="DD238" s="136"/>
      <c r="DE238" s="136"/>
      <c r="DF238" s="136"/>
      <c r="DG238" s="136"/>
      <c r="DH238" s="136"/>
      <c r="DI238" s="136"/>
      <c r="DJ238" s="136"/>
      <c r="DK238" s="136"/>
      <c r="DL238" s="136"/>
      <c r="DM238" s="136"/>
      <c r="DN238" s="136"/>
      <c r="DO238" s="136"/>
      <c r="DP238" s="136"/>
      <c r="DQ238" s="136"/>
      <c r="DR238" s="136"/>
      <c r="DS238" s="136"/>
      <c r="DT238" s="136"/>
      <c r="DU238" s="136"/>
      <c r="DV238" s="136"/>
      <c r="DW238" s="136"/>
      <c r="DX238" s="136"/>
      <c r="DY238" s="136"/>
      <c r="DZ238" s="136"/>
      <c r="EA238" s="136"/>
      <c r="EB238" s="136"/>
      <c r="EC238" s="136"/>
      <c r="ED238" s="136"/>
      <c r="EE238" s="136"/>
      <c r="EF238" s="136"/>
      <c r="EG238" s="136"/>
      <c r="EH238" s="136"/>
      <c r="EI238" s="136"/>
      <c r="EJ238" s="136"/>
      <c r="EK238" s="136"/>
      <c r="EL238" s="136"/>
      <c r="EM238" s="136"/>
      <c r="EN238" s="136"/>
      <c r="EO238" s="136"/>
      <c r="EP238" s="136"/>
      <c r="EQ238" s="136"/>
      <c r="ER238" s="136"/>
      <c r="ES238" s="136"/>
      <c r="ET238" s="136"/>
      <c r="EU238" s="136"/>
      <c r="EV238" s="136"/>
      <c r="EW238" s="136"/>
      <c r="EX238" s="136"/>
      <c r="EY238" s="136"/>
      <c r="EZ238" s="136"/>
      <c r="FA238" s="136"/>
      <c r="FB238" s="136"/>
      <c r="FC238" s="136"/>
      <c r="FD238" s="136"/>
      <c r="FE238" s="136"/>
      <c r="FF238" s="136"/>
      <c r="FG238" s="136"/>
      <c r="FH238" s="136"/>
      <c r="FI238" s="136"/>
      <c r="FJ238" s="136"/>
      <c r="FK238" s="136"/>
      <c r="FL238" s="136"/>
      <c r="FM238" s="136"/>
      <c r="FN238" s="136"/>
      <c r="FO238" s="136"/>
      <c r="FP238" s="136"/>
      <c r="FQ238" s="136"/>
      <c r="FR238" s="136"/>
      <c r="FS238" s="136"/>
      <c r="FT238" s="136"/>
      <c r="FU238" s="136"/>
      <c r="FV238" s="136"/>
      <c r="FW238" s="136"/>
      <c r="FX238" s="136"/>
      <c r="FY238" s="136"/>
      <c r="FZ238" s="136"/>
      <c r="GA238" s="136"/>
      <c r="GB238" s="136"/>
      <c r="GC238" s="136"/>
      <c r="GD238" s="136"/>
      <c r="GE238" s="136"/>
      <c r="GF238" s="136"/>
      <c r="GG238" s="136"/>
      <c r="GH238" s="136"/>
      <c r="GI238" s="136"/>
      <c r="GJ238" s="136"/>
      <c r="GK238" s="136"/>
      <c r="GL238" s="136"/>
      <c r="GM238" s="136"/>
      <c r="GN238" s="136"/>
      <c r="GO238" s="136"/>
      <c r="GP238" s="136"/>
      <c r="GQ238" s="136"/>
      <c r="GR238" s="136"/>
      <c r="GS238" s="136"/>
      <c r="GT238" s="136"/>
      <c r="GU238" s="136"/>
      <c r="GV238" s="136"/>
      <c r="GW238" s="136"/>
      <c r="GX238" s="136"/>
      <c r="GY238" s="136"/>
      <c r="GZ238" s="136"/>
      <c r="HA238" s="136"/>
      <c r="HB238" s="136"/>
      <c r="HC238" s="136"/>
      <c r="HD238" s="136"/>
      <c r="HE238" s="136"/>
      <c r="HF238" s="136"/>
      <c r="HG238" s="136"/>
      <c r="HH238" s="136"/>
      <c r="HI238" s="136"/>
      <c r="HJ238" s="136"/>
      <c r="HK238" s="136"/>
      <c r="HL238" s="136"/>
      <c r="HM238" s="136"/>
      <c r="HN238" s="136"/>
      <c r="HO238" s="136"/>
      <c r="HP238" s="136"/>
      <c r="HQ238" s="136"/>
      <c r="HR238" s="136"/>
      <c r="HS238" s="136"/>
      <c r="HT238" s="136"/>
      <c r="HU238" s="136"/>
      <c r="HV238" s="136"/>
      <c r="HW238" s="136"/>
      <c r="HX238" s="136"/>
      <c r="HY238" s="136"/>
      <c r="HZ238" s="136"/>
      <c r="IA238" s="136"/>
      <c r="IB238" s="136"/>
      <c r="IC238" s="136"/>
      <c r="ID238" s="136"/>
      <c r="IE238" s="136"/>
      <c r="IF238" s="136"/>
      <c r="IG238" s="136"/>
      <c r="IH238" s="136"/>
      <c r="II238" s="136"/>
      <c r="IJ238" s="136"/>
      <c r="IK238" s="136"/>
      <c r="IL238" s="136"/>
      <c r="IM238" s="136"/>
      <c r="IN238" s="136"/>
      <c r="IO238" s="136"/>
      <c r="IP238" s="136"/>
      <c r="IQ238" s="136"/>
      <c r="IR238" s="136"/>
      <c r="IS238" s="136"/>
      <c r="IT238" s="136"/>
      <c r="IU238" s="136"/>
    </row>
    <row r="239" spans="1:255" ht="99.75" x14ac:dyDescent="0.2">
      <c r="A239" s="242" t="str">
        <f>'HECVAT - Full'!A239</f>
        <v>PPPR-16</v>
      </c>
      <c r="B239" s="242" t="str">
        <f>VLOOKUP(A239,'HECVAT - Full'!A$24:B$312,2,FALSE)</f>
        <v>Do you have documented information security policy?</v>
      </c>
      <c r="C239" s="245" t="s">
        <v>2946</v>
      </c>
      <c r="D239" s="248" t="s">
        <v>2947</v>
      </c>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36"/>
      <c r="AZ239" s="136"/>
      <c r="BA239" s="136"/>
      <c r="BB239" s="136"/>
      <c r="BC239" s="136"/>
      <c r="BD239" s="136"/>
      <c r="BE239" s="136"/>
      <c r="BF239" s="136"/>
      <c r="BG239" s="136"/>
      <c r="BH239" s="136"/>
      <c r="BI239" s="136"/>
      <c r="BJ239" s="136"/>
      <c r="BK239" s="136"/>
      <c r="BL239" s="136"/>
      <c r="BM239" s="136"/>
      <c r="BN239" s="136"/>
      <c r="BO239" s="136"/>
      <c r="BP239" s="136"/>
      <c r="BQ239" s="136"/>
      <c r="BR239" s="136"/>
      <c r="BS239" s="136"/>
      <c r="BT239" s="136"/>
      <c r="BU239" s="136"/>
      <c r="BV239" s="136"/>
      <c r="BW239" s="136"/>
      <c r="BX239" s="136"/>
      <c r="BY239" s="136"/>
      <c r="BZ239" s="136"/>
      <c r="CA239" s="136"/>
      <c r="CB239" s="136"/>
      <c r="CC239" s="136"/>
      <c r="CD239" s="136"/>
      <c r="CE239" s="136"/>
      <c r="CF239" s="136"/>
      <c r="CG239" s="136"/>
      <c r="CH239" s="136"/>
      <c r="CI239" s="136"/>
      <c r="CJ239" s="136"/>
      <c r="CK239" s="136"/>
      <c r="CL239" s="136"/>
      <c r="CM239" s="136"/>
      <c r="CN239" s="136"/>
      <c r="CO239" s="136"/>
      <c r="CP239" s="136"/>
      <c r="CQ239" s="136"/>
      <c r="CR239" s="136"/>
      <c r="CS239" s="136"/>
      <c r="CT239" s="136"/>
      <c r="CU239" s="136"/>
      <c r="CV239" s="136"/>
      <c r="CW239" s="136"/>
      <c r="CX239" s="136"/>
      <c r="CY239" s="136"/>
      <c r="CZ239" s="136"/>
      <c r="DA239" s="136"/>
      <c r="DB239" s="136"/>
      <c r="DC239" s="136"/>
      <c r="DD239" s="136"/>
      <c r="DE239" s="136"/>
      <c r="DF239" s="136"/>
      <c r="DG239" s="136"/>
      <c r="DH239" s="136"/>
      <c r="DI239" s="136"/>
      <c r="DJ239" s="136"/>
      <c r="DK239" s="136"/>
      <c r="DL239" s="136"/>
      <c r="DM239" s="136"/>
      <c r="DN239" s="136"/>
      <c r="DO239" s="136"/>
      <c r="DP239" s="136"/>
      <c r="DQ239" s="136"/>
      <c r="DR239" s="136"/>
      <c r="DS239" s="136"/>
      <c r="DT239" s="136"/>
      <c r="DU239" s="136"/>
      <c r="DV239" s="136"/>
      <c r="DW239" s="136"/>
      <c r="DX239" s="136"/>
      <c r="DY239" s="136"/>
      <c r="DZ239" s="136"/>
      <c r="EA239" s="136"/>
      <c r="EB239" s="136"/>
      <c r="EC239" s="136"/>
      <c r="ED239" s="136"/>
      <c r="EE239" s="136"/>
      <c r="EF239" s="136"/>
      <c r="EG239" s="136"/>
      <c r="EH239" s="136"/>
      <c r="EI239" s="136"/>
      <c r="EJ239" s="136"/>
      <c r="EK239" s="136"/>
      <c r="EL239" s="136"/>
      <c r="EM239" s="136"/>
      <c r="EN239" s="136"/>
      <c r="EO239" s="136"/>
      <c r="EP239" s="136"/>
      <c r="EQ239" s="136"/>
      <c r="ER239" s="136"/>
      <c r="ES239" s="136"/>
      <c r="ET239" s="136"/>
      <c r="EU239" s="136"/>
      <c r="EV239" s="136"/>
      <c r="EW239" s="136"/>
      <c r="EX239" s="136"/>
      <c r="EY239" s="136"/>
      <c r="EZ239" s="136"/>
      <c r="FA239" s="136"/>
      <c r="FB239" s="136"/>
      <c r="FC239" s="136"/>
      <c r="FD239" s="136"/>
      <c r="FE239" s="136"/>
      <c r="FF239" s="136"/>
      <c r="FG239" s="136"/>
      <c r="FH239" s="136"/>
      <c r="FI239" s="136"/>
      <c r="FJ239" s="136"/>
      <c r="FK239" s="136"/>
      <c r="FL239" s="136"/>
      <c r="FM239" s="136"/>
      <c r="FN239" s="136"/>
      <c r="FO239" s="136"/>
      <c r="FP239" s="136"/>
      <c r="FQ239" s="136"/>
      <c r="FR239" s="136"/>
      <c r="FS239" s="136"/>
      <c r="FT239" s="136"/>
      <c r="FU239" s="136"/>
      <c r="FV239" s="136"/>
      <c r="FW239" s="136"/>
      <c r="FX239" s="136"/>
      <c r="FY239" s="136"/>
      <c r="FZ239" s="136"/>
      <c r="GA239" s="136"/>
      <c r="GB239" s="136"/>
      <c r="GC239" s="136"/>
      <c r="GD239" s="136"/>
      <c r="GE239" s="136"/>
      <c r="GF239" s="136"/>
      <c r="GG239" s="136"/>
      <c r="GH239" s="136"/>
      <c r="GI239" s="136"/>
      <c r="GJ239" s="136"/>
      <c r="GK239" s="136"/>
      <c r="GL239" s="136"/>
      <c r="GM239" s="136"/>
      <c r="GN239" s="136"/>
      <c r="GO239" s="136"/>
      <c r="GP239" s="136"/>
      <c r="GQ239" s="136"/>
      <c r="GR239" s="136"/>
      <c r="GS239" s="136"/>
      <c r="GT239" s="136"/>
      <c r="GU239" s="136"/>
      <c r="GV239" s="136"/>
      <c r="GW239" s="136"/>
      <c r="GX239" s="136"/>
      <c r="GY239" s="136"/>
      <c r="GZ239" s="136"/>
      <c r="HA239" s="136"/>
      <c r="HB239" s="136"/>
      <c r="HC239" s="136"/>
      <c r="HD239" s="136"/>
      <c r="HE239" s="136"/>
      <c r="HF239" s="136"/>
      <c r="HG239" s="136"/>
      <c r="HH239" s="136"/>
      <c r="HI239" s="136"/>
      <c r="HJ239" s="136"/>
      <c r="HK239" s="136"/>
      <c r="HL239" s="136"/>
      <c r="HM239" s="136"/>
      <c r="HN239" s="136"/>
      <c r="HO239" s="136"/>
      <c r="HP239" s="136"/>
      <c r="HQ239" s="136"/>
      <c r="HR239" s="136"/>
      <c r="HS239" s="136"/>
      <c r="HT239" s="136"/>
      <c r="HU239" s="136"/>
      <c r="HV239" s="136"/>
      <c r="HW239" s="136"/>
      <c r="HX239" s="136"/>
      <c r="HY239" s="136"/>
      <c r="HZ239" s="136"/>
      <c r="IA239" s="136"/>
      <c r="IB239" s="136"/>
      <c r="IC239" s="136"/>
      <c r="ID239" s="136"/>
      <c r="IE239" s="136"/>
      <c r="IF239" s="136"/>
      <c r="IG239" s="136"/>
      <c r="IH239" s="136"/>
      <c r="II239" s="136"/>
      <c r="IJ239" s="136"/>
      <c r="IK239" s="136"/>
      <c r="IL239" s="136"/>
      <c r="IM239" s="136"/>
      <c r="IN239" s="136"/>
      <c r="IO239" s="136"/>
      <c r="IP239" s="136"/>
      <c r="IQ239" s="136"/>
      <c r="IR239" s="136"/>
      <c r="IS239" s="136"/>
      <c r="IT239" s="136"/>
      <c r="IU239" s="136"/>
    </row>
    <row r="240" spans="1:255" ht="85.5" x14ac:dyDescent="0.2">
      <c r="A240" s="242" t="str">
        <f>'HECVAT - Full'!A240</f>
        <v>PPPR-17</v>
      </c>
      <c r="B240" s="242" t="str">
        <f>VLOOKUP(A240,'HECVAT - Full'!A$24:B$312,2,FALSE)</f>
        <v>Do you have an information security awareness program?</v>
      </c>
      <c r="C240" s="243" t="s">
        <v>2948</v>
      </c>
      <c r="D240" s="253" t="s">
        <v>2949</v>
      </c>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6"/>
      <c r="AN240" s="136"/>
      <c r="AO240" s="136"/>
      <c r="AP240" s="136"/>
      <c r="AQ240" s="136"/>
      <c r="AR240" s="136"/>
      <c r="AS240" s="136"/>
      <c r="AT240" s="136"/>
      <c r="AU240" s="136"/>
      <c r="AV240" s="136"/>
      <c r="AW240" s="136"/>
      <c r="AX240" s="136"/>
      <c r="AY240" s="136"/>
      <c r="AZ240" s="136"/>
      <c r="BA240" s="136"/>
      <c r="BB240" s="136"/>
      <c r="BC240" s="136"/>
      <c r="BD240" s="136"/>
      <c r="BE240" s="136"/>
      <c r="BF240" s="136"/>
      <c r="BG240" s="136"/>
      <c r="BH240" s="136"/>
      <c r="BI240" s="136"/>
      <c r="BJ240" s="136"/>
      <c r="BK240" s="136"/>
      <c r="BL240" s="136"/>
      <c r="BM240" s="136"/>
      <c r="BN240" s="136"/>
      <c r="BO240" s="136"/>
      <c r="BP240" s="136"/>
      <c r="BQ240" s="136"/>
      <c r="BR240" s="136"/>
      <c r="BS240" s="136"/>
      <c r="BT240" s="136"/>
      <c r="BU240" s="136"/>
      <c r="BV240" s="136"/>
      <c r="BW240" s="136"/>
      <c r="BX240" s="136"/>
      <c r="BY240" s="136"/>
      <c r="BZ240" s="136"/>
      <c r="CA240" s="136"/>
      <c r="CB240" s="136"/>
      <c r="CC240" s="136"/>
      <c r="CD240" s="136"/>
      <c r="CE240" s="136"/>
      <c r="CF240" s="136"/>
      <c r="CG240" s="136"/>
      <c r="CH240" s="136"/>
      <c r="CI240" s="136"/>
      <c r="CJ240" s="136"/>
      <c r="CK240" s="136"/>
      <c r="CL240" s="136"/>
      <c r="CM240" s="136"/>
      <c r="CN240" s="136"/>
      <c r="CO240" s="136"/>
      <c r="CP240" s="136"/>
      <c r="CQ240" s="136"/>
      <c r="CR240" s="136"/>
      <c r="CS240" s="136"/>
      <c r="CT240" s="136"/>
      <c r="CU240" s="136"/>
      <c r="CV240" s="136"/>
      <c r="CW240" s="136"/>
      <c r="CX240" s="136"/>
      <c r="CY240" s="136"/>
      <c r="CZ240" s="136"/>
      <c r="DA240" s="136"/>
      <c r="DB240" s="136"/>
      <c r="DC240" s="136"/>
      <c r="DD240" s="136"/>
      <c r="DE240" s="136"/>
      <c r="DF240" s="136"/>
      <c r="DG240" s="136"/>
      <c r="DH240" s="136"/>
      <c r="DI240" s="136"/>
      <c r="DJ240" s="136"/>
      <c r="DK240" s="136"/>
      <c r="DL240" s="136"/>
      <c r="DM240" s="136"/>
      <c r="DN240" s="136"/>
      <c r="DO240" s="136"/>
      <c r="DP240" s="136"/>
      <c r="DQ240" s="136"/>
      <c r="DR240" s="136"/>
      <c r="DS240" s="136"/>
      <c r="DT240" s="136"/>
      <c r="DU240" s="136"/>
      <c r="DV240" s="136"/>
      <c r="DW240" s="136"/>
      <c r="DX240" s="136"/>
      <c r="DY240" s="136"/>
      <c r="DZ240" s="136"/>
      <c r="EA240" s="136"/>
      <c r="EB240" s="136"/>
      <c r="EC240" s="136"/>
      <c r="ED240" s="136"/>
      <c r="EE240" s="136"/>
      <c r="EF240" s="136"/>
      <c r="EG240" s="136"/>
      <c r="EH240" s="136"/>
      <c r="EI240" s="136"/>
      <c r="EJ240" s="136"/>
      <c r="EK240" s="136"/>
      <c r="EL240" s="136"/>
      <c r="EM240" s="136"/>
      <c r="EN240" s="136"/>
      <c r="EO240" s="136"/>
      <c r="EP240" s="136"/>
      <c r="EQ240" s="136"/>
      <c r="ER240" s="136"/>
      <c r="ES240" s="136"/>
      <c r="ET240" s="136"/>
      <c r="EU240" s="136"/>
      <c r="EV240" s="136"/>
      <c r="EW240" s="136"/>
      <c r="EX240" s="136"/>
      <c r="EY240" s="136"/>
      <c r="EZ240" s="136"/>
      <c r="FA240" s="136"/>
      <c r="FB240" s="136"/>
      <c r="FC240" s="136"/>
      <c r="FD240" s="136"/>
      <c r="FE240" s="136"/>
      <c r="FF240" s="136"/>
      <c r="FG240" s="136"/>
      <c r="FH240" s="136"/>
      <c r="FI240" s="136"/>
      <c r="FJ240" s="136"/>
      <c r="FK240" s="136"/>
      <c r="FL240" s="136"/>
      <c r="FM240" s="136"/>
      <c r="FN240" s="136"/>
      <c r="FO240" s="136"/>
      <c r="FP240" s="136"/>
      <c r="FQ240" s="136"/>
      <c r="FR240" s="136"/>
      <c r="FS240" s="136"/>
      <c r="FT240" s="136"/>
      <c r="FU240" s="136"/>
      <c r="FV240" s="136"/>
      <c r="FW240" s="136"/>
      <c r="FX240" s="136"/>
      <c r="FY240" s="136"/>
      <c r="FZ240" s="136"/>
      <c r="GA240" s="136"/>
      <c r="GB240" s="136"/>
      <c r="GC240" s="136"/>
      <c r="GD240" s="136"/>
      <c r="GE240" s="136"/>
      <c r="GF240" s="136"/>
      <c r="GG240" s="136"/>
      <c r="GH240" s="136"/>
      <c r="GI240" s="136"/>
      <c r="GJ240" s="136"/>
      <c r="GK240" s="136"/>
      <c r="GL240" s="136"/>
      <c r="GM240" s="136"/>
      <c r="GN240" s="136"/>
      <c r="GO240" s="136"/>
      <c r="GP240" s="136"/>
      <c r="GQ240" s="136"/>
      <c r="GR240" s="136"/>
      <c r="GS240" s="136"/>
      <c r="GT240" s="136"/>
      <c r="GU240" s="136"/>
      <c r="GV240" s="136"/>
      <c r="GW240" s="136"/>
      <c r="GX240" s="136"/>
      <c r="GY240" s="136"/>
      <c r="GZ240" s="136"/>
      <c r="HA240" s="136"/>
      <c r="HB240" s="136"/>
      <c r="HC240" s="136"/>
      <c r="HD240" s="136"/>
      <c r="HE240" s="136"/>
      <c r="HF240" s="136"/>
      <c r="HG240" s="136"/>
      <c r="HH240" s="136"/>
      <c r="HI240" s="136"/>
      <c r="HJ240" s="136"/>
      <c r="HK240" s="136"/>
      <c r="HL240" s="136"/>
      <c r="HM240" s="136"/>
      <c r="HN240" s="136"/>
      <c r="HO240" s="136"/>
      <c r="HP240" s="136"/>
      <c r="HQ240" s="136"/>
      <c r="HR240" s="136"/>
      <c r="HS240" s="136"/>
      <c r="HT240" s="136"/>
      <c r="HU240" s="136"/>
      <c r="HV240" s="136"/>
      <c r="HW240" s="136"/>
      <c r="HX240" s="136"/>
      <c r="HY240" s="136"/>
      <c r="HZ240" s="136"/>
      <c r="IA240" s="136"/>
      <c r="IB240" s="136"/>
      <c r="IC240" s="136"/>
      <c r="ID240" s="136"/>
      <c r="IE240" s="136"/>
      <c r="IF240" s="136"/>
      <c r="IG240" s="136"/>
      <c r="IH240" s="136"/>
      <c r="II240" s="136"/>
      <c r="IJ240" s="136"/>
      <c r="IK240" s="136"/>
      <c r="IL240" s="136"/>
      <c r="IM240" s="136"/>
      <c r="IN240" s="136"/>
      <c r="IO240" s="136"/>
      <c r="IP240" s="136"/>
      <c r="IQ240" s="136"/>
      <c r="IR240" s="136"/>
      <c r="IS240" s="136"/>
      <c r="IT240" s="136"/>
      <c r="IU240" s="136"/>
    </row>
    <row r="241" spans="1:255" ht="85.5" x14ac:dyDescent="0.2">
      <c r="A241" s="242" t="str">
        <f>'HECVAT - Full'!A241</f>
        <v>PPPR-18</v>
      </c>
      <c r="B241" s="242" t="str">
        <f>VLOOKUP(A241,'HECVAT - Full'!A$24:B$312,2,FALSE)</f>
        <v>Is security awareness training mandatory for all employees?</v>
      </c>
      <c r="C241" s="243" t="s">
        <v>2948</v>
      </c>
      <c r="D241" s="253" t="s">
        <v>2949</v>
      </c>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6"/>
      <c r="AN241" s="136"/>
      <c r="AO241" s="136"/>
      <c r="AP241" s="136"/>
      <c r="AQ241" s="136"/>
      <c r="AR241" s="136"/>
      <c r="AS241" s="136"/>
      <c r="AT241" s="136"/>
      <c r="AU241" s="136"/>
      <c r="AV241" s="136"/>
      <c r="AW241" s="136"/>
      <c r="AX241" s="136"/>
      <c r="AY241" s="136"/>
      <c r="AZ241" s="136"/>
      <c r="BA241" s="136"/>
      <c r="BB241" s="136"/>
      <c r="BC241" s="136"/>
      <c r="BD241" s="136"/>
      <c r="BE241" s="136"/>
      <c r="BF241" s="136"/>
      <c r="BG241" s="136"/>
      <c r="BH241" s="136"/>
      <c r="BI241" s="136"/>
      <c r="BJ241" s="136"/>
      <c r="BK241" s="136"/>
      <c r="BL241" s="136"/>
      <c r="BM241" s="136"/>
      <c r="BN241" s="136"/>
      <c r="BO241" s="136"/>
      <c r="BP241" s="136"/>
      <c r="BQ241" s="136"/>
      <c r="BR241" s="136"/>
      <c r="BS241" s="136"/>
      <c r="BT241" s="136"/>
      <c r="BU241" s="136"/>
      <c r="BV241" s="136"/>
      <c r="BW241" s="136"/>
      <c r="BX241" s="136"/>
      <c r="BY241" s="136"/>
      <c r="BZ241" s="136"/>
      <c r="CA241" s="136"/>
      <c r="CB241" s="136"/>
      <c r="CC241" s="136"/>
      <c r="CD241" s="136"/>
      <c r="CE241" s="136"/>
      <c r="CF241" s="136"/>
      <c r="CG241" s="136"/>
      <c r="CH241" s="136"/>
      <c r="CI241" s="136"/>
      <c r="CJ241" s="136"/>
      <c r="CK241" s="136"/>
      <c r="CL241" s="136"/>
      <c r="CM241" s="136"/>
      <c r="CN241" s="136"/>
      <c r="CO241" s="136"/>
      <c r="CP241" s="136"/>
      <c r="CQ241" s="136"/>
      <c r="CR241" s="136"/>
      <c r="CS241" s="136"/>
      <c r="CT241" s="136"/>
      <c r="CU241" s="136"/>
      <c r="CV241" s="136"/>
      <c r="CW241" s="136"/>
      <c r="CX241" s="136"/>
      <c r="CY241" s="136"/>
      <c r="CZ241" s="136"/>
      <c r="DA241" s="136"/>
      <c r="DB241" s="136"/>
      <c r="DC241" s="136"/>
      <c r="DD241" s="136"/>
      <c r="DE241" s="136"/>
      <c r="DF241" s="136"/>
      <c r="DG241" s="136"/>
      <c r="DH241" s="136"/>
      <c r="DI241" s="136"/>
      <c r="DJ241" s="136"/>
      <c r="DK241" s="136"/>
      <c r="DL241" s="136"/>
      <c r="DM241" s="136"/>
      <c r="DN241" s="136"/>
      <c r="DO241" s="136"/>
      <c r="DP241" s="136"/>
      <c r="DQ241" s="136"/>
      <c r="DR241" s="136"/>
      <c r="DS241" s="136"/>
      <c r="DT241" s="136"/>
      <c r="DU241" s="136"/>
      <c r="DV241" s="136"/>
      <c r="DW241" s="136"/>
      <c r="DX241" s="136"/>
      <c r="DY241" s="136"/>
      <c r="DZ241" s="136"/>
      <c r="EA241" s="136"/>
      <c r="EB241" s="136"/>
      <c r="EC241" s="136"/>
      <c r="ED241" s="136"/>
      <c r="EE241" s="136"/>
      <c r="EF241" s="136"/>
      <c r="EG241" s="136"/>
      <c r="EH241" s="136"/>
      <c r="EI241" s="136"/>
      <c r="EJ241" s="136"/>
      <c r="EK241" s="136"/>
      <c r="EL241" s="136"/>
      <c r="EM241" s="136"/>
      <c r="EN241" s="136"/>
      <c r="EO241" s="136"/>
      <c r="EP241" s="136"/>
      <c r="EQ241" s="136"/>
      <c r="ER241" s="136"/>
      <c r="ES241" s="136"/>
      <c r="ET241" s="136"/>
      <c r="EU241" s="136"/>
      <c r="EV241" s="136"/>
      <c r="EW241" s="136"/>
      <c r="EX241" s="136"/>
      <c r="EY241" s="136"/>
      <c r="EZ241" s="136"/>
      <c r="FA241" s="136"/>
      <c r="FB241" s="136"/>
      <c r="FC241" s="136"/>
      <c r="FD241" s="136"/>
      <c r="FE241" s="136"/>
      <c r="FF241" s="136"/>
      <c r="FG241" s="136"/>
      <c r="FH241" s="136"/>
      <c r="FI241" s="136"/>
      <c r="FJ241" s="136"/>
      <c r="FK241" s="136"/>
      <c r="FL241" s="136"/>
      <c r="FM241" s="136"/>
      <c r="FN241" s="136"/>
      <c r="FO241" s="136"/>
      <c r="FP241" s="136"/>
      <c r="FQ241" s="136"/>
      <c r="FR241" s="136"/>
      <c r="FS241" s="136"/>
      <c r="FT241" s="136"/>
      <c r="FU241" s="136"/>
      <c r="FV241" s="136"/>
      <c r="FW241" s="136"/>
      <c r="FX241" s="136"/>
      <c r="FY241" s="136"/>
      <c r="FZ241" s="136"/>
      <c r="GA241" s="136"/>
      <c r="GB241" s="136"/>
      <c r="GC241" s="136"/>
      <c r="GD241" s="136"/>
      <c r="GE241" s="136"/>
      <c r="GF241" s="136"/>
      <c r="GG241" s="136"/>
      <c r="GH241" s="136"/>
      <c r="GI241" s="136"/>
      <c r="GJ241" s="136"/>
      <c r="GK241" s="136"/>
      <c r="GL241" s="136"/>
      <c r="GM241" s="136"/>
      <c r="GN241" s="136"/>
      <c r="GO241" s="136"/>
      <c r="GP241" s="136"/>
      <c r="GQ241" s="136"/>
      <c r="GR241" s="136"/>
      <c r="GS241" s="136"/>
      <c r="GT241" s="136"/>
      <c r="GU241" s="136"/>
      <c r="GV241" s="136"/>
      <c r="GW241" s="136"/>
      <c r="GX241" s="136"/>
      <c r="GY241" s="136"/>
      <c r="GZ241" s="136"/>
      <c r="HA241" s="136"/>
      <c r="HB241" s="136"/>
      <c r="HC241" s="136"/>
      <c r="HD241" s="136"/>
      <c r="HE241" s="136"/>
      <c r="HF241" s="136"/>
      <c r="HG241" s="136"/>
      <c r="HH241" s="136"/>
      <c r="HI241" s="136"/>
      <c r="HJ241" s="136"/>
      <c r="HK241" s="136"/>
      <c r="HL241" s="136"/>
      <c r="HM241" s="136"/>
      <c r="HN241" s="136"/>
      <c r="HO241" s="136"/>
      <c r="HP241" s="136"/>
      <c r="HQ241" s="136"/>
      <c r="HR241" s="136"/>
      <c r="HS241" s="136"/>
      <c r="HT241" s="136"/>
      <c r="HU241" s="136"/>
      <c r="HV241" s="136"/>
      <c r="HW241" s="136"/>
      <c r="HX241" s="136"/>
      <c r="HY241" s="136"/>
      <c r="HZ241" s="136"/>
      <c r="IA241" s="136"/>
      <c r="IB241" s="136"/>
      <c r="IC241" s="136"/>
      <c r="ID241" s="136"/>
      <c r="IE241" s="136"/>
      <c r="IF241" s="136"/>
      <c r="IG241" s="136"/>
      <c r="IH241" s="136"/>
      <c r="II241" s="136"/>
      <c r="IJ241" s="136"/>
      <c r="IK241" s="136"/>
      <c r="IL241" s="136"/>
      <c r="IM241" s="136"/>
      <c r="IN241" s="136"/>
      <c r="IO241" s="136"/>
      <c r="IP241" s="136"/>
      <c r="IQ241" s="136"/>
      <c r="IR241" s="136"/>
      <c r="IS241" s="136"/>
      <c r="IT241" s="136"/>
      <c r="IU241" s="136"/>
    </row>
    <row r="242" spans="1:255" ht="99.75" x14ac:dyDescent="0.2">
      <c r="A242" s="242" t="str">
        <f>'HECVAT - Full'!A242</f>
        <v>PPPR-19</v>
      </c>
      <c r="B242" s="242" t="str">
        <f>VLOOKUP(A242,'HECVAT - Full'!A$24:B$312,2,FALSE)</f>
        <v>Do you have process and procedure(s) documented, and currently followed, that require a review and update of the access-list(s) for privileged accounts?</v>
      </c>
      <c r="C242" s="243" t="s">
        <v>2749</v>
      </c>
      <c r="D242" s="253" t="s">
        <v>2750</v>
      </c>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36"/>
      <c r="AW242" s="136"/>
      <c r="AX242" s="136"/>
      <c r="AY242" s="136"/>
      <c r="AZ242" s="136"/>
      <c r="BA242" s="136"/>
      <c r="BB242" s="136"/>
      <c r="BC242" s="136"/>
      <c r="BD242" s="136"/>
      <c r="BE242" s="136"/>
      <c r="BF242" s="136"/>
      <c r="BG242" s="136"/>
      <c r="BH242" s="136"/>
      <c r="BI242" s="136"/>
      <c r="BJ242" s="136"/>
      <c r="BK242" s="136"/>
      <c r="BL242" s="136"/>
      <c r="BM242" s="136"/>
      <c r="BN242" s="136"/>
      <c r="BO242" s="136"/>
      <c r="BP242" s="136"/>
      <c r="BQ242" s="136"/>
      <c r="BR242" s="136"/>
      <c r="BS242" s="136"/>
      <c r="BT242" s="136"/>
      <c r="BU242" s="136"/>
      <c r="BV242" s="136"/>
      <c r="BW242" s="136"/>
      <c r="BX242" s="136"/>
      <c r="BY242" s="136"/>
      <c r="BZ242" s="136"/>
      <c r="CA242" s="136"/>
      <c r="CB242" s="136"/>
      <c r="CC242" s="136"/>
      <c r="CD242" s="136"/>
      <c r="CE242" s="136"/>
      <c r="CF242" s="136"/>
      <c r="CG242" s="136"/>
      <c r="CH242" s="136"/>
      <c r="CI242" s="136"/>
      <c r="CJ242" s="136"/>
      <c r="CK242" s="136"/>
      <c r="CL242" s="136"/>
      <c r="CM242" s="136"/>
      <c r="CN242" s="136"/>
      <c r="CO242" s="136"/>
      <c r="CP242" s="136"/>
      <c r="CQ242" s="136"/>
      <c r="CR242" s="136"/>
      <c r="CS242" s="136"/>
      <c r="CT242" s="136"/>
      <c r="CU242" s="136"/>
      <c r="CV242" s="136"/>
      <c r="CW242" s="136"/>
      <c r="CX242" s="136"/>
      <c r="CY242" s="136"/>
      <c r="CZ242" s="136"/>
      <c r="DA242" s="136"/>
      <c r="DB242" s="136"/>
      <c r="DC242" s="136"/>
      <c r="DD242" s="136"/>
      <c r="DE242" s="136"/>
      <c r="DF242" s="136"/>
      <c r="DG242" s="136"/>
      <c r="DH242" s="136"/>
      <c r="DI242" s="136"/>
      <c r="DJ242" s="136"/>
      <c r="DK242" s="136"/>
      <c r="DL242" s="136"/>
      <c r="DM242" s="136"/>
      <c r="DN242" s="136"/>
      <c r="DO242" s="136"/>
      <c r="DP242" s="136"/>
      <c r="DQ242" s="136"/>
      <c r="DR242" s="136"/>
      <c r="DS242" s="136"/>
      <c r="DT242" s="136"/>
      <c r="DU242" s="136"/>
      <c r="DV242" s="136"/>
      <c r="DW242" s="136"/>
      <c r="DX242" s="136"/>
      <c r="DY242" s="136"/>
      <c r="DZ242" s="136"/>
      <c r="EA242" s="136"/>
      <c r="EB242" s="136"/>
      <c r="EC242" s="136"/>
      <c r="ED242" s="136"/>
      <c r="EE242" s="136"/>
      <c r="EF242" s="136"/>
      <c r="EG242" s="136"/>
      <c r="EH242" s="136"/>
      <c r="EI242" s="136"/>
      <c r="EJ242" s="136"/>
      <c r="EK242" s="136"/>
      <c r="EL242" s="136"/>
      <c r="EM242" s="136"/>
      <c r="EN242" s="136"/>
      <c r="EO242" s="136"/>
      <c r="EP242" s="136"/>
      <c r="EQ242" s="136"/>
      <c r="ER242" s="136"/>
      <c r="ES242" s="136"/>
      <c r="ET242" s="136"/>
      <c r="EU242" s="136"/>
      <c r="EV242" s="136"/>
      <c r="EW242" s="136"/>
      <c r="EX242" s="136"/>
      <c r="EY242" s="136"/>
      <c r="EZ242" s="136"/>
      <c r="FA242" s="136"/>
      <c r="FB242" s="136"/>
      <c r="FC242" s="136"/>
      <c r="FD242" s="136"/>
      <c r="FE242" s="136"/>
      <c r="FF242" s="136"/>
      <c r="FG242" s="136"/>
      <c r="FH242" s="136"/>
      <c r="FI242" s="136"/>
      <c r="FJ242" s="136"/>
      <c r="FK242" s="136"/>
      <c r="FL242" s="136"/>
      <c r="FM242" s="136"/>
      <c r="FN242" s="136"/>
      <c r="FO242" s="136"/>
      <c r="FP242" s="136"/>
      <c r="FQ242" s="136"/>
      <c r="FR242" s="136"/>
      <c r="FS242" s="136"/>
      <c r="FT242" s="136"/>
      <c r="FU242" s="136"/>
      <c r="FV242" s="136"/>
      <c r="FW242" s="136"/>
      <c r="FX242" s="136"/>
      <c r="FY242" s="136"/>
      <c r="FZ242" s="136"/>
      <c r="GA242" s="136"/>
      <c r="GB242" s="136"/>
      <c r="GC242" s="136"/>
      <c r="GD242" s="136"/>
      <c r="GE242" s="136"/>
      <c r="GF242" s="136"/>
      <c r="GG242" s="136"/>
      <c r="GH242" s="136"/>
      <c r="GI242" s="136"/>
      <c r="GJ242" s="136"/>
      <c r="GK242" s="136"/>
      <c r="GL242" s="136"/>
      <c r="GM242" s="136"/>
      <c r="GN242" s="136"/>
      <c r="GO242" s="136"/>
      <c r="GP242" s="136"/>
      <c r="GQ242" s="136"/>
      <c r="GR242" s="136"/>
      <c r="GS242" s="136"/>
      <c r="GT242" s="136"/>
      <c r="GU242" s="136"/>
      <c r="GV242" s="136"/>
      <c r="GW242" s="136"/>
      <c r="GX242" s="136"/>
      <c r="GY242" s="136"/>
      <c r="GZ242" s="136"/>
      <c r="HA242" s="136"/>
      <c r="HB242" s="136"/>
      <c r="HC242" s="136"/>
      <c r="HD242" s="136"/>
      <c r="HE242" s="136"/>
      <c r="HF242" s="136"/>
      <c r="HG242" s="136"/>
      <c r="HH242" s="136"/>
      <c r="HI242" s="136"/>
      <c r="HJ242" s="136"/>
      <c r="HK242" s="136"/>
      <c r="HL242" s="136"/>
      <c r="HM242" s="136"/>
      <c r="HN242" s="136"/>
      <c r="HO242" s="136"/>
      <c r="HP242" s="136"/>
      <c r="HQ242" s="136"/>
      <c r="HR242" s="136"/>
      <c r="HS242" s="136"/>
      <c r="HT242" s="136"/>
      <c r="HU242" s="136"/>
      <c r="HV242" s="136"/>
      <c r="HW242" s="136"/>
      <c r="HX242" s="136"/>
      <c r="HY242" s="136"/>
      <c r="HZ242" s="136"/>
      <c r="IA242" s="136"/>
      <c r="IB242" s="136"/>
      <c r="IC242" s="136"/>
      <c r="ID242" s="136"/>
      <c r="IE242" s="136"/>
      <c r="IF242" s="136"/>
      <c r="IG242" s="136"/>
      <c r="IH242" s="136"/>
      <c r="II242" s="136"/>
      <c r="IJ242" s="136"/>
      <c r="IK242" s="136"/>
      <c r="IL242" s="136"/>
      <c r="IM242" s="136"/>
      <c r="IN242" s="136"/>
      <c r="IO242" s="136"/>
      <c r="IP242" s="136"/>
      <c r="IQ242" s="136"/>
      <c r="IR242" s="136"/>
      <c r="IS242" s="136"/>
      <c r="IT242" s="136"/>
      <c r="IU242" s="136"/>
    </row>
    <row r="243" spans="1:255" ht="64.349999999999994" customHeight="1" x14ac:dyDescent="0.2">
      <c r="A243" s="242" t="str">
        <f>'HECVAT - Full'!A243</f>
        <v>PPPR-20</v>
      </c>
      <c r="B243" s="242" t="str">
        <f>VLOOKUP(A243,'HECVAT - Full'!A$24:B$312,2,FALSE)</f>
        <v>Do you have documented, and currently implemented, internal audit processes and procedures?</v>
      </c>
      <c r="C243" s="243" t="s">
        <v>2950</v>
      </c>
      <c r="D243" s="253" t="s">
        <v>2951</v>
      </c>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6"/>
      <c r="AN243" s="136"/>
      <c r="AO243" s="136"/>
      <c r="AP243" s="136"/>
      <c r="AQ243" s="136"/>
      <c r="AR243" s="136"/>
      <c r="AS243" s="136"/>
      <c r="AT243" s="136"/>
      <c r="AU243" s="136"/>
      <c r="AV243" s="136"/>
      <c r="AW243" s="136"/>
      <c r="AX243" s="136"/>
      <c r="AY243" s="136"/>
      <c r="AZ243" s="136"/>
      <c r="BA243" s="136"/>
      <c r="BB243" s="136"/>
      <c r="BC243" s="136"/>
      <c r="BD243" s="136"/>
      <c r="BE243" s="136"/>
      <c r="BF243" s="136"/>
      <c r="BG243" s="136"/>
      <c r="BH243" s="136"/>
      <c r="BI243" s="136"/>
      <c r="BJ243" s="136"/>
      <c r="BK243" s="136"/>
      <c r="BL243" s="136"/>
      <c r="BM243" s="136"/>
      <c r="BN243" s="136"/>
      <c r="BO243" s="136"/>
      <c r="BP243" s="136"/>
      <c r="BQ243" s="136"/>
      <c r="BR243" s="136"/>
      <c r="BS243" s="136"/>
      <c r="BT243" s="136"/>
      <c r="BU243" s="136"/>
      <c r="BV243" s="136"/>
      <c r="BW243" s="136"/>
      <c r="BX243" s="136"/>
      <c r="BY243" s="136"/>
      <c r="BZ243" s="136"/>
      <c r="CA243" s="136"/>
      <c r="CB243" s="136"/>
      <c r="CC243" s="136"/>
      <c r="CD243" s="136"/>
      <c r="CE243" s="136"/>
      <c r="CF243" s="136"/>
      <c r="CG243" s="136"/>
      <c r="CH243" s="136"/>
      <c r="CI243" s="136"/>
      <c r="CJ243" s="136"/>
      <c r="CK243" s="136"/>
      <c r="CL243" s="136"/>
      <c r="CM243" s="136"/>
      <c r="CN243" s="136"/>
      <c r="CO243" s="136"/>
      <c r="CP243" s="136"/>
      <c r="CQ243" s="136"/>
      <c r="CR243" s="136"/>
      <c r="CS243" s="136"/>
      <c r="CT243" s="136"/>
      <c r="CU243" s="136"/>
      <c r="CV243" s="136"/>
      <c r="CW243" s="136"/>
      <c r="CX243" s="136"/>
      <c r="CY243" s="136"/>
      <c r="CZ243" s="136"/>
      <c r="DA243" s="136"/>
      <c r="DB243" s="136"/>
      <c r="DC243" s="136"/>
      <c r="DD243" s="136"/>
      <c r="DE243" s="136"/>
      <c r="DF243" s="136"/>
      <c r="DG243" s="136"/>
      <c r="DH243" s="136"/>
      <c r="DI243" s="136"/>
      <c r="DJ243" s="136"/>
      <c r="DK243" s="136"/>
      <c r="DL243" s="136"/>
      <c r="DM243" s="136"/>
      <c r="DN243" s="136"/>
      <c r="DO243" s="136"/>
      <c r="DP243" s="136"/>
      <c r="DQ243" s="136"/>
      <c r="DR243" s="136"/>
      <c r="DS243" s="136"/>
      <c r="DT243" s="136"/>
      <c r="DU243" s="136"/>
      <c r="DV243" s="136"/>
      <c r="DW243" s="136"/>
      <c r="DX243" s="136"/>
      <c r="DY243" s="136"/>
      <c r="DZ243" s="136"/>
      <c r="EA243" s="136"/>
      <c r="EB243" s="136"/>
      <c r="EC243" s="136"/>
      <c r="ED243" s="136"/>
      <c r="EE243" s="136"/>
      <c r="EF243" s="136"/>
      <c r="EG243" s="136"/>
      <c r="EH243" s="136"/>
      <c r="EI243" s="136"/>
      <c r="EJ243" s="136"/>
      <c r="EK243" s="136"/>
      <c r="EL243" s="136"/>
      <c r="EM243" s="136"/>
      <c r="EN243" s="136"/>
      <c r="EO243" s="136"/>
      <c r="EP243" s="136"/>
      <c r="EQ243" s="136"/>
      <c r="ER243" s="136"/>
      <c r="ES243" s="136"/>
      <c r="ET243" s="136"/>
      <c r="EU243" s="136"/>
      <c r="EV243" s="136"/>
      <c r="EW243" s="136"/>
      <c r="EX243" s="136"/>
      <c r="EY243" s="136"/>
      <c r="EZ243" s="136"/>
      <c r="FA243" s="136"/>
      <c r="FB243" s="136"/>
      <c r="FC243" s="136"/>
      <c r="FD243" s="136"/>
      <c r="FE243" s="136"/>
      <c r="FF243" s="136"/>
      <c r="FG243" s="136"/>
      <c r="FH243" s="136"/>
      <c r="FI243" s="136"/>
      <c r="FJ243" s="136"/>
      <c r="FK243" s="136"/>
      <c r="FL243" s="136"/>
      <c r="FM243" s="136"/>
      <c r="FN243" s="136"/>
      <c r="FO243" s="136"/>
      <c r="FP243" s="136"/>
      <c r="FQ243" s="136"/>
      <c r="FR243" s="136"/>
      <c r="FS243" s="136"/>
      <c r="FT243" s="136"/>
      <c r="FU243" s="136"/>
      <c r="FV243" s="136"/>
      <c r="FW243" s="136"/>
      <c r="FX243" s="136"/>
      <c r="FY243" s="136"/>
      <c r="FZ243" s="136"/>
      <c r="GA243" s="136"/>
      <c r="GB243" s="136"/>
      <c r="GC243" s="136"/>
      <c r="GD243" s="136"/>
      <c r="GE243" s="136"/>
      <c r="GF243" s="136"/>
      <c r="GG243" s="136"/>
      <c r="GH243" s="136"/>
      <c r="GI243" s="136"/>
      <c r="GJ243" s="136"/>
      <c r="GK243" s="136"/>
      <c r="GL243" s="136"/>
      <c r="GM243" s="136"/>
      <c r="GN243" s="136"/>
      <c r="GO243" s="136"/>
      <c r="GP243" s="136"/>
      <c r="GQ243" s="136"/>
      <c r="GR243" s="136"/>
      <c r="GS243" s="136"/>
      <c r="GT243" s="136"/>
      <c r="GU243" s="136"/>
      <c r="GV243" s="136"/>
      <c r="GW243" s="136"/>
      <c r="GX243" s="136"/>
      <c r="GY243" s="136"/>
      <c r="GZ243" s="136"/>
      <c r="HA243" s="136"/>
      <c r="HB243" s="136"/>
      <c r="HC243" s="136"/>
      <c r="HD243" s="136"/>
      <c r="HE243" s="136"/>
      <c r="HF243" s="136"/>
      <c r="HG243" s="136"/>
      <c r="HH243" s="136"/>
      <c r="HI243" s="136"/>
      <c r="HJ243" s="136"/>
      <c r="HK243" s="136"/>
      <c r="HL243" s="136"/>
      <c r="HM243" s="136"/>
      <c r="HN243" s="136"/>
      <c r="HO243" s="136"/>
      <c r="HP243" s="136"/>
      <c r="HQ243" s="136"/>
      <c r="HR243" s="136"/>
      <c r="HS243" s="136"/>
      <c r="HT243" s="136"/>
      <c r="HU243" s="136"/>
      <c r="HV243" s="136"/>
      <c r="HW243" s="136"/>
      <c r="HX243" s="136"/>
      <c r="HY243" s="136"/>
      <c r="HZ243" s="136"/>
      <c r="IA243" s="136"/>
      <c r="IB243" s="136"/>
      <c r="IC243" s="136"/>
      <c r="ID243" s="136"/>
      <c r="IE243" s="136"/>
      <c r="IF243" s="136"/>
      <c r="IG243" s="136"/>
      <c r="IH243" s="136"/>
      <c r="II243" s="136"/>
      <c r="IJ243" s="136"/>
      <c r="IK243" s="136"/>
      <c r="IL243" s="136"/>
      <c r="IM243" s="136"/>
      <c r="IN243" s="136"/>
      <c r="IO243" s="136"/>
      <c r="IP243" s="136"/>
      <c r="IQ243" s="136"/>
      <c r="IR243" s="136"/>
      <c r="IS243" s="136"/>
      <c r="IT243" s="136"/>
      <c r="IU243" s="136"/>
    </row>
    <row r="244" spans="1:255" ht="36" customHeight="1" x14ac:dyDescent="0.2">
      <c r="A244" s="335" t="str">
        <f>IF($C$30="","Product Evaluation",IF($C$30="Yes","Product Evaluation - Optional based on QUALIFIER response.","Product Evaluation"))</f>
        <v>Product Evaluation</v>
      </c>
      <c r="B244" s="335"/>
      <c r="C244" s="240" t="str">
        <f>$C$22</f>
        <v>Reason for Question</v>
      </c>
      <c r="D244" s="240" t="str">
        <f>$D$22</f>
        <v>Follow-up Inquiries/Responses</v>
      </c>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6"/>
      <c r="AN244" s="136"/>
      <c r="AO244" s="136"/>
      <c r="AP244" s="136"/>
      <c r="AQ244" s="136"/>
      <c r="AR244" s="136"/>
      <c r="AS244" s="136"/>
      <c r="AT244" s="136"/>
      <c r="AU244" s="136"/>
      <c r="AV244" s="136"/>
      <c r="AW244" s="136"/>
      <c r="AX244" s="136"/>
      <c r="AY244" s="136"/>
      <c r="AZ244" s="136"/>
      <c r="BA244" s="136"/>
      <c r="BB244" s="136"/>
      <c r="BC244" s="136"/>
      <c r="BD244" s="136"/>
      <c r="BE244" s="136"/>
      <c r="BF244" s="136"/>
      <c r="BG244" s="136"/>
      <c r="BH244" s="136"/>
      <c r="BI244" s="136"/>
      <c r="BJ244" s="136"/>
      <c r="BK244" s="136"/>
      <c r="BL244" s="136"/>
      <c r="BM244" s="136"/>
      <c r="BN244" s="136"/>
      <c r="BO244" s="136"/>
      <c r="BP244" s="136"/>
      <c r="BQ244" s="136"/>
      <c r="BR244" s="136"/>
      <c r="BS244" s="136"/>
      <c r="BT244" s="136"/>
      <c r="BU244" s="136"/>
      <c r="BV244" s="136"/>
      <c r="BW244" s="136"/>
      <c r="BX244" s="136"/>
      <c r="BY244" s="136"/>
      <c r="BZ244" s="136"/>
      <c r="CA244" s="136"/>
      <c r="CB244" s="136"/>
      <c r="CC244" s="136"/>
      <c r="CD244" s="136"/>
      <c r="CE244" s="136"/>
      <c r="CF244" s="136"/>
      <c r="CG244" s="136"/>
      <c r="CH244" s="136"/>
      <c r="CI244" s="136"/>
      <c r="CJ244" s="136"/>
      <c r="CK244" s="136"/>
      <c r="CL244" s="136"/>
      <c r="CM244" s="136"/>
      <c r="CN244" s="136"/>
      <c r="CO244" s="136"/>
      <c r="CP244" s="136"/>
      <c r="CQ244" s="136"/>
      <c r="CR244" s="136"/>
      <c r="CS244" s="136"/>
      <c r="CT244" s="136"/>
      <c r="CU244" s="136"/>
      <c r="CV244" s="136"/>
      <c r="CW244" s="136"/>
      <c r="CX244" s="136"/>
      <c r="CY244" s="136"/>
      <c r="CZ244" s="136"/>
      <c r="DA244" s="136"/>
      <c r="DB244" s="136"/>
      <c r="DC244" s="136"/>
      <c r="DD244" s="136"/>
      <c r="DE244" s="136"/>
      <c r="DF244" s="136"/>
      <c r="DG244" s="136"/>
      <c r="DH244" s="136"/>
      <c r="DI244" s="136"/>
      <c r="DJ244" s="136"/>
      <c r="DK244" s="136"/>
      <c r="DL244" s="136"/>
      <c r="DM244" s="136"/>
      <c r="DN244" s="136"/>
      <c r="DO244" s="136"/>
      <c r="DP244" s="136"/>
      <c r="DQ244" s="136"/>
      <c r="DR244" s="136"/>
      <c r="DS244" s="136"/>
      <c r="DT244" s="136"/>
      <c r="DU244" s="136"/>
      <c r="DV244" s="136"/>
      <c r="DW244" s="136"/>
      <c r="DX244" s="136"/>
      <c r="DY244" s="136"/>
      <c r="DZ244" s="136"/>
      <c r="EA244" s="136"/>
      <c r="EB244" s="136"/>
      <c r="EC244" s="136"/>
      <c r="ED244" s="136"/>
      <c r="EE244" s="136"/>
      <c r="EF244" s="136"/>
      <c r="EG244" s="136"/>
      <c r="EH244" s="136"/>
      <c r="EI244" s="136"/>
      <c r="EJ244" s="136"/>
      <c r="EK244" s="136"/>
      <c r="EL244" s="136"/>
      <c r="EM244" s="136"/>
      <c r="EN244" s="136"/>
      <c r="EO244" s="136"/>
      <c r="EP244" s="136"/>
      <c r="EQ244" s="136"/>
      <c r="ER244" s="136"/>
      <c r="ES244" s="136"/>
      <c r="ET244" s="136"/>
      <c r="EU244" s="136"/>
      <c r="EV244" s="136"/>
      <c r="EW244" s="136"/>
      <c r="EX244" s="136"/>
      <c r="EY244" s="136"/>
      <c r="EZ244" s="136"/>
      <c r="FA244" s="136"/>
      <c r="FB244" s="136"/>
      <c r="FC244" s="136"/>
      <c r="FD244" s="136"/>
      <c r="FE244" s="136"/>
      <c r="FF244" s="136"/>
      <c r="FG244" s="136"/>
      <c r="FH244" s="136"/>
      <c r="FI244" s="136"/>
      <c r="FJ244" s="136"/>
      <c r="FK244" s="136"/>
      <c r="FL244" s="136"/>
      <c r="FM244" s="136"/>
      <c r="FN244" s="136"/>
      <c r="FO244" s="136"/>
      <c r="FP244" s="136"/>
      <c r="FQ244" s="136"/>
      <c r="FR244" s="136"/>
      <c r="FS244" s="136"/>
      <c r="FT244" s="136"/>
      <c r="FU244" s="136"/>
      <c r="FV244" s="136"/>
      <c r="FW244" s="136"/>
      <c r="FX244" s="136"/>
      <c r="FY244" s="136"/>
      <c r="FZ244" s="136"/>
      <c r="GA244" s="136"/>
      <c r="GB244" s="136"/>
      <c r="GC244" s="136"/>
      <c r="GD244" s="136"/>
      <c r="GE244" s="136"/>
      <c r="GF244" s="136"/>
      <c r="GG244" s="136"/>
      <c r="GH244" s="136"/>
      <c r="GI244" s="136"/>
      <c r="GJ244" s="136"/>
      <c r="GK244" s="136"/>
      <c r="GL244" s="136"/>
      <c r="GM244" s="136"/>
      <c r="GN244" s="136"/>
      <c r="GO244" s="136"/>
      <c r="GP244" s="136"/>
      <c r="GQ244" s="136"/>
      <c r="GR244" s="136"/>
      <c r="GS244" s="136"/>
      <c r="GT244" s="136"/>
      <c r="GU244" s="136"/>
      <c r="GV244" s="136"/>
      <c r="GW244" s="136"/>
      <c r="GX244" s="136"/>
      <c r="GY244" s="136"/>
      <c r="GZ244" s="136"/>
      <c r="HA244" s="136"/>
      <c r="HB244" s="136"/>
      <c r="HC244" s="136"/>
      <c r="HD244" s="136"/>
      <c r="HE244" s="136"/>
      <c r="HF244" s="136"/>
      <c r="HG244" s="136"/>
      <c r="HH244" s="136"/>
      <c r="HI244" s="136"/>
      <c r="HJ244" s="136"/>
      <c r="HK244" s="136"/>
      <c r="HL244" s="136"/>
      <c r="HM244" s="136"/>
      <c r="HN244" s="136"/>
      <c r="HO244" s="136"/>
      <c r="HP244" s="136"/>
      <c r="HQ244" s="136"/>
      <c r="HR244" s="136"/>
      <c r="HS244" s="136"/>
      <c r="HT244" s="136"/>
      <c r="HU244" s="136"/>
      <c r="HV244" s="136"/>
      <c r="HW244" s="136"/>
      <c r="HX244" s="136"/>
      <c r="HY244" s="136"/>
      <c r="HZ244" s="136"/>
      <c r="IA244" s="136"/>
      <c r="IB244" s="136"/>
      <c r="IC244" s="136"/>
      <c r="ID244" s="136"/>
      <c r="IE244" s="136"/>
      <c r="IF244" s="136"/>
      <c r="IG244" s="136"/>
      <c r="IH244" s="136"/>
      <c r="II244" s="136"/>
      <c r="IJ244" s="136"/>
      <c r="IK244" s="136"/>
      <c r="IL244" s="136"/>
      <c r="IM244" s="136"/>
      <c r="IN244" s="136"/>
      <c r="IO244" s="136"/>
      <c r="IP244" s="136"/>
      <c r="IQ244" s="136"/>
      <c r="IR244" s="136"/>
      <c r="IS244" s="136"/>
      <c r="IT244" s="136"/>
      <c r="IU244" s="136"/>
    </row>
    <row r="245" spans="1:255" ht="102" customHeight="1" x14ac:dyDescent="0.2">
      <c r="A245" s="242" t="str">
        <f>'HECVAT - Full'!A245</f>
        <v>PROD-01</v>
      </c>
      <c r="B245" s="242" t="str">
        <f>VLOOKUP(A245,'HECVAT - Full'!A$24:B$312,2,FALSE)</f>
        <v>Do you incorporate customer feedback into security feature requests?</v>
      </c>
      <c r="C245" s="243" t="s">
        <v>2952</v>
      </c>
      <c r="D245" s="253" t="s">
        <v>2953</v>
      </c>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6"/>
      <c r="AN245" s="136"/>
      <c r="AO245" s="136"/>
      <c r="AP245" s="136"/>
      <c r="AQ245" s="136"/>
      <c r="AR245" s="136"/>
      <c r="AS245" s="136"/>
      <c r="AT245" s="136"/>
      <c r="AU245" s="136"/>
      <c r="AV245" s="136"/>
      <c r="AW245" s="136"/>
      <c r="AX245" s="136"/>
      <c r="AY245" s="136"/>
      <c r="AZ245" s="136"/>
      <c r="BA245" s="136"/>
      <c r="BB245" s="136"/>
      <c r="BC245" s="136"/>
      <c r="BD245" s="136"/>
      <c r="BE245" s="136"/>
      <c r="BF245" s="136"/>
      <c r="BG245" s="136"/>
      <c r="BH245" s="136"/>
      <c r="BI245" s="136"/>
      <c r="BJ245" s="136"/>
      <c r="BK245" s="136"/>
      <c r="BL245" s="136"/>
      <c r="BM245" s="136"/>
      <c r="BN245" s="136"/>
      <c r="BO245" s="136"/>
      <c r="BP245" s="136"/>
      <c r="BQ245" s="136"/>
      <c r="BR245" s="136"/>
      <c r="BS245" s="136"/>
      <c r="BT245" s="136"/>
      <c r="BU245" s="136"/>
      <c r="BV245" s="136"/>
      <c r="BW245" s="136"/>
      <c r="BX245" s="136"/>
      <c r="BY245" s="136"/>
      <c r="BZ245" s="136"/>
      <c r="CA245" s="136"/>
      <c r="CB245" s="136"/>
      <c r="CC245" s="136"/>
      <c r="CD245" s="136"/>
      <c r="CE245" s="136"/>
      <c r="CF245" s="136"/>
      <c r="CG245" s="136"/>
      <c r="CH245" s="136"/>
      <c r="CI245" s="136"/>
      <c r="CJ245" s="136"/>
      <c r="CK245" s="136"/>
      <c r="CL245" s="136"/>
      <c r="CM245" s="136"/>
      <c r="CN245" s="136"/>
      <c r="CO245" s="136"/>
      <c r="CP245" s="136"/>
      <c r="CQ245" s="136"/>
      <c r="CR245" s="136"/>
      <c r="CS245" s="136"/>
      <c r="CT245" s="136"/>
      <c r="CU245" s="136"/>
      <c r="CV245" s="136"/>
      <c r="CW245" s="136"/>
      <c r="CX245" s="136"/>
      <c r="CY245" s="136"/>
      <c r="CZ245" s="136"/>
      <c r="DA245" s="136"/>
      <c r="DB245" s="136"/>
      <c r="DC245" s="136"/>
      <c r="DD245" s="136"/>
      <c r="DE245" s="136"/>
      <c r="DF245" s="136"/>
      <c r="DG245" s="136"/>
      <c r="DH245" s="136"/>
      <c r="DI245" s="136"/>
      <c r="DJ245" s="136"/>
      <c r="DK245" s="136"/>
      <c r="DL245" s="136"/>
      <c r="DM245" s="136"/>
      <c r="DN245" s="136"/>
      <c r="DO245" s="136"/>
      <c r="DP245" s="136"/>
      <c r="DQ245" s="136"/>
      <c r="DR245" s="136"/>
      <c r="DS245" s="136"/>
      <c r="DT245" s="136"/>
      <c r="DU245" s="136"/>
      <c r="DV245" s="136"/>
      <c r="DW245" s="136"/>
      <c r="DX245" s="136"/>
      <c r="DY245" s="136"/>
      <c r="DZ245" s="136"/>
      <c r="EA245" s="136"/>
      <c r="EB245" s="136"/>
      <c r="EC245" s="136"/>
      <c r="ED245" s="136"/>
      <c r="EE245" s="136"/>
      <c r="EF245" s="136"/>
      <c r="EG245" s="136"/>
      <c r="EH245" s="136"/>
      <c r="EI245" s="136"/>
      <c r="EJ245" s="136"/>
      <c r="EK245" s="136"/>
      <c r="EL245" s="136"/>
      <c r="EM245" s="136"/>
      <c r="EN245" s="136"/>
      <c r="EO245" s="136"/>
      <c r="EP245" s="136"/>
      <c r="EQ245" s="136"/>
      <c r="ER245" s="136"/>
      <c r="ES245" s="136"/>
      <c r="ET245" s="136"/>
      <c r="EU245" s="136"/>
      <c r="EV245" s="136"/>
      <c r="EW245" s="136"/>
      <c r="EX245" s="136"/>
      <c r="EY245" s="136"/>
      <c r="EZ245" s="136"/>
      <c r="FA245" s="136"/>
      <c r="FB245" s="136"/>
      <c r="FC245" s="136"/>
      <c r="FD245" s="136"/>
      <c r="FE245" s="136"/>
      <c r="FF245" s="136"/>
      <c r="FG245" s="136"/>
      <c r="FH245" s="136"/>
      <c r="FI245" s="136"/>
      <c r="FJ245" s="136"/>
      <c r="FK245" s="136"/>
      <c r="FL245" s="136"/>
      <c r="FM245" s="136"/>
      <c r="FN245" s="136"/>
      <c r="FO245" s="136"/>
      <c r="FP245" s="136"/>
      <c r="FQ245" s="136"/>
      <c r="FR245" s="136"/>
      <c r="FS245" s="136"/>
      <c r="FT245" s="136"/>
      <c r="FU245" s="136"/>
      <c r="FV245" s="136"/>
      <c r="FW245" s="136"/>
      <c r="FX245" s="136"/>
      <c r="FY245" s="136"/>
      <c r="FZ245" s="136"/>
      <c r="GA245" s="136"/>
      <c r="GB245" s="136"/>
      <c r="GC245" s="136"/>
      <c r="GD245" s="136"/>
      <c r="GE245" s="136"/>
      <c r="GF245" s="136"/>
      <c r="GG245" s="136"/>
      <c r="GH245" s="136"/>
      <c r="GI245" s="136"/>
      <c r="GJ245" s="136"/>
      <c r="GK245" s="136"/>
      <c r="GL245" s="136"/>
      <c r="GM245" s="136"/>
      <c r="GN245" s="136"/>
      <c r="GO245" s="136"/>
      <c r="GP245" s="136"/>
      <c r="GQ245" s="136"/>
      <c r="GR245" s="136"/>
      <c r="GS245" s="136"/>
      <c r="GT245" s="136"/>
      <c r="GU245" s="136"/>
      <c r="GV245" s="136"/>
      <c r="GW245" s="136"/>
      <c r="GX245" s="136"/>
      <c r="GY245" s="136"/>
      <c r="GZ245" s="136"/>
      <c r="HA245" s="136"/>
      <c r="HB245" s="136"/>
      <c r="HC245" s="136"/>
      <c r="HD245" s="136"/>
      <c r="HE245" s="136"/>
      <c r="HF245" s="136"/>
      <c r="HG245" s="136"/>
      <c r="HH245" s="136"/>
      <c r="HI245" s="136"/>
      <c r="HJ245" s="136"/>
      <c r="HK245" s="136"/>
      <c r="HL245" s="136"/>
      <c r="HM245" s="136"/>
      <c r="HN245" s="136"/>
      <c r="HO245" s="136"/>
      <c r="HP245" s="136"/>
      <c r="HQ245" s="136"/>
      <c r="HR245" s="136"/>
      <c r="HS245" s="136"/>
      <c r="HT245" s="136"/>
      <c r="HU245" s="136"/>
      <c r="HV245" s="136"/>
      <c r="HW245" s="136"/>
      <c r="HX245" s="136"/>
      <c r="HY245" s="136"/>
      <c r="HZ245" s="136"/>
      <c r="IA245" s="136"/>
      <c r="IB245" s="136"/>
      <c r="IC245" s="136"/>
      <c r="ID245" s="136"/>
      <c r="IE245" s="136"/>
      <c r="IF245" s="136"/>
      <c r="IG245" s="136"/>
      <c r="IH245" s="136"/>
      <c r="II245" s="136"/>
      <c r="IJ245" s="136"/>
      <c r="IK245" s="136"/>
      <c r="IL245" s="136"/>
      <c r="IM245" s="136"/>
      <c r="IN245" s="136"/>
      <c r="IO245" s="136"/>
      <c r="IP245" s="136"/>
      <c r="IQ245" s="136"/>
      <c r="IR245" s="136"/>
      <c r="IS245" s="136"/>
      <c r="IT245" s="136"/>
      <c r="IU245" s="136"/>
    </row>
    <row r="246" spans="1:255" ht="64.5" customHeight="1" x14ac:dyDescent="0.2">
      <c r="A246" s="242" t="str">
        <f>'HECVAT - Full'!A246</f>
        <v>PROD-02</v>
      </c>
      <c r="B246" s="242" t="str">
        <f>VLOOKUP(A246,'HECVAT - Full'!A$24:B$312,2,FALSE)</f>
        <v>Can you provide an evaluation site to the institution for testing?</v>
      </c>
      <c r="C246" s="243" t="s">
        <v>2954</v>
      </c>
      <c r="D246" s="253" t="s">
        <v>2955</v>
      </c>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6"/>
      <c r="AN246" s="136"/>
      <c r="AO246" s="136"/>
      <c r="AP246" s="136"/>
      <c r="AQ246" s="136"/>
      <c r="AR246" s="136"/>
      <c r="AS246" s="136"/>
      <c r="AT246" s="136"/>
      <c r="AU246" s="136"/>
      <c r="AV246" s="136"/>
      <c r="AW246" s="136"/>
      <c r="AX246" s="136"/>
      <c r="AY246" s="136"/>
      <c r="AZ246" s="136"/>
      <c r="BA246" s="136"/>
      <c r="BB246" s="136"/>
      <c r="BC246" s="136"/>
      <c r="BD246" s="136"/>
      <c r="BE246" s="136"/>
      <c r="BF246" s="136"/>
      <c r="BG246" s="136"/>
      <c r="BH246" s="136"/>
      <c r="BI246" s="136"/>
      <c r="BJ246" s="136"/>
      <c r="BK246" s="136"/>
      <c r="BL246" s="136"/>
      <c r="BM246" s="136"/>
      <c r="BN246" s="136"/>
      <c r="BO246" s="136"/>
      <c r="BP246" s="136"/>
      <c r="BQ246" s="136"/>
      <c r="BR246" s="136"/>
      <c r="BS246" s="136"/>
      <c r="BT246" s="136"/>
      <c r="BU246" s="136"/>
      <c r="BV246" s="136"/>
      <c r="BW246" s="136"/>
      <c r="BX246" s="136"/>
      <c r="BY246" s="136"/>
      <c r="BZ246" s="136"/>
      <c r="CA246" s="136"/>
      <c r="CB246" s="136"/>
      <c r="CC246" s="136"/>
      <c r="CD246" s="136"/>
      <c r="CE246" s="136"/>
      <c r="CF246" s="136"/>
      <c r="CG246" s="136"/>
      <c r="CH246" s="136"/>
      <c r="CI246" s="136"/>
      <c r="CJ246" s="136"/>
      <c r="CK246" s="136"/>
      <c r="CL246" s="136"/>
      <c r="CM246" s="136"/>
      <c r="CN246" s="136"/>
      <c r="CO246" s="136"/>
      <c r="CP246" s="136"/>
      <c r="CQ246" s="136"/>
      <c r="CR246" s="136"/>
      <c r="CS246" s="136"/>
      <c r="CT246" s="136"/>
      <c r="CU246" s="136"/>
      <c r="CV246" s="136"/>
      <c r="CW246" s="136"/>
      <c r="CX246" s="136"/>
      <c r="CY246" s="136"/>
      <c r="CZ246" s="136"/>
      <c r="DA246" s="136"/>
      <c r="DB246" s="136"/>
      <c r="DC246" s="136"/>
      <c r="DD246" s="136"/>
      <c r="DE246" s="136"/>
      <c r="DF246" s="136"/>
      <c r="DG246" s="136"/>
      <c r="DH246" s="136"/>
      <c r="DI246" s="136"/>
      <c r="DJ246" s="136"/>
      <c r="DK246" s="136"/>
      <c r="DL246" s="136"/>
      <c r="DM246" s="136"/>
      <c r="DN246" s="136"/>
      <c r="DO246" s="136"/>
      <c r="DP246" s="136"/>
      <c r="DQ246" s="136"/>
      <c r="DR246" s="136"/>
      <c r="DS246" s="136"/>
      <c r="DT246" s="136"/>
      <c r="DU246" s="136"/>
      <c r="DV246" s="136"/>
      <c r="DW246" s="136"/>
      <c r="DX246" s="136"/>
      <c r="DY246" s="136"/>
      <c r="DZ246" s="136"/>
      <c r="EA246" s="136"/>
      <c r="EB246" s="136"/>
      <c r="EC246" s="136"/>
      <c r="ED246" s="136"/>
      <c r="EE246" s="136"/>
      <c r="EF246" s="136"/>
      <c r="EG246" s="136"/>
      <c r="EH246" s="136"/>
      <c r="EI246" s="136"/>
      <c r="EJ246" s="136"/>
      <c r="EK246" s="136"/>
      <c r="EL246" s="136"/>
      <c r="EM246" s="136"/>
      <c r="EN246" s="136"/>
      <c r="EO246" s="136"/>
      <c r="EP246" s="136"/>
      <c r="EQ246" s="136"/>
      <c r="ER246" s="136"/>
      <c r="ES246" s="136"/>
      <c r="ET246" s="136"/>
      <c r="EU246" s="136"/>
      <c r="EV246" s="136"/>
      <c r="EW246" s="136"/>
      <c r="EX246" s="136"/>
      <c r="EY246" s="136"/>
      <c r="EZ246" s="136"/>
      <c r="FA246" s="136"/>
      <c r="FB246" s="136"/>
      <c r="FC246" s="136"/>
      <c r="FD246" s="136"/>
      <c r="FE246" s="136"/>
      <c r="FF246" s="136"/>
      <c r="FG246" s="136"/>
      <c r="FH246" s="136"/>
      <c r="FI246" s="136"/>
      <c r="FJ246" s="136"/>
      <c r="FK246" s="136"/>
      <c r="FL246" s="136"/>
      <c r="FM246" s="136"/>
      <c r="FN246" s="136"/>
      <c r="FO246" s="136"/>
      <c r="FP246" s="136"/>
      <c r="FQ246" s="136"/>
      <c r="FR246" s="136"/>
      <c r="FS246" s="136"/>
      <c r="FT246" s="136"/>
      <c r="FU246" s="136"/>
      <c r="FV246" s="136"/>
      <c r="FW246" s="136"/>
      <c r="FX246" s="136"/>
      <c r="FY246" s="136"/>
      <c r="FZ246" s="136"/>
      <c r="GA246" s="136"/>
      <c r="GB246" s="136"/>
      <c r="GC246" s="136"/>
      <c r="GD246" s="136"/>
      <c r="GE246" s="136"/>
      <c r="GF246" s="136"/>
      <c r="GG246" s="136"/>
      <c r="GH246" s="136"/>
      <c r="GI246" s="136"/>
      <c r="GJ246" s="136"/>
      <c r="GK246" s="136"/>
      <c r="GL246" s="136"/>
      <c r="GM246" s="136"/>
      <c r="GN246" s="136"/>
      <c r="GO246" s="136"/>
      <c r="GP246" s="136"/>
      <c r="GQ246" s="136"/>
      <c r="GR246" s="136"/>
      <c r="GS246" s="136"/>
      <c r="GT246" s="136"/>
      <c r="GU246" s="136"/>
      <c r="GV246" s="136"/>
      <c r="GW246" s="136"/>
      <c r="GX246" s="136"/>
      <c r="GY246" s="136"/>
      <c r="GZ246" s="136"/>
      <c r="HA246" s="136"/>
      <c r="HB246" s="136"/>
      <c r="HC246" s="136"/>
      <c r="HD246" s="136"/>
      <c r="HE246" s="136"/>
      <c r="HF246" s="136"/>
      <c r="HG246" s="136"/>
      <c r="HH246" s="136"/>
      <c r="HI246" s="136"/>
      <c r="HJ246" s="136"/>
      <c r="HK246" s="136"/>
      <c r="HL246" s="136"/>
      <c r="HM246" s="136"/>
      <c r="HN246" s="136"/>
      <c r="HO246" s="136"/>
      <c r="HP246" s="136"/>
      <c r="HQ246" s="136"/>
      <c r="HR246" s="136"/>
      <c r="HS246" s="136"/>
      <c r="HT246" s="136"/>
      <c r="HU246" s="136"/>
      <c r="HV246" s="136"/>
      <c r="HW246" s="136"/>
      <c r="HX246" s="136"/>
      <c r="HY246" s="136"/>
      <c r="HZ246" s="136"/>
      <c r="IA246" s="136"/>
      <c r="IB246" s="136"/>
      <c r="IC246" s="136"/>
      <c r="ID246" s="136"/>
      <c r="IE246" s="136"/>
      <c r="IF246" s="136"/>
      <c r="IG246" s="136"/>
      <c r="IH246" s="136"/>
      <c r="II246" s="136"/>
      <c r="IJ246" s="136"/>
      <c r="IK246" s="136"/>
      <c r="IL246" s="136"/>
      <c r="IM246" s="136"/>
      <c r="IN246" s="136"/>
      <c r="IO246" s="136"/>
      <c r="IP246" s="136"/>
      <c r="IQ246" s="136"/>
      <c r="IR246" s="136"/>
      <c r="IS246" s="136"/>
      <c r="IT246" s="136"/>
      <c r="IU246" s="136"/>
    </row>
    <row r="247" spans="1:255" ht="36" customHeight="1" x14ac:dyDescent="0.2">
      <c r="A247" s="335" t="str">
        <f>IF($C$30="","Quality Assurance",IF($C$30="Yes","Quality Assurance - Optional based on QUALIFIER response.","Quality Assurance"))</f>
        <v>Quality Assurance</v>
      </c>
      <c r="B247" s="335"/>
      <c r="C247" s="240" t="str">
        <f>$C$22</f>
        <v>Reason for Question</v>
      </c>
      <c r="D247" s="240" t="str">
        <f>$D$22</f>
        <v>Follow-up Inquiries/Responses</v>
      </c>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6"/>
      <c r="AN247" s="136"/>
      <c r="AO247" s="136"/>
      <c r="AP247" s="136"/>
      <c r="AQ247" s="136"/>
      <c r="AR247" s="136"/>
      <c r="AS247" s="136"/>
      <c r="AT247" s="136"/>
      <c r="AU247" s="136"/>
      <c r="AV247" s="136"/>
      <c r="AW247" s="136"/>
      <c r="AX247" s="136"/>
      <c r="AY247" s="136"/>
      <c r="AZ247" s="136"/>
      <c r="BA247" s="136"/>
      <c r="BB247" s="136"/>
      <c r="BC247" s="136"/>
      <c r="BD247" s="136"/>
      <c r="BE247" s="136"/>
      <c r="BF247" s="136"/>
      <c r="BG247" s="136"/>
      <c r="BH247" s="136"/>
      <c r="BI247" s="136"/>
      <c r="BJ247" s="136"/>
      <c r="BK247" s="136"/>
      <c r="BL247" s="136"/>
      <c r="BM247" s="136"/>
      <c r="BN247" s="136"/>
      <c r="BO247" s="136"/>
      <c r="BP247" s="136"/>
      <c r="BQ247" s="136"/>
      <c r="BR247" s="136"/>
      <c r="BS247" s="136"/>
      <c r="BT247" s="136"/>
      <c r="BU247" s="136"/>
      <c r="BV247" s="136"/>
      <c r="BW247" s="136"/>
      <c r="BX247" s="136"/>
      <c r="BY247" s="136"/>
      <c r="BZ247" s="136"/>
      <c r="CA247" s="136"/>
      <c r="CB247" s="136"/>
      <c r="CC247" s="136"/>
      <c r="CD247" s="136"/>
      <c r="CE247" s="136"/>
      <c r="CF247" s="136"/>
      <c r="CG247" s="136"/>
      <c r="CH247" s="136"/>
      <c r="CI247" s="136"/>
      <c r="CJ247" s="136"/>
      <c r="CK247" s="136"/>
      <c r="CL247" s="136"/>
      <c r="CM247" s="136"/>
      <c r="CN247" s="136"/>
      <c r="CO247" s="136"/>
      <c r="CP247" s="136"/>
      <c r="CQ247" s="136"/>
      <c r="CR247" s="136"/>
      <c r="CS247" s="136"/>
      <c r="CT247" s="136"/>
      <c r="CU247" s="136"/>
      <c r="CV247" s="136"/>
      <c r="CW247" s="136"/>
      <c r="CX247" s="136"/>
      <c r="CY247" s="136"/>
      <c r="CZ247" s="136"/>
      <c r="DA247" s="136"/>
      <c r="DB247" s="136"/>
      <c r="DC247" s="136"/>
      <c r="DD247" s="136"/>
      <c r="DE247" s="136"/>
      <c r="DF247" s="136"/>
      <c r="DG247" s="136"/>
      <c r="DH247" s="136"/>
      <c r="DI247" s="136"/>
      <c r="DJ247" s="136"/>
      <c r="DK247" s="136"/>
      <c r="DL247" s="136"/>
      <c r="DM247" s="136"/>
      <c r="DN247" s="136"/>
      <c r="DO247" s="136"/>
      <c r="DP247" s="136"/>
      <c r="DQ247" s="136"/>
      <c r="DR247" s="136"/>
      <c r="DS247" s="136"/>
      <c r="DT247" s="136"/>
      <c r="DU247" s="136"/>
      <c r="DV247" s="136"/>
      <c r="DW247" s="136"/>
      <c r="DX247" s="136"/>
      <c r="DY247" s="136"/>
      <c r="DZ247" s="136"/>
      <c r="EA247" s="136"/>
      <c r="EB247" s="136"/>
      <c r="EC247" s="136"/>
      <c r="ED247" s="136"/>
      <c r="EE247" s="136"/>
      <c r="EF247" s="136"/>
      <c r="EG247" s="136"/>
      <c r="EH247" s="136"/>
      <c r="EI247" s="136"/>
      <c r="EJ247" s="136"/>
      <c r="EK247" s="136"/>
      <c r="EL247" s="136"/>
      <c r="EM247" s="136"/>
      <c r="EN247" s="136"/>
      <c r="EO247" s="136"/>
      <c r="EP247" s="136"/>
      <c r="EQ247" s="136"/>
      <c r="ER247" s="136"/>
      <c r="ES247" s="136"/>
      <c r="ET247" s="136"/>
      <c r="EU247" s="136"/>
      <c r="EV247" s="136"/>
      <c r="EW247" s="136"/>
      <c r="EX247" s="136"/>
      <c r="EY247" s="136"/>
      <c r="EZ247" s="136"/>
      <c r="FA247" s="136"/>
      <c r="FB247" s="136"/>
      <c r="FC247" s="136"/>
      <c r="FD247" s="136"/>
      <c r="FE247" s="136"/>
      <c r="FF247" s="136"/>
      <c r="FG247" s="136"/>
      <c r="FH247" s="136"/>
      <c r="FI247" s="136"/>
      <c r="FJ247" s="136"/>
      <c r="FK247" s="136"/>
      <c r="FL247" s="136"/>
      <c r="FM247" s="136"/>
      <c r="FN247" s="136"/>
      <c r="FO247" s="136"/>
      <c r="FP247" s="136"/>
      <c r="FQ247" s="136"/>
      <c r="FR247" s="136"/>
      <c r="FS247" s="136"/>
      <c r="FT247" s="136"/>
      <c r="FU247" s="136"/>
      <c r="FV247" s="136"/>
      <c r="FW247" s="136"/>
      <c r="FX247" s="136"/>
      <c r="FY247" s="136"/>
      <c r="FZ247" s="136"/>
      <c r="GA247" s="136"/>
      <c r="GB247" s="136"/>
      <c r="GC247" s="136"/>
      <c r="GD247" s="136"/>
      <c r="GE247" s="136"/>
      <c r="GF247" s="136"/>
      <c r="GG247" s="136"/>
      <c r="GH247" s="136"/>
      <c r="GI247" s="136"/>
      <c r="GJ247" s="136"/>
      <c r="GK247" s="136"/>
      <c r="GL247" s="136"/>
      <c r="GM247" s="136"/>
      <c r="GN247" s="136"/>
      <c r="GO247" s="136"/>
      <c r="GP247" s="136"/>
      <c r="GQ247" s="136"/>
      <c r="GR247" s="136"/>
      <c r="GS247" s="136"/>
      <c r="GT247" s="136"/>
      <c r="GU247" s="136"/>
      <c r="GV247" s="136"/>
      <c r="GW247" s="136"/>
      <c r="GX247" s="136"/>
      <c r="GY247" s="136"/>
      <c r="GZ247" s="136"/>
      <c r="HA247" s="136"/>
      <c r="HB247" s="136"/>
      <c r="HC247" s="136"/>
      <c r="HD247" s="136"/>
      <c r="HE247" s="136"/>
      <c r="HF247" s="136"/>
      <c r="HG247" s="136"/>
      <c r="HH247" s="136"/>
      <c r="HI247" s="136"/>
      <c r="HJ247" s="136"/>
      <c r="HK247" s="136"/>
      <c r="HL247" s="136"/>
      <c r="HM247" s="136"/>
      <c r="HN247" s="136"/>
      <c r="HO247" s="136"/>
      <c r="HP247" s="136"/>
      <c r="HQ247" s="136"/>
      <c r="HR247" s="136"/>
      <c r="HS247" s="136"/>
      <c r="HT247" s="136"/>
      <c r="HU247" s="136"/>
      <c r="HV247" s="136"/>
      <c r="HW247" s="136"/>
      <c r="HX247" s="136"/>
      <c r="HY247" s="136"/>
      <c r="HZ247" s="136"/>
      <c r="IA247" s="136"/>
      <c r="IB247" s="136"/>
      <c r="IC247" s="136"/>
      <c r="ID247" s="136"/>
      <c r="IE247" s="136"/>
      <c r="IF247" s="136"/>
      <c r="IG247" s="136"/>
      <c r="IH247" s="136"/>
      <c r="II247" s="136"/>
      <c r="IJ247" s="136"/>
      <c r="IK247" s="136"/>
      <c r="IL247" s="136"/>
      <c r="IM247" s="136"/>
      <c r="IN247" s="136"/>
      <c r="IO247" s="136"/>
      <c r="IP247" s="136"/>
      <c r="IQ247" s="136"/>
      <c r="IR247" s="136"/>
      <c r="IS247" s="136"/>
      <c r="IT247" s="136"/>
      <c r="IU247" s="136"/>
    </row>
    <row r="248" spans="1:255" ht="72" customHeight="1" x14ac:dyDescent="0.2">
      <c r="A248" s="242" t="str">
        <f>'HECVAT - Full'!A248</f>
        <v>QLAS-01</v>
      </c>
      <c r="B248" s="242" t="str">
        <f>VLOOKUP(A248,'HECVAT - Full'!A$24:B$312,2,FALSE)</f>
        <v>Provide a general summary of your Quality Assurance program.</v>
      </c>
      <c r="C248" s="271" t="s">
        <v>3047</v>
      </c>
      <c r="D248" s="243" t="s">
        <v>2956</v>
      </c>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6"/>
      <c r="AN248" s="136"/>
      <c r="AO248" s="136"/>
      <c r="AP248" s="136"/>
      <c r="AQ248" s="136"/>
      <c r="AR248" s="136"/>
      <c r="AS248" s="136"/>
      <c r="AT248" s="136"/>
      <c r="AU248" s="136"/>
      <c r="AV248" s="136"/>
      <c r="AW248" s="136"/>
      <c r="AX248" s="136"/>
      <c r="AY248" s="136"/>
      <c r="AZ248" s="136"/>
      <c r="BA248" s="136"/>
      <c r="BB248" s="136"/>
      <c r="BC248" s="136"/>
      <c r="BD248" s="136"/>
      <c r="BE248" s="136"/>
      <c r="BF248" s="136"/>
      <c r="BG248" s="136"/>
      <c r="BH248" s="136"/>
      <c r="BI248" s="136"/>
      <c r="BJ248" s="136"/>
      <c r="BK248" s="136"/>
      <c r="BL248" s="136"/>
      <c r="BM248" s="136"/>
      <c r="BN248" s="136"/>
      <c r="BO248" s="136"/>
      <c r="BP248" s="136"/>
      <c r="BQ248" s="136"/>
      <c r="BR248" s="136"/>
      <c r="BS248" s="136"/>
      <c r="BT248" s="136"/>
      <c r="BU248" s="136"/>
      <c r="BV248" s="136"/>
      <c r="BW248" s="136"/>
      <c r="BX248" s="136"/>
      <c r="BY248" s="136"/>
      <c r="BZ248" s="136"/>
      <c r="CA248" s="136"/>
      <c r="CB248" s="136"/>
      <c r="CC248" s="136"/>
      <c r="CD248" s="136"/>
      <c r="CE248" s="136"/>
      <c r="CF248" s="136"/>
      <c r="CG248" s="136"/>
      <c r="CH248" s="136"/>
      <c r="CI248" s="136"/>
      <c r="CJ248" s="136"/>
      <c r="CK248" s="136"/>
      <c r="CL248" s="136"/>
      <c r="CM248" s="136"/>
      <c r="CN248" s="136"/>
      <c r="CO248" s="136"/>
      <c r="CP248" s="136"/>
      <c r="CQ248" s="136"/>
      <c r="CR248" s="136"/>
      <c r="CS248" s="136"/>
      <c r="CT248" s="136"/>
      <c r="CU248" s="136"/>
      <c r="CV248" s="136"/>
      <c r="CW248" s="136"/>
      <c r="CX248" s="136"/>
      <c r="CY248" s="136"/>
      <c r="CZ248" s="136"/>
      <c r="DA248" s="136"/>
      <c r="DB248" s="136"/>
      <c r="DC248" s="136"/>
      <c r="DD248" s="136"/>
      <c r="DE248" s="136"/>
      <c r="DF248" s="136"/>
      <c r="DG248" s="136"/>
      <c r="DH248" s="136"/>
      <c r="DI248" s="136"/>
      <c r="DJ248" s="136"/>
      <c r="DK248" s="136"/>
      <c r="DL248" s="136"/>
      <c r="DM248" s="136"/>
      <c r="DN248" s="136"/>
      <c r="DO248" s="136"/>
      <c r="DP248" s="136"/>
      <c r="DQ248" s="136"/>
      <c r="DR248" s="136"/>
      <c r="DS248" s="136"/>
      <c r="DT248" s="136"/>
      <c r="DU248" s="136"/>
      <c r="DV248" s="136"/>
      <c r="DW248" s="136"/>
      <c r="DX248" s="136"/>
      <c r="DY248" s="136"/>
      <c r="DZ248" s="136"/>
      <c r="EA248" s="136"/>
      <c r="EB248" s="136"/>
      <c r="EC248" s="136"/>
      <c r="ED248" s="136"/>
      <c r="EE248" s="136"/>
      <c r="EF248" s="136"/>
      <c r="EG248" s="136"/>
      <c r="EH248" s="136"/>
      <c r="EI248" s="136"/>
      <c r="EJ248" s="136"/>
      <c r="EK248" s="136"/>
      <c r="EL248" s="136"/>
      <c r="EM248" s="136"/>
      <c r="EN248" s="136"/>
      <c r="EO248" s="136"/>
      <c r="EP248" s="136"/>
      <c r="EQ248" s="136"/>
      <c r="ER248" s="136"/>
      <c r="ES248" s="136"/>
      <c r="ET248" s="136"/>
      <c r="EU248" s="136"/>
      <c r="EV248" s="136"/>
      <c r="EW248" s="136"/>
      <c r="EX248" s="136"/>
      <c r="EY248" s="136"/>
      <c r="EZ248" s="136"/>
      <c r="FA248" s="136"/>
      <c r="FB248" s="136"/>
      <c r="FC248" s="136"/>
      <c r="FD248" s="136"/>
      <c r="FE248" s="136"/>
      <c r="FF248" s="136"/>
      <c r="FG248" s="136"/>
      <c r="FH248" s="136"/>
      <c r="FI248" s="136"/>
      <c r="FJ248" s="136"/>
      <c r="FK248" s="136"/>
      <c r="FL248" s="136"/>
      <c r="FM248" s="136"/>
      <c r="FN248" s="136"/>
      <c r="FO248" s="136"/>
      <c r="FP248" s="136"/>
      <c r="FQ248" s="136"/>
      <c r="FR248" s="136"/>
      <c r="FS248" s="136"/>
      <c r="FT248" s="136"/>
      <c r="FU248" s="136"/>
      <c r="FV248" s="136"/>
      <c r="FW248" s="136"/>
      <c r="FX248" s="136"/>
      <c r="FY248" s="136"/>
      <c r="FZ248" s="136"/>
      <c r="GA248" s="136"/>
      <c r="GB248" s="136"/>
      <c r="GC248" s="136"/>
      <c r="GD248" s="136"/>
      <c r="GE248" s="136"/>
      <c r="GF248" s="136"/>
      <c r="GG248" s="136"/>
      <c r="GH248" s="136"/>
      <c r="GI248" s="136"/>
      <c r="GJ248" s="136"/>
      <c r="GK248" s="136"/>
      <c r="GL248" s="136"/>
      <c r="GM248" s="136"/>
      <c r="GN248" s="136"/>
      <c r="GO248" s="136"/>
      <c r="GP248" s="136"/>
      <c r="GQ248" s="136"/>
      <c r="GR248" s="136"/>
      <c r="GS248" s="136"/>
      <c r="GT248" s="136"/>
      <c r="GU248" s="136"/>
      <c r="GV248" s="136"/>
      <c r="GW248" s="136"/>
      <c r="GX248" s="136"/>
      <c r="GY248" s="136"/>
      <c r="GZ248" s="136"/>
      <c r="HA248" s="136"/>
      <c r="HB248" s="136"/>
      <c r="HC248" s="136"/>
      <c r="HD248" s="136"/>
      <c r="HE248" s="136"/>
      <c r="HF248" s="136"/>
      <c r="HG248" s="136"/>
      <c r="HH248" s="136"/>
      <c r="HI248" s="136"/>
      <c r="HJ248" s="136"/>
      <c r="HK248" s="136"/>
      <c r="HL248" s="136"/>
      <c r="HM248" s="136"/>
      <c r="HN248" s="136"/>
      <c r="HO248" s="136"/>
      <c r="HP248" s="136"/>
      <c r="HQ248" s="136"/>
      <c r="HR248" s="136"/>
      <c r="HS248" s="136"/>
      <c r="HT248" s="136"/>
      <c r="HU248" s="136"/>
      <c r="HV248" s="136"/>
      <c r="HW248" s="136"/>
      <c r="HX248" s="136"/>
      <c r="HY248" s="136"/>
      <c r="HZ248" s="136"/>
      <c r="IA248" s="136"/>
      <c r="IB248" s="136"/>
      <c r="IC248" s="136"/>
      <c r="ID248" s="136"/>
      <c r="IE248" s="136"/>
      <c r="IF248" s="136"/>
      <c r="IG248" s="136"/>
      <c r="IH248" s="136"/>
      <c r="II248" s="136"/>
      <c r="IJ248" s="136"/>
      <c r="IK248" s="136"/>
      <c r="IL248" s="136"/>
      <c r="IM248" s="136"/>
      <c r="IN248" s="136"/>
      <c r="IO248" s="136"/>
      <c r="IP248" s="136"/>
      <c r="IQ248" s="136"/>
      <c r="IR248" s="136"/>
      <c r="IS248" s="136"/>
      <c r="IT248" s="136"/>
      <c r="IU248" s="136"/>
    </row>
    <row r="249" spans="1:255" ht="48" customHeight="1" x14ac:dyDescent="0.2">
      <c r="A249" s="242" t="str">
        <f>'HECVAT - Full'!A249</f>
        <v>QLAS-02</v>
      </c>
      <c r="B249" s="242" t="str">
        <f>VLOOKUP(A249,'HECVAT - Full'!A$24:B$312,2,FALSE)</f>
        <v>Do you comply with ISO 9001?</v>
      </c>
      <c r="C249" s="245" t="s">
        <v>2957</v>
      </c>
      <c r="D249" s="246" t="s">
        <v>2958</v>
      </c>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6"/>
      <c r="AN249" s="136"/>
      <c r="AO249" s="136"/>
      <c r="AP249" s="136"/>
      <c r="AQ249" s="136"/>
      <c r="AR249" s="136"/>
      <c r="AS249" s="136"/>
      <c r="AT249" s="136"/>
      <c r="AU249" s="136"/>
      <c r="AV249" s="136"/>
      <c r="AW249" s="136"/>
      <c r="AX249" s="136"/>
      <c r="AY249" s="136"/>
      <c r="AZ249" s="136"/>
      <c r="BA249" s="136"/>
      <c r="BB249" s="136"/>
      <c r="BC249" s="136"/>
      <c r="BD249" s="136"/>
      <c r="BE249" s="136"/>
      <c r="BF249" s="136"/>
      <c r="BG249" s="136"/>
      <c r="BH249" s="136"/>
      <c r="BI249" s="136"/>
      <c r="BJ249" s="136"/>
      <c r="BK249" s="136"/>
      <c r="BL249" s="136"/>
      <c r="BM249" s="136"/>
      <c r="BN249" s="136"/>
      <c r="BO249" s="136"/>
      <c r="BP249" s="136"/>
      <c r="BQ249" s="136"/>
      <c r="BR249" s="136"/>
      <c r="BS249" s="136"/>
      <c r="BT249" s="136"/>
      <c r="BU249" s="136"/>
      <c r="BV249" s="136"/>
      <c r="BW249" s="136"/>
      <c r="BX249" s="136"/>
      <c r="BY249" s="136"/>
      <c r="BZ249" s="136"/>
      <c r="CA249" s="136"/>
      <c r="CB249" s="136"/>
      <c r="CC249" s="136"/>
      <c r="CD249" s="136"/>
      <c r="CE249" s="136"/>
      <c r="CF249" s="136"/>
      <c r="CG249" s="136"/>
      <c r="CH249" s="136"/>
      <c r="CI249" s="136"/>
      <c r="CJ249" s="136"/>
      <c r="CK249" s="136"/>
      <c r="CL249" s="136"/>
      <c r="CM249" s="136"/>
      <c r="CN249" s="136"/>
      <c r="CO249" s="136"/>
      <c r="CP249" s="136"/>
      <c r="CQ249" s="136"/>
      <c r="CR249" s="136"/>
      <c r="CS249" s="136"/>
      <c r="CT249" s="136"/>
      <c r="CU249" s="136"/>
      <c r="CV249" s="136"/>
      <c r="CW249" s="136"/>
      <c r="CX249" s="136"/>
      <c r="CY249" s="136"/>
      <c r="CZ249" s="136"/>
      <c r="DA249" s="136"/>
      <c r="DB249" s="136"/>
      <c r="DC249" s="136"/>
      <c r="DD249" s="136"/>
      <c r="DE249" s="136"/>
      <c r="DF249" s="136"/>
      <c r="DG249" s="136"/>
      <c r="DH249" s="136"/>
      <c r="DI249" s="136"/>
      <c r="DJ249" s="136"/>
      <c r="DK249" s="136"/>
      <c r="DL249" s="136"/>
      <c r="DM249" s="136"/>
      <c r="DN249" s="136"/>
      <c r="DO249" s="136"/>
      <c r="DP249" s="136"/>
      <c r="DQ249" s="136"/>
      <c r="DR249" s="136"/>
      <c r="DS249" s="136"/>
      <c r="DT249" s="136"/>
      <c r="DU249" s="136"/>
      <c r="DV249" s="136"/>
      <c r="DW249" s="136"/>
      <c r="DX249" s="136"/>
      <c r="DY249" s="136"/>
      <c r="DZ249" s="136"/>
      <c r="EA249" s="136"/>
      <c r="EB249" s="136"/>
      <c r="EC249" s="136"/>
      <c r="ED249" s="136"/>
      <c r="EE249" s="136"/>
      <c r="EF249" s="136"/>
      <c r="EG249" s="136"/>
      <c r="EH249" s="136"/>
      <c r="EI249" s="136"/>
      <c r="EJ249" s="136"/>
      <c r="EK249" s="136"/>
      <c r="EL249" s="136"/>
      <c r="EM249" s="136"/>
      <c r="EN249" s="136"/>
      <c r="EO249" s="136"/>
      <c r="EP249" s="136"/>
      <c r="EQ249" s="136"/>
      <c r="ER249" s="136"/>
      <c r="ES249" s="136"/>
      <c r="ET249" s="136"/>
      <c r="EU249" s="136"/>
      <c r="EV249" s="136"/>
      <c r="EW249" s="136"/>
      <c r="EX249" s="136"/>
      <c r="EY249" s="136"/>
      <c r="EZ249" s="136"/>
      <c r="FA249" s="136"/>
      <c r="FB249" s="136"/>
      <c r="FC249" s="136"/>
      <c r="FD249" s="136"/>
      <c r="FE249" s="136"/>
      <c r="FF249" s="136"/>
      <c r="FG249" s="136"/>
      <c r="FH249" s="136"/>
      <c r="FI249" s="136"/>
      <c r="FJ249" s="136"/>
      <c r="FK249" s="136"/>
      <c r="FL249" s="136"/>
      <c r="FM249" s="136"/>
      <c r="FN249" s="136"/>
      <c r="FO249" s="136"/>
      <c r="FP249" s="136"/>
      <c r="FQ249" s="136"/>
      <c r="FR249" s="136"/>
      <c r="FS249" s="136"/>
      <c r="FT249" s="136"/>
      <c r="FU249" s="136"/>
      <c r="FV249" s="136"/>
      <c r="FW249" s="136"/>
      <c r="FX249" s="136"/>
      <c r="FY249" s="136"/>
      <c r="FZ249" s="136"/>
      <c r="GA249" s="136"/>
      <c r="GB249" s="136"/>
      <c r="GC249" s="136"/>
      <c r="GD249" s="136"/>
      <c r="GE249" s="136"/>
      <c r="GF249" s="136"/>
      <c r="GG249" s="136"/>
      <c r="GH249" s="136"/>
      <c r="GI249" s="136"/>
      <c r="GJ249" s="136"/>
      <c r="GK249" s="136"/>
      <c r="GL249" s="136"/>
      <c r="GM249" s="136"/>
      <c r="GN249" s="136"/>
      <c r="GO249" s="136"/>
      <c r="GP249" s="136"/>
      <c r="GQ249" s="136"/>
      <c r="GR249" s="136"/>
      <c r="GS249" s="136"/>
      <c r="GT249" s="136"/>
      <c r="GU249" s="136"/>
      <c r="GV249" s="136"/>
      <c r="GW249" s="136"/>
      <c r="GX249" s="136"/>
      <c r="GY249" s="136"/>
      <c r="GZ249" s="136"/>
      <c r="HA249" s="136"/>
      <c r="HB249" s="136"/>
      <c r="HC249" s="136"/>
      <c r="HD249" s="136"/>
      <c r="HE249" s="136"/>
      <c r="HF249" s="136"/>
      <c r="HG249" s="136"/>
      <c r="HH249" s="136"/>
      <c r="HI249" s="136"/>
      <c r="HJ249" s="136"/>
      <c r="HK249" s="136"/>
      <c r="HL249" s="136"/>
      <c r="HM249" s="136"/>
      <c r="HN249" s="136"/>
      <c r="HO249" s="136"/>
      <c r="HP249" s="136"/>
      <c r="HQ249" s="136"/>
      <c r="HR249" s="136"/>
      <c r="HS249" s="136"/>
      <c r="HT249" s="136"/>
      <c r="HU249" s="136"/>
      <c r="HV249" s="136"/>
      <c r="HW249" s="136"/>
      <c r="HX249" s="136"/>
      <c r="HY249" s="136"/>
      <c r="HZ249" s="136"/>
      <c r="IA249" s="136"/>
      <c r="IB249" s="136"/>
      <c r="IC249" s="136"/>
      <c r="ID249" s="136"/>
      <c r="IE249" s="136"/>
      <c r="IF249" s="136"/>
      <c r="IG249" s="136"/>
      <c r="IH249" s="136"/>
      <c r="II249" s="136"/>
      <c r="IJ249" s="136"/>
      <c r="IK249" s="136"/>
      <c r="IL249" s="136"/>
      <c r="IM249" s="136"/>
      <c r="IN249" s="136"/>
      <c r="IO249" s="136"/>
      <c r="IP249" s="136"/>
      <c r="IQ249" s="136"/>
      <c r="IR249" s="136"/>
      <c r="IS249" s="136"/>
      <c r="IT249" s="136"/>
      <c r="IU249" s="136"/>
    </row>
    <row r="250" spans="1:255" ht="84" customHeight="1" x14ac:dyDescent="0.2">
      <c r="A250" s="242" t="str">
        <f>'HECVAT - Full'!A250</f>
        <v>QLAS-03</v>
      </c>
      <c r="B250" s="242" t="str">
        <f>VLOOKUP(A250,'HECVAT - Full'!A$24:B$312,2,FALSE)</f>
        <v>Will your company provide quality and performance metrics in relation to the scope of services and performance expectations for the services you are offering?</v>
      </c>
      <c r="C250" s="243" t="s">
        <v>2959</v>
      </c>
      <c r="D250" s="246" t="s">
        <v>2960</v>
      </c>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6"/>
      <c r="AN250" s="136"/>
      <c r="AO250" s="136"/>
      <c r="AP250" s="136"/>
      <c r="AQ250" s="136"/>
      <c r="AR250" s="136"/>
      <c r="AS250" s="136"/>
      <c r="AT250" s="136"/>
      <c r="AU250" s="136"/>
      <c r="AV250" s="136"/>
      <c r="AW250" s="136"/>
      <c r="AX250" s="136"/>
      <c r="AY250" s="136"/>
      <c r="AZ250" s="136"/>
      <c r="BA250" s="136"/>
      <c r="BB250" s="136"/>
      <c r="BC250" s="136"/>
      <c r="BD250" s="136"/>
      <c r="BE250" s="136"/>
      <c r="BF250" s="136"/>
      <c r="BG250" s="136"/>
      <c r="BH250" s="136"/>
      <c r="BI250" s="136"/>
      <c r="BJ250" s="136"/>
      <c r="BK250" s="136"/>
      <c r="BL250" s="136"/>
      <c r="BM250" s="136"/>
      <c r="BN250" s="136"/>
      <c r="BO250" s="136"/>
      <c r="BP250" s="136"/>
      <c r="BQ250" s="136"/>
      <c r="BR250" s="136"/>
      <c r="BS250" s="136"/>
      <c r="BT250" s="136"/>
      <c r="BU250" s="136"/>
      <c r="BV250" s="136"/>
      <c r="BW250" s="136"/>
      <c r="BX250" s="136"/>
      <c r="BY250" s="136"/>
      <c r="BZ250" s="136"/>
      <c r="CA250" s="136"/>
      <c r="CB250" s="136"/>
      <c r="CC250" s="136"/>
      <c r="CD250" s="136"/>
      <c r="CE250" s="136"/>
      <c r="CF250" s="136"/>
      <c r="CG250" s="136"/>
      <c r="CH250" s="136"/>
      <c r="CI250" s="136"/>
      <c r="CJ250" s="136"/>
      <c r="CK250" s="136"/>
      <c r="CL250" s="136"/>
      <c r="CM250" s="136"/>
      <c r="CN250" s="136"/>
      <c r="CO250" s="136"/>
      <c r="CP250" s="136"/>
      <c r="CQ250" s="136"/>
      <c r="CR250" s="136"/>
      <c r="CS250" s="136"/>
      <c r="CT250" s="136"/>
      <c r="CU250" s="136"/>
      <c r="CV250" s="136"/>
      <c r="CW250" s="136"/>
      <c r="CX250" s="136"/>
      <c r="CY250" s="136"/>
      <c r="CZ250" s="136"/>
      <c r="DA250" s="136"/>
      <c r="DB250" s="136"/>
      <c r="DC250" s="136"/>
      <c r="DD250" s="136"/>
      <c r="DE250" s="136"/>
      <c r="DF250" s="136"/>
      <c r="DG250" s="136"/>
      <c r="DH250" s="136"/>
      <c r="DI250" s="136"/>
      <c r="DJ250" s="136"/>
      <c r="DK250" s="136"/>
      <c r="DL250" s="136"/>
      <c r="DM250" s="136"/>
      <c r="DN250" s="136"/>
      <c r="DO250" s="136"/>
      <c r="DP250" s="136"/>
      <c r="DQ250" s="136"/>
      <c r="DR250" s="136"/>
      <c r="DS250" s="136"/>
      <c r="DT250" s="136"/>
      <c r="DU250" s="136"/>
      <c r="DV250" s="136"/>
      <c r="DW250" s="136"/>
      <c r="DX250" s="136"/>
      <c r="DY250" s="136"/>
      <c r="DZ250" s="136"/>
      <c r="EA250" s="136"/>
      <c r="EB250" s="136"/>
      <c r="EC250" s="136"/>
      <c r="ED250" s="136"/>
      <c r="EE250" s="136"/>
      <c r="EF250" s="136"/>
      <c r="EG250" s="136"/>
      <c r="EH250" s="136"/>
      <c r="EI250" s="136"/>
      <c r="EJ250" s="136"/>
      <c r="EK250" s="136"/>
      <c r="EL250" s="136"/>
      <c r="EM250" s="136"/>
      <c r="EN250" s="136"/>
      <c r="EO250" s="136"/>
      <c r="EP250" s="136"/>
      <c r="EQ250" s="136"/>
      <c r="ER250" s="136"/>
      <c r="ES250" s="136"/>
      <c r="ET250" s="136"/>
      <c r="EU250" s="136"/>
      <c r="EV250" s="136"/>
      <c r="EW250" s="136"/>
      <c r="EX250" s="136"/>
      <c r="EY250" s="136"/>
      <c r="EZ250" s="136"/>
      <c r="FA250" s="136"/>
      <c r="FB250" s="136"/>
      <c r="FC250" s="136"/>
      <c r="FD250" s="136"/>
      <c r="FE250" s="136"/>
      <c r="FF250" s="136"/>
      <c r="FG250" s="136"/>
      <c r="FH250" s="136"/>
      <c r="FI250" s="136"/>
      <c r="FJ250" s="136"/>
      <c r="FK250" s="136"/>
      <c r="FL250" s="136"/>
      <c r="FM250" s="136"/>
      <c r="FN250" s="136"/>
      <c r="FO250" s="136"/>
      <c r="FP250" s="136"/>
      <c r="FQ250" s="136"/>
      <c r="FR250" s="136"/>
      <c r="FS250" s="136"/>
      <c r="FT250" s="136"/>
      <c r="FU250" s="136"/>
      <c r="FV250" s="136"/>
      <c r="FW250" s="136"/>
      <c r="FX250" s="136"/>
      <c r="FY250" s="136"/>
      <c r="FZ250" s="136"/>
      <c r="GA250" s="136"/>
      <c r="GB250" s="136"/>
      <c r="GC250" s="136"/>
      <c r="GD250" s="136"/>
      <c r="GE250" s="136"/>
      <c r="GF250" s="136"/>
      <c r="GG250" s="136"/>
      <c r="GH250" s="136"/>
      <c r="GI250" s="136"/>
      <c r="GJ250" s="136"/>
      <c r="GK250" s="136"/>
      <c r="GL250" s="136"/>
      <c r="GM250" s="136"/>
      <c r="GN250" s="136"/>
      <c r="GO250" s="136"/>
      <c r="GP250" s="136"/>
      <c r="GQ250" s="136"/>
      <c r="GR250" s="136"/>
      <c r="GS250" s="136"/>
      <c r="GT250" s="136"/>
      <c r="GU250" s="136"/>
      <c r="GV250" s="136"/>
      <c r="GW250" s="136"/>
      <c r="GX250" s="136"/>
      <c r="GY250" s="136"/>
      <c r="GZ250" s="136"/>
      <c r="HA250" s="136"/>
      <c r="HB250" s="136"/>
      <c r="HC250" s="136"/>
      <c r="HD250" s="136"/>
      <c r="HE250" s="136"/>
      <c r="HF250" s="136"/>
      <c r="HG250" s="136"/>
      <c r="HH250" s="136"/>
      <c r="HI250" s="136"/>
      <c r="HJ250" s="136"/>
      <c r="HK250" s="136"/>
      <c r="HL250" s="136"/>
      <c r="HM250" s="136"/>
      <c r="HN250" s="136"/>
      <c r="HO250" s="136"/>
      <c r="HP250" s="136"/>
      <c r="HQ250" s="136"/>
      <c r="HR250" s="136"/>
      <c r="HS250" s="136"/>
      <c r="HT250" s="136"/>
      <c r="HU250" s="136"/>
      <c r="HV250" s="136"/>
      <c r="HW250" s="136"/>
      <c r="HX250" s="136"/>
      <c r="HY250" s="136"/>
      <c r="HZ250" s="136"/>
      <c r="IA250" s="136"/>
      <c r="IB250" s="136"/>
      <c r="IC250" s="136"/>
      <c r="ID250" s="136"/>
      <c r="IE250" s="136"/>
      <c r="IF250" s="136"/>
      <c r="IG250" s="136"/>
      <c r="IH250" s="136"/>
      <c r="II250" s="136"/>
      <c r="IJ250" s="136"/>
      <c r="IK250" s="136"/>
      <c r="IL250" s="136"/>
      <c r="IM250" s="136"/>
      <c r="IN250" s="136"/>
      <c r="IO250" s="136"/>
      <c r="IP250" s="136"/>
      <c r="IQ250" s="136"/>
      <c r="IR250" s="136"/>
      <c r="IS250" s="136"/>
      <c r="IT250" s="136"/>
      <c r="IU250" s="136"/>
    </row>
    <row r="251" spans="1:255" ht="96" customHeight="1" x14ac:dyDescent="0.2">
      <c r="A251" s="242" t="str">
        <f>'HECVAT - Full'!A251</f>
        <v>QLAS-04</v>
      </c>
      <c r="B251" s="242" t="str">
        <f>VLOOKUP(A251,'HECVAT - Full'!A$24:B$312,2,FALSE)</f>
        <v>Have you supplied products and/or services to the Institution (or its Campuses) in the last five years?</v>
      </c>
      <c r="C251" s="243" t="s">
        <v>2961</v>
      </c>
      <c r="D251" s="246" t="s">
        <v>2962</v>
      </c>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6"/>
      <c r="AN251" s="136"/>
      <c r="AO251" s="136"/>
      <c r="AP251" s="136"/>
      <c r="AQ251" s="136"/>
      <c r="AR251" s="136"/>
      <c r="AS251" s="136"/>
      <c r="AT251" s="136"/>
      <c r="AU251" s="136"/>
      <c r="AV251" s="136"/>
      <c r="AW251" s="136"/>
      <c r="AX251" s="136"/>
      <c r="AY251" s="136"/>
      <c r="AZ251" s="136"/>
      <c r="BA251" s="136"/>
      <c r="BB251" s="136"/>
      <c r="BC251" s="136"/>
      <c r="BD251" s="136"/>
      <c r="BE251" s="136"/>
      <c r="BF251" s="136"/>
      <c r="BG251" s="136"/>
      <c r="BH251" s="136"/>
      <c r="BI251" s="136"/>
      <c r="BJ251" s="136"/>
      <c r="BK251" s="136"/>
      <c r="BL251" s="136"/>
      <c r="BM251" s="136"/>
      <c r="BN251" s="136"/>
      <c r="BO251" s="136"/>
      <c r="BP251" s="136"/>
      <c r="BQ251" s="136"/>
      <c r="BR251" s="136"/>
      <c r="BS251" s="136"/>
      <c r="BT251" s="136"/>
      <c r="BU251" s="136"/>
      <c r="BV251" s="136"/>
      <c r="BW251" s="136"/>
      <c r="BX251" s="136"/>
      <c r="BY251" s="136"/>
      <c r="BZ251" s="136"/>
      <c r="CA251" s="136"/>
      <c r="CB251" s="136"/>
      <c r="CC251" s="136"/>
      <c r="CD251" s="136"/>
      <c r="CE251" s="136"/>
      <c r="CF251" s="136"/>
      <c r="CG251" s="136"/>
      <c r="CH251" s="136"/>
      <c r="CI251" s="136"/>
      <c r="CJ251" s="136"/>
      <c r="CK251" s="136"/>
      <c r="CL251" s="136"/>
      <c r="CM251" s="136"/>
      <c r="CN251" s="136"/>
      <c r="CO251" s="136"/>
      <c r="CP251" s="136"/>
      <c r="CQ251" s="136"/>
      <c r="CR251" s="136"/>
      <c r="CS251" s="136"/>
      <c r="CT251" s="136"/>
      <c r="CU251" s="136"/>
      <c r="CV251" s="136"/>
      <c r="CW251" s="136"/>
      <c r="CX251" s="136"/>
      <c r="CY251" s="136"/>
      <c r="CZ251" s="136"/>
      <c r="DA251" s="136"/>
      <c r="DB251" s="136"/>
      <c r="DC251" s="136"/>
      <c r="DD251" s="136"/>
      <c r="DE251" s="136"/>
      <c r="DF251" s="136"/>
      <c r="DG251" s="136"/>
      <c r="DH251" s="136"/>
      <c r="DI251" s="136"/>
      <c r="DJ251" s="136"/>
      <c r="DK251" s="136"/>
      <c r="DL251" s="136"/>
      <c r="DM251" s="136"/>
      <c r="DN251" s="136"/>
      <c r="DO251" s="136"/>
      <c r="DP251" s="136"/>
      <c r="DQ251" s="136"/>
      <c r="DR251" s="136"/>
      <c r="DS251" s="136"/>
      <c r="DT251" s="136"/>
      <c r="DU251" s="136"/>
      <c r="DV251" s="136"/>
      <c r="DW251" s="136"/>
      <c r="DX251" s="136"/>
      <c r="DY251" s="136"/>
      <c r="DZ251" s="136"/>
      <c r="EA251" s="136"/>
      <c r="EB251" s="136"/>
      <c r="EC251" s="136"/>
      <c r="ED251" s="136"/>
      <c r="EE251" s="136"/>
      <c r="EF251" s="136"/>
      <c r="EG251" s="136"/>
      <c r="EH251" s="136"/>
      <c r="EI251" s="136"/>
      <c r="EJ251" s="136"/>
      <c r="EK251" s="136"/>
      <c r="EL251" s="136"/>
      <c r="EM251" s="136"/>
      <c r="EN251" s="136"/>
      <c r="EO251" s="136"/>
      <c r="EP251" s="136"/>
      <c r="EQ251" s="136"/>
      <c r="ER251" s="136"/>
      <c r="ES251" s="136"/>
      <c r="ET251" s="136"/>
      <c r="EU251" s="136"/>
      <c r="EV251" s="136"/>
      <c r="EW251" s="136"/>
      <c r="EX251" s="136"/>
      <c r="EY251" s="136"/>
      <c r="EZ251" s="136"/>
      <c r="FA251" s="136"/>
      <c r="FB251" s="136"/>
      <c r="FC251" s="136"/>
      <c r="FD251" s="136"/>
      <c r="FE251" s="136"/>
      <c r="FF251" s="136"/>
      <c r="FG251" s="136"/>
      <c r="FH251" s="136"/>
      <c r="FI251" s="136"/>
      <c r="FJ251" s="136"/>
      <c r="FK251" s="136"/>
      <c r="FL251" s="136"/>
      <c r="FM251" s="136"/>
      <c r="FN251" s="136"/>
      <c r="FO251" s="136"/>
      <c r="FP251" s="136"/>
      <c r="FQ251" s="136"/>
      <c r="FR251" s="136"/>
      <c r="FS251" s="136"/>
      <c r="FT251" s="136"/>
      <c r="FU251" s="136"/>
      <c r="FV251" s="136"/>
      <c r="FW251" s="136"/>
      <c r="FX251" s="136"/>
      <c r="FY251" s="136"/>
      <c r="FZ251" s="136"/>
      <c r="GA251" s="136"/>
      <c r="GB251" s="136"/>
      <c r="GC251" s="136"/>
      <c r="GD251" s="136"/>
      <c r="GE251" s="136"/>
      <c r="GF251" s="136"/>
      <c r="GG251" s="136"/>
      <c r="GH251" s="136"/>
      <c r="GI251" s="136"/>
      <c r="GJ251" s="136"/>
      <c r="GK251" s="136"/>
      <c r="GL251" s="136"/>
      <c r="GM251" s="136"/>
      <c r="GN251" s="136"/>
      <c r="GO251" s="136"/>
      <c r="GP251" s="136"/>
      <c r="GQ251" s="136"/>
      <c r="GR251" s="136"/>
      <c r="GS251" s="136"/>
      <c r="GT251" s="136"/>
      <c r="GU251" s="136"/>
      <c r="GV251" s="136"/>
      <c r="GW251" s="136"/>
      <c r="GX251" s="136"/>
      <c r="GY251" s="136"/>
      <c r="GZ251" s="136"/>
      <c r="HA251" s="136"/>
      <c r="HB251" s="136"/>
      <c r="HC251" s="136"/>
      <c r="HD251" s="136"/>
      <c r="HE251" s="136"/>
      <c r="HF251" s="136"/>
      <c r="HG251" s="136"/>
      <c r="HH251" s="136"/>
      <c r="HI251" s="136"/>
      <c r="HJ251" s="136"/>
      <c r="HK251" s="136"/>
      <c r="HL251" s="136"/>
      <c r="HM251" s="136"/>
      <c r="HN251" s="136"/>
      <c r="HO251" s="136"/>
      <c r="HP251" s="136"/>
      <c r="HQ251" s="136"/>
      <c r="HR251" s="136"/>
      <c r="HS251" s="136"/>
      <c r="HT251" s="136"/>
      <c r="HU251" s="136"/>
      <c r="HV251" s="136"/>
      <c r="HW251" s="136"/>
      <c r="HX251" s="136"/>
      <c r="HY251" s="136"/>
      <c r="HZ251" s="136"/>
      <c r="IA251" s="136"/>
      <c r="IB251" s="136"/>
      <c r="IC251" s="136"/>
      <c r="ID251" s="136"/>
      <c r="IE251" s="136"/>
      <c r="IF251" s="136"/>
      <c r="IG251" s="136"/>
      <c r="IH251" s="136"/>
      <c r="II251" s="136"/>
      <c r="IJ251" s="136"/>
      <c r="IK251" s="136"/>
      <c r="IL251" s="136"/>
      <c r="IM251" s="136"/>
      <c r="IN251" s="136"/>
      <c r="IO251" s="136"/>
      <c r="IP251" s="136"/>
      <c r="IQ251" s="136"/>
      <c r="IR251" s="136"/>
      <c r="IS251" s="136"/>
      <c r="IT251" s="136"/>
      <c r="IU251" s="136"/>
    </row>
    <row r="252" spans="1:255" ht="48" customHeight="1" x14ac:dyDescent="0.2">
      <c r="A252" s="242" t="str">
        <f>'HECVAT - Full'!A252</f>
        <v>QLAS-05</v>
      </c>
      <c r="B252" s="242" t="str">
        <f>VLOOKUP(A252,'HECVAT - Full'!A$24:B$312,2,FALSE)</f>
        <v>Do you have a program to keep your customers abreast of higher education and/or industry issues?</v>
      </c>
      <c r="C252" s="243" t="s">
        <v>2963</v>
      </c>
      <c r="D252" s="253" t="s">
        <v>2964</v>
      </c>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6"/>
      <c r="AN252" s="136"/>
      <c r="AO252" s="136"/>
      <c r="AP252" s="136"/>
      <c r="AQ252" s="136"/>
      <c r="AR252" s="136"/>
      <c r="AS252" s="136"/>
      <c r="AT252" s="136"/>
      <c r="AU252" s="136"/>
      <c r="AV252" s="136"/>
      <c r="AW252" s="136"/>
      <c r="AX252" s="136"/>
      <c r="AY252" s="136"/>
      <c r="AZ252" s="136"/>
      <c r="BA252" s="136"/>
      <c r="BB252" s="136"/>
      <c r="BC252" s="136"/>
      <c r="BD252" s="136"/>
      <c r="BE252" s="136"/>
      <c r="BF252" s="136"/>
      <c r="BG252" s="136"/>
      <c r="BH252" s="136"/>
      <c r="BI252" s="136"/>
      <c r="BJ252" s="136"/>
      <c r="BK252" s="136"/>
      <c r="BL252" s="136"/>
      <c r="BM252" s="136"/>
      <c r="BN252" s="136"/>
      <c r="BO252" s="136"/>
      <c r="BP252" s="136"/>
      <c r="BQ252" s="136"/>
      <c r="BR252" s="136"/>
      <c r="BS252" s="136"/>
      <c r="BT252" s="136"/>
      <c r="BU252" s="136"/>
      <c r="BV252" s="136"/>
      <c r="BW252" s="136"/>
      <c r="BX252" s="136"/>
      <c r="BY252" s="136"/>
      <c r="BZ252" s="136"/>
      <c r="CA252" s="136"/>
      <c r="CB252" s="136"/>
      <c r="CC252" s="136"/>
      <c r="CD252" s="136"/>
      <c r="CE252" s="136"/>
      <c r="CF252" s="136"/>
      <c r="CG252" s="136"/>
      <c r="CH252" s="136"/>
      <c r="CI252" s="136"/>
      <c r="CJ252" s="136"/>
      <c r="CK252" s="136"/>
      <c r="CL252" s="136"/>
      <c r="CM252" s="136"/>
      <c r="CN252" s="136"/>
      <c r="CO252" s="136"/>
      <c r="CP252" s="136"/>
      <c r="CQ252" s="136"/>
      <c r="CR252" s="136"/>
      <c r="CS252" s="136"/>
      <c r="CT252" s="136"/>
      <c r="CU252" s="136"/>
      <c r="CV252" s="136"/>
      <c r="CW252" s="136"/>
      <c r="CX252" s="136"/>
      <c r="CY252" s="136"/>
      <c r="CZ252" s="136"/>
      <c r="DA252" s="136"/>
      <c r="DB252" s="136"/>
      <c r="DC252" s="136"/>
      <c r="DD252" s="136"/>
      <c r="DE252" s="136"/>
      <c r="DF252" s="136"/>
      <c r="DG252" s="136"/>
      <c r="DH252" s="136"/>
      <c r="DI252" s="136"/>
      <c r="DJ252" s="136"/>
      <c r="DK252" s="136"/>
      <c r="DL252" s="136"/>
      <c r="DM252" s="136"/>
      <c r="DN252" s="136"/>
      <c r="DO252" s="136"/>
      <c r="DP252" s="136"/>
      <c r="DQ252" s="136"/>
      <c r="DR252" s="136"/>
      <c r="DS252" s="136"/>
      <c r="DT252" s="136"/>
      <c r="DU252" s="136"/>
      <c r="DV252" s="136"/>
      <c r="DW252" s="136"/>
      <c r="DX252" s="136"/>
      <c r="DY252" s="136"/>
      <c r="DZ252" s="136"/>
      <c r="EA252" s="136"/>
      <c r="EB252" s="136"/>
      <c r="EC252" s="136"/>
      <c r="ED252" s="136"/>
      <c r="EE252" s="136"/>
      <c r="EF252" s="136"/>
      <c r="EG252" s="136"/>
      <c r="EH252" s="136"/>
      <c r="EI252" s="136"/>
      <c r="EJ252" s="136"/>
      <c r="EK252" s="136"/>
      <c r="EL252" s="136"/>
      <c r="EM252" s="136"/>
      <c r="EN252" s="136"/>
      <c r="EO252" s="136"/>
      <c r="EP252" s="136"/>
      <c r="EQ252" s="136"/>
      <c r="ER252" s="136"/>
      <c r="ES252" s="136"/>
      <c r="ET252" s="136"/>
      <c r="EU252" s="136"/>
      <c r="EV252" s="136"/>
      <c r="EW252" s="136"/>
      <c r="EX252" s="136"/>
      <c r="EY252" s="136"/>
      <c r="EZ252" s="136"/>
      <c r="FA252" s="136"/>
      <c r="FB252" s="136"/>
      <c r="FC252" s="136"/>
      <c r="FD252" s="136"/>
      <c r="FE252" s="136"/>
      <c r="FF252" s="136"/>
      <c r="FG252" s="136"/>
      <c r="FH252" s="136"/>
      <c r="FI252" s="136"/>
      <c r="FJ252" s="136"/>
      <c r="FK252" s="136"/>
      <c r="FL252" s="136"/>
      <c r="FM252" s="136"/>
      <c r="FN252" s="136"/>
      <c r="FO252" s="136"/>
      <c r="FP252" s="136"/>
      <c r="FQ252" s="136"/>
      <c r="FR252" s="136"/>
      <c r="FS252" s="136"/>
      <c r="FT252" s="136"/>
      <c r="FU252" s="136"/>
      <c r="FV252" s="136"/>
      <c r="FW252" s="136"/>
      <c r="FX252" s="136"/>
      <c r="FY252" s="136"/>
      <c r="FZ252" s="136"/>
      <c r="GA252" s="136"/>
      <c r="GB252" s="136"/>
      <c r="GC252" s="136"/>
      <c r="GD252" s="136"/>
      <c r="GE252" s="136"/>
      <c r="GF252" s="136"/>
      <c r="GG252" s="136"/>
      <c r="GH252" s="136"/>
      <c r="GI252" s="136"/>
      <c r="GJ252" s="136"/>
      <c r="GK252" s="136"/>
      <c r="GL252" s="136"/>
      <c r="GM252" s="136"/>
      <c r="GN252" s="136"/>
      <c r="GO252" s="136"/>
      <c r="GP252" s="136"/>
      <c r="GQ252" s="136"/>
      <c r="GR252" s="136"/>
      <c r="GS252" s="136"/>
      <c r="GT252" s="136"/>
      <c r="GU252" s="136"/>
      <c r="GV252" s="136"/>
      <c r="GW252" s="136"/>
      <c r="GX252" s="136"/>
      <c r="GY252" s="136"/>
      <c r="GZ252" s="136"/>
      <c r="HA252" s="136"/>
      <c r="HB252" s="136"/>
      <c r="HC252" s="136"/>
      <c r="HD252" s="136"/>
      <c r="HE252" s="136"/>
      <c r="HF252" s="136"/>
      <c r="HG252" s="136"/>
      <c r="HH252" s="136"/>
      <c r="HI252" s="136"/>
      <c r="HJ252" s="136"/>
      <c r="HK252" s="136"/>
      <c r="HL252" s="136"/>
      <c r="HM252" s="136"/>
      <c r="HN252" s="136"/>
      <c r="HO252" s="136"/>
      <c r="HP252" s="136"/>
      <c r="HQ252" s="136"/>
      <c r="HR252" s="136"/>
      <c r="HS252" s="136"/>
      <c r="HT252" s="136"/>
      <c r="HU252" s="136"/>
      <c r="HV252" s="136"/>
      <c r="HW252" s="136"/>
      <c r="HX252" s="136"/>
      <c r="HY252" s="136"/>
      <c r="HZ252" s="136"/>
      <c r="IA252" s="136"/>
      <c r="IB252" s="136"/>
      <c r="IC252" s="136"/>
      <c r="ID252" s="136"/>
      <c r="IE252" s="136"/>
      <c r="IF252" s="136"/>
      <c r="IG252" s="136"/>
      <c r="IH252" s="136"/>
      <c r="II252" s="136"/>
      <c r="IJ252" s="136"/>
      <c r="IK252" s="136"/>
      <c r="IL252" s="136"/>
      <c r="IM252" s="136"/>
      <c r="IN252" s="136"/>
      <c r="IO252" s="136"/>
      <c r="IP252" s="136"/>
      <c r="IQ252" s="136"/>
      <c r="IR252" s="136"/>
      <c r="IS252" s="136"/>
      <c r="IT252" s="136"/>
      <c r="IU252" s="136"/>
    </row>
    <row r="253" spans="1:255" ht="36" customHeight="1" x14ac:dyDescent="0.2">
      <c r="A253" s="335" t="str">
        <f>IF($C$30="","Systems Management &amp; Configuration",IF($C$30="Yes","System Mgmt/Config - Optional based on QUALIFIER response.","Systems Management &amp; Configuration"))</f>
        <v>Systems Management &amp; Configuration</v>
      </c>
      <c r="B253" s="335"/>
      <c r="C253" s="240" t="str">
        <f>$C$22</f>
        <v>Reason for Question</v>
      </c>
      <c r="D253" s="240" t="str">
        <f>$D$22</f>
        <v>Follow-up Inquiries/Responses</v>
      </c>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6"/>
      <c r="AN253" s="136"/>
      <c r="AO253" s="136"/>
      <c r="AP253" s="136"/>
      <c r="AQ253" s="136"/>
      <c r="AR253" s="136"/>
      <c r="AS253" s="136"/>
      <c r="AT253" s="136"/>
      <c r="AU253" s="136"/>
      <c r="AV253" s="136"/>
      <c r="AW253" s="136"/>
      <c r="AX253" s="136"/>
      <c r="AY253" s="136"/>
      <c r="AZ253" s="136"/>
      <c r="BA253" s="136"/>
      <c r="BB253" s="136"/>
      <c r="BC253" s="136"/>
      <c r="BD253" s="136"/>
      <c r="BE253" s="136"/>
      <c r="BF253" s="136"/>
      <c r="BG253" s="136"/>
      <c r="BH253" s="136"/>
      <c r="BI253" s="136"/>
      <c r="BJ253" s="136"/>
      <c r="BK253" s="136"/>
      <c r="BL253" s="136"/>
      <c r="BM253" s="136"/>
      <c r="BN253" s="136"/>
      <c r="BO253" s="136"/>
      <c r="BP253" s="136"/>
      <c r="BQ253" s="136"/>
      <c r="BR253" s="136"/>
      <c r="BS253" s="136"/>
      <c r="BT253" s="136"/>
      <c r="BU253" s="136"/>
      <c r="BV253" s="136"/>
      <c r="BW253" s="136"/>
      <c r="BX253" s="136"/>
      <c r="BY253" s="136"/>
      <c r="BZ253" s="136"/>
      <c r="CA253" s="136"/>
      <c r="CB253" s="136"/>
      <c r="CC253" s="136"/>
      <c r="CD253" s="136"/>
      <c r="CE253" s="136"/>
      <c r="CF253" s="136"/>
      <c r="CG253" s="136"/>
      <c r="CH253" s="136"/>
      <c r="CI253" s="136"/>
      <c r="CJ253" s="136"/>
      <c r="CK253" s="136"/>
      <c r="CL253" s="136"/>
      <c r="CM253" s="136"/>
      <c r="CN253" s="136"/>
      <c r="CO253" s="136"/>
      <c r="CP253" s="136"/>
      <c r="CQ253" s="136"/>
      <c r="CR253" s="136"/>
      <c r="CS253" s="136"/>
      <c r="CT253" s="136"/>
      <c r="CU253" s="136"/>
      <c r="CV253" s="136"/>
      <c r="CW253" s="136"/>
      <c r="CX253" s="136"/>
      <c r="CY253" s="136"/>
      <c r="CZ253" s="136"/>
      <c r="DA253" s="136"/>
      <c r="DB253" s="136"/>
      <c r="DC253" s="136"/>
      <c r="DD253" s="136"/>
      <c r="DE253" s="136"/>
      <c r="DF253" s="136"/>
      <c r="DG253" s="136"/>
      <c r="DH253" s="136"/>
      <c r="DI253" s="136"/>
      <c r="DJ253" s="136"/>
      <c r="DK253" s="136"/>
      <c r="DL253" s="136"/>
      <c r="DM253" s="136"/>
      <c r="DN253" s="136"/>
      <c r="DO253" s="136"/>
      <c r="DP253" s="136"/>
      <c r="DQ253" s="136"/>
      <c r="DR253" s="136"/>
      <c r="DS253" s="136"/>
      <c r="DT253" s="136"/>
      <c r="DU253" s="136"/>
      <c r="DV253" s="136"/>
      <c r="DW253" s="136"/>
      <c r="DX253" s="136"/>
      <c r="DY253" s="136"/>
      <c r="DZ253" s="136"/>
      <c r="EA253" s="136"/>
      <c r="EB253" s="136"/>
      <c r="EC253" s="136"/>
      <c r="ED253" s="136"/>
      <c r="EE253" s="136"/>
      <c r="EF253" s="136"/>
      <c r="EG253" s="136"/>
      <c r="EH253" s="136"/>
      <c r="EI253" s="136"/>
      <c r="EJ253" s="136"/>
      <c r="EK253" s="136"/>
      <c r="EL253" s="136"/>
      <c r="EM253" s="136"/>
      <c r="EN253" s="136"/>
      <c r="EO253" s="136"/>
      <c r="EP253" s="136"/>
      <c r="EQ253" s="136"/>
      <c r="ER253" s="136"/>
      <c r="ES253" s="136"/>
      <c r="ET253" s="136"/>
      <c r="EU253" s="136"/>
      <c r="EV253" s="136"/>
      <c r="EW253" s="136"/>
      <c r="EX253" s="136"/>
      <c r="EY253" s="136"/>
      <c r="EZ253" s="136"/>
      <c r="FA253" s="136"/>
      <c r="FB253" s="136"/>
      <c r="FC253" s="136"/>
      <c r="FD253" s="136"/>
      <c r="FE253" s="136"/>
      <c r="FF253" s="136"/>
      <c r="FG253" s="136"/>
      <c r="FH253" s="136"/>
      <c r="FI253" s="136"/>
      <c r="FJ253" s="136"/>
      <c r="FK253" s="136"/>
      <c r="FL253" s="136"/>
      <c r="FM253" s="136"/>
      <c r="FN253" s="136"/>
      <c r="FO253" s="136"/>
      <c r="FP253" s="136"/>
      <c r="FQ253" s="136"/>
      <c r="FR253" s="136"/>
      <c r="FS253" s="136"/>
      <c r="FT253" s="136"/>
      <c r="FU253" s="136"/>
      <c r="FV253" s="136"/>
      <c r="FW253" s="136"/>
      <c r="FX253" s="136"/>
      <c r="FY253" s="136"/>
      <c r="FZ253" s="136"/>
      <c r="GA253" s="136"/>
      <c r="GB253" s="136"/>
      <c r="GC253" s="136"/>
      <c r="GD253" s="136"/>
      <c r="GE253" s="136"/>
      <c r="GF253" s="136"/>
      <c r="GG253" s="136"/>
      <c r="GH253" s="136"/>
      <c r="GI253" s="136"/>
      <c r="GJ253" s="136"/>
      <c r="GK253" s="136"/>
      <c r="GL253" s="136"/>
      <c r="GM253" s="136"/>
      <c r="GN253" s="136"/>
      <c r="GO253" s="136"/>
      <c r="GP253" s="136"/>
      <c r="GQ253" s="136"/>
      <c r="GR253" s="136"/>
      <c r="GS253" s="136"/>
      <c r="GT253" s="136"/>
      <c r="GU253" s="136"/>
      <c r="GV253" s="136"/>
      <c r="GW253" s="136"/>
      <c r="GX253" s="136"/>
      <c r="GY253" s="136"/>
      <c r="GZ253" s="136"/>
      <c r="HA253" s="136"/>
      <c r="HB253" s="136"/>
      <c r="HC253" s="136"/>
      <c r="HD253" s="136"/>
      <c r="HE253" s="136"/>
      <c r="HF253" s="136"/>
      <c r="HG253" s="136"/>
      <c r="HH253" s="136"/>
      <c r="HI253" s="136"/>
      <c r="HJ253" s="136"/>
      <c r="HK253" s="136"/>
      <c r="HL253" s="136"/>
      <c r="HM253" s="136"/>
      <c r="HN253" s="136"/>
      <c r="HO253" s="136"/>
      <c r="HP253" s="136"/>
      <c r="HQ253" s="136"/>
      <c r="HR253" s="136"/>
      <c r="HS253" s="136"/>
      <c r="HT253" s="136"/>
      <c r="HU253" s="136"/>
      <c r="HV253" s="136"/>
      <c r="HW253" s="136"/>
      <c r="HX253" s="136"/>
      <c r="HY253" s="136"/>
      <c r="HZ253" s="136"/>
      <c r="IA253" s="136"/>
      <c r="IB253" s="136"/>
      <c r="IC253" s="136"/>
      <c r="ID253" s="136"/>
      <c r="IE253" s="136"/>
      <c r="IF253" s="136"/>
      <c r="IG253" s="136"/>
      <c r="IH253" s="136"/>
      <c r="II253" s="136"/>
      <c r="IJ253" s="136"/>
      <c r="IK253" s="136"/>
      <c r="IL253" s="136"/>
      <c r="IM253" s="136"/>
      <c r="IN253" s="136"/>
      <c r="IO253" s="136"/>
      <c r="IP253" s="136"/>
      <c r="IQ253" s="136"/>
      <c r="IR253" s="136"/>
      <c r="IS253" s="136"/>
      <c r="IT253" s="136"/>
      <c r="IU253" s="136"/>
    </row>
    <row r="254" spans="1:255" ht="123.95" customHeight="1" x14ac:dyDescent="0.2">
      <c r="A254" s="242" t="str">
        <f>'HECVAT - Full'!A254</f>
        <v>SYST-01</v>
      </c>
      <c r="B254" s="242" t="str">
        <f>VLOOKUP(A254,'HECVAT - Full'!A$24:B$312,2,FALSE)</f>
        <v>Are systems that support this service managed via a separate management network?</v>
      </c>
      <c r="C254" s="245" t="s">
        <v>2965</v>
      </c>
      <c r="D254" s="248" t="s">
        <v>2966</v>
      </c>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6"/>
      <c r="AN254" s="136"/>
      <c r="AO254" s="136"/>
      <c r="AP254" s="136"/>
      <c r="AQ254" s="136"/>
      <c r="AR254" s="136"/>
      <c r="AS254" s="136"/>
      <c r="AT254" s="136"/>
      <c r="AU254" s="136"/>
      <c r="AV254" s="136"/>
      <c r="AW254" s="136"/>
      <c r="AX254" s="136"/>
      <c r="AY254" s="136"/>
      <c r="AZ254" s="136"/>
      <c r="BA254" s="136"/>
      <c r="BB254" s="136"/>
      <c r="BC254" s="136"/>
      <c r="BD254" s="136"/>
      <c r="BE254" s="136"/>
      <c r="BF254" s="136"/>
      <c r="BG254" s="136"/>
      <c r="BH254" s="136"/>
      <c r="BI254" s="136"/>
      <c r="BJ254" s="136"/>
      <c r="BK254" s="136"/>
      <c r="BL254" s="136"/>
      <c r="BM254" s="136"/>
      <c r="BN254" s="136"/>
      <c r="BO254" s="136"/>
      <c r="BP254" s="136"/>
      <c r="BQ254" s="136"/>
      <c r="BR254" s="136"/>
      <c r="BS254" s="136"/>
      <c r="BT254" s="136"/>
      <c r="BU254" s="136"/>
      <c r="BV254" s="136"/>
      <c r="BW254" s="136"/>
      <c r="BX254" s="136"/>
      <c r="BY254" s="136"/>
      <c r="BZ254" s="136"/>
      <c r="CA254" s="136"/>
      <c r="CB254" s="136"/>
      <c r="CC254" s="136"/>
      <c r="CD254" s="136"/>
      <c r="CE254" s="136"/>
      <c r="CF254" s="136"/>
      <c r="CG254" s="136"/>
      <c r="CH254" s="136"/>
      <c r="CI254" s="136"/>
      <c r="CJ254" s="136"/>
      <c r="CK254" s="136"/>
      <c r="CL254" s="136"/>
      <c r="CM254" s="136"/>
      <c r="CN254" s="136"/>
      <c r="CO254" s="136"/>
      <c r="CP254" s="136"/>
      <c r="CQ254" s="136"/>
      <c r="CR254" s="136"/>
      <c r="CS254" s="136"/>
      <c r="CT254" s="136"/>
      <c r="CU254" s="136"/>
      <c r="CV254" s="136"/>
      <c r="CW254" s="136"/>
      <c r="CX254" s="136"/>
      <c r="CY254" s="136"/>
      <c r="CZ254" s="136"/>
      <c r="DA254" s="136"/>
      <c r="DB254" s="136"/>
      <c r="DC254" s="136"/>
      <c r="DD254" s="136"/>
      <c r="DE254" s="136"/>
      <c r="DF254" s="136"/>
      <c r="DG254" s="136"/>
      <c r="DH254" s="136"/>
      <c r="DI254" s="136"/>
      <c r="DJ254" s="136"/>
      <c r="DK254" s="136"/>
      <c r="DL254" s="136"/>
      <c r="DM254" s="136"/>
      <c r="DN254" s="136"/>
      <c r="DO254" s="136"/>
      <c r="DP254" s="136"/>
      <c r="DQ254" s="136"/>
      <c r="DR254" s="136"/>
      <c r="DS254" s="136"/>
      <c r="DT254" s="136"/>
      <c r="DU254" s="136"/>
      <c r="DV254" s="136"/>
      <c r="DW254" s="136"/>
      <c r="DX254" s="136"/>
      <c r="DY254" s="136"/>
      <c r="DZ254" s="136"/>
      <c r="EA254" s="136"/>
      <c r="EB254" s="136"/>
      <c r="EC254" s="136"/>
      <c r="ED254" s="136"/>
      <c r="EE254" s="136"/>
      <c r="EF254" s="136"/>
      <c r="EG254" s="136"/>
      <c r="EH254" s="136"/>
      <c r="EI254" s="136"/>
      <c r="EJ254" s="136"/>
      <c r="EK254" s="136"/>
      <c r="EL254" s="136"/>
      <c r="EM254" s="136"/>
      <c r="EN254" s="136"/>
      <c r="EO254" s="136"/>
      <c r="EP254" s="136"/>
      <c r="EQ254" s="136"/>
      <c r="ER254" s="136"/>
      <c r="ES254" s="136"/>
      <c r="ET254" s="136"/>
      <c r="EU254" s="136"/>
      <c r="EV254" s="136"/>
      <c r="EW254" s="136"/>
      <c r="EX254" s="136"/>
      <c r="EY254" s="136"/>
      <c r="EZ254" s="136"/>
      <c r="FA254" s="136"/>
      <c r="FB254" s="136"/>
      <c r="FC254" s="136"/>
      <c r="FD254" s="136"/>
      <c r="FE254" s="136"/>
      <c r="FF254" s="136"/>
      <c r="FG254" s="136"/>
      <c r="FH254" s="136"/>
      <c r="FI254" s="136"/>
      <c r="FJ254" s="136"/>
      <c r="FK254" s="136"/>
      <c r="FL254" s="136"/>
      <c r="FM254" s="136"/>
      <c r="FN254" s="136"/>
      <c r="FO254" s="136"/>
      <c r="FP254" s="136"/>
      <c r="FQ254" s="136"/>
      <c r="FR254" s="136"/>
      <c r="FS254" s="136"/>
      <c r="FT254" s="136"/>
      <c r="FU254" s="136"/>
      <c r="FV254" s="136"/>
      <c r="FW254" s="136"/>
      <c r="FX254" s="136"/>
      <c r="FY254" s="136"/>
      <c r="FZ254" s="136"/>
      <c r="GA254" s="136"/>
      <c r="GB254" s="136"/>
      <c r="GC254" s="136"/>
      <c r="GD254" s="136"/>
      <c r="GE254" s="136"/>
      <c r="GF254" s="136"/>
      <c r="GG254" s="136"/>
      <c r="GH254" s="136"/>
      <c r="GI254" s="136"/>
      <c r="GJ254" s="136"/>
      <c r="GK254" s="136"/>
      <c r="GL254" s="136"/>
      <c r="GM254" s="136"/>
      <c r="GN254" s="136"/>
      <c r="GO254" s="136"/>
      <c r="GP254" s="136"/>
      <c r="GQ254" s="136"/>
      <c r="GR254" s="136"/>
      <c r="GS254" s="136"/>
      <c r="GT254" s="136"/>
      <c r="GU254" s="136"/>
      <c r="GV254" s="136"/>
      <c r="GW254" s="136"/>
      <c r="GX254" s="136"/>
      <c r="GY254" s="136"/>
      <c r="GZ254" s="136"/>
      <c r="HA254" s="136"/>
      <c r="HB254" s="136"/>
      <c r="HC254" s="136"/>
      <c r="HD254" s="136"/>
      <c r="HE254" s="136"/>
      <c r="HF254" s="136"/>
      <c r="HG254" s="136"/>
      <c r="HH254" s="136"/>
      <c r="HI254" s="136"/>
      <c r="HJ254" s="136"/>
      <c r="HK254" s="136"/>
      <c r="HL254" s="136"/>
      <c r="HM254" s="136"/>
      <c r="HN254" s="136"/>
      <c r="HO254" s="136"/>
      <c r="HP254" s="136"/>
      <c r="HQ254" s="136"/>
      <c r="HR254" s="136"/>
      <c r="HS254" s="136"/>
      <c r="HT254" s="136"/>
      <c r="HU254" s="136"/>
      <c r="HV254" s="136"/>
      <c r="HW254" s="136"/>
      <c r="HX254" s="136"/>
      <c r="HY254" s="136"/>
      <c r="HZ254" s="136"/>
      <c r="IA254" s="136"/>
      <c r="IB254" s="136"/>
      <c r="IC254" s="136"/>
      <c r="ID254" s="136"/>
      <c r="IE254" s="136"/>
      <c r="IF254" s="136"/>
      <c r="IG254" s="136"/>
      <c r="IH254" s="136"/>
      <c r="II254" s="136"/>
      <c r="IJ254" s="136"/>
      <c r="IK254" s="136"/>
      <c r="IL254" s="136"/>
      <c r="IM254" s="136"/>
      <c r="IN254" s="136"/>
      <c r="IO254" s="136"/>
      <c r="IP254" s="136"/>
      <c r="IQ254" s="136"/>
      <c r="IR254" s="136"/>
      <c r="IS254" s="136"/>
      <c r="IT254" s="136"/>
      <c r="IU254" s="136"/>
    </row>
    <row r="255" spans="1:255" ht="118.5" customHeight="1" x14ac:dyDescent="0.2">
      <c r="A255" s="242" t="str">
        <f>'HECVAT - Full'!A255</f>
        <v>SYST-02</v>
      </c>
      <c r="B255" s="242" t="str">
        <f>VLOOKUP(A255,'HECVAT - Full'!A$24:B$312,2,FALSE)</f>
        <v>Do you have an implemented system configuration management process? (e.g. secure "gold" images, etc.)</v>
      </c>
      <c r="C255" s="243" t="s">
        <v>2967</v>
      </c>
      <c r="D255" s="31" t="s">
        <v>3048</v>
      </c>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6"/>
      <c r="AN255" s="136"/>
      <c r="AO255" s="136"/>
      <c r="AP255" s="136"/>
      <c r="AQ255" s="136"/>
      <c r="AR255" s="136"/>
      <c r="AS255" s="136"/>
      <c r="AT255" s="136"/>
      <c r="AU255" s="136"/>
      <c r="AV255" s="136"/>
      <c r="AW255" s="136"/>
      <c r="AX255" s="136"/>
      <c r="AY255" s="136"/>
      <c r="AZ255" s="136"/>
      <c r="BA255" s="136"/>
      <c r="BB255" s="136"/>
      <c r="BC255" s="136"/>
      <c r="BD255" s="136"/>
      <c r="BE255" s="136"/>
      <c r="BF255" s="136"/>
      <c r="BG255" s="136"/>
      <c r="BH255" s="136"/>
      <c r="BI255" s="136"/>
      <c r="BJ255" s="136"/>
      <c r="BK255" s="136"/>
      <c r="BL255" s="136"/>
      <c r="BM255" s="136"/>
      <c r="BN255" s="136"/>
      <c r="BO255" s="136"/>
      <c r="BP255" s="136"/>
      <c r="BQ255" s="136"/>
      <c r="BR255" s="136"/>
      <c r="BS255" s="136"/>
      <c r="BT255" s="136"/>
      <c r="BU255" s="136"/>
      <c r="BV255" s="136"/>
      <c r="BW255" s="136"/>
      <c r="BX255" s="136"/>
      <c r="BY255" s="136"/>
      <c r="BZ255" s="136"/>
      <c r="CA255" s="136"/>
      <c r="CB255" s="136"/>
      <c r="CC255" s="136"/>
      <c r="CD255" s="136"/>
      <c r="CE255" s="136"/>
      <c r="CF255" s="136"/>
      <c r="CG255" s="136"/>
      <c r="CH255" s="136"/>
      <c r="CI255" s="136"/>
      <c r="CJ255" s="136"/>
      <c r="CK255" s="136"/>
      <c r="CL255" s="136"/>
      <c r="CM255" s="136"/>
      <c r="CN255" s="136"/>
      <c r="CO255" s="136"/>
      <c r="CP255" s="136"/>
      <c r="CQ255" s="136"/>
      <c r="CR255" s="136"/>
      <c r="CS255" s="136"/>
      <c r="CT255" s="136"/>
      <c r="CU255" s="136"/>
      <c r="CV255" s="136"/>
      <c r="CW255" s="136"/>
      <c r="CX255" s="136"/>
      <c r="CY255" s="136"/>
      <c r="CZ255" s="136"/>
      <c r="DA255" s="136"/>
      <c r="DB255" s="136"/>
      <c r="DC255" s="136"/>
      <c r="DD255" s="136"/>
      <c r="DE255" s="136"/>
      <c r="DF255" s="136"/>
      <c r="DG255" s="136"/>
      <c r="DH255" s="136"/>
      <c r="DI255" s="136"/>
      <c r="DJ255" s="136"/>
      <c r="DK255" s="136"/>
      <c r="DL255" s="136"/>
      <c r="DM255" s="136"/>
      <c r="DN255" s="136"/>
      <c r="DO255" s="136"/>
      <c r="DP255" s="136"/>
      <c r="DQ255" s="136"/>
      <c r="DR255" s="136"/>
      <c r="DS255" s="136"/>
      <c r="DT255" s="136"/>
      <c r="DU255" s="136"/>
      <c r="DV255" s="136"/>
      <c r="DW255" s="136"/>
      <c r="DX255" s="136"/>
      <c r="DY255" s="136"/>
      <c r="DZ255" s="136"/>
      <c r="EA255" s="136"/>
      <c r="EB255" s="136"/>
      <c r="EC255" s="136"/>
      <c r="ED255" s="136"/>
      <c r="EE255" s="136"/>
      <c r="EF255" s="136"/>
      <c r="EG255" s="136"/>
      <c r="EH255" s="136"/>
      <c r="EI255" s="136"/>
      <c r="EJ255" s="136"/>
      <c r="EK255" s="136"/>
      <c r="EL255" s="136"/>
      <c r="EM255" s="136"/>
      <c r="EN255" s="136"/>
      <c r="EO255" s="136"/>
      <c r="EP255" s="136"/>
      <c r="EQ255" s="136"/>
      <c r="ER255" s="136"/>
      <c r="ES255" s="136"/>
      <c r="ET255" s="136"/>
      <c r="EU255" s="136"/>
      <c r="EV255" s="136"/>
      <c r="EW255" s="136"/>
      <c r="EX255" s="136"/>
      <c r="EY255" s="136"/>
      <c r="EZ255" s="136"/>
      <c r="FA255" s="136"/>
      <c r="FB255" s="136"/>
      <c r="FC255" s="136"/>
      <c r="FD255" s="136"/>
      <c r="FE255" s="136"/>
      <c r="FF255" s="136"/>
      <c r="FG255" s="136"/>
      <c r="FH255" s="136"/>
      <c r="FI255" s="136"/>
      <c r="FJ255" s="136"/>
      <c r="FK255" s="136"/>
      <c r="FL255" s="136"/>
      <c r="FM255" s="136"/>
      <c r="FN255" s="136"/>
      <c r="FO255" s="136"/>
      <c r="FP255" s="136"/>
      <c r="FQ255" s="136"/>
      <c r="FR255" s="136"/>
      <c r="FS255" s="136"/>
      <c r="FT255" s="136"/>
      <c r="FU255" s="136"/>
      <c r="FV255" s="136"/>
      <c r="FW255" s="136"/>
      <c r="FX255" s="136"/>
      <c r="FY255" s="136"/>
      <c r="FZ255" s="136"/>
      <c r="GA255" s="136"/>
      <c r="GB255" s="136"/>
      <c r="GC255" s="136"/>
      <c r="GD255" s="136"/>
      <c r="GE255" s="136"/>
      <c r="GF255" s="136"/>
      <c r="GG255" s="136"/>
      <c r="GH255" s="136"/>
      <c r="GI255" s="136"/>
      <c r="GJ255" s="136"/>
      <c r="GK255" s="136"/>
      <c r="GL255" s="136"/>
      <c r="GM255" s="136"/>
      <c r="GN255" s="136"/>
      <c r="GO255" s="136"/>
      <c r="GP255" s="136"/>
      <c r="GQ255" s="136"/>
      <c r="GR255" s="136"/>
      <c r="GS255" s="136"/>
      <c r="GT255" s="136"/>
      <c r="GU255" s="136"/>
      <c r="GV255" s="136"/>
      <c r="GW255" s="136"/>
      <c r="GX255" s="136"/>
      <c r="GY255" s="136"/>
      <c r="GZ255" s="136"/>
      <c r="HA255" s="136"/>
      <c r="HB255" s="136"/>
      <c r="HC255" s="136"/>
      <c r="HD255" s="136"/>
      <c r="HE255" s="136"/>
      <c r="HF255" s="136"/>
      <c r="HG255" s="136"/>
      <c r="HH255" s="136"/>
      <c r="HI255" s="136"/>
      <c r="HJ255" s="136"/>
      <c r="HK255" s="136"/>
      <c r="HL255" s="136"/>
      <c r="HM255" s="136"/>
      <c r="HN255" s="136"/>
      <c r="HO255" s="136"/>
      <c r="HP255" s="136"/>
      <c r="HQ255" s="136"/>
      <c r="HR255" s="136"/>
      <c r="HS255" s="136"/>
      <c r="HT255" s="136"/>
      <c r="HU255" s="136"/>
      <c r="HV255" s="136"/>
      <c r="HW255" s="136"/>
      <c r="HX255" s="136"/>
      <c r="HY255" s="136"/>
      <c r="HZ255" s="136"/>
      <c r="IA255" s="136"/>
      <c r="IB255" s="136"/>
      <c r="IC255" s="136"/>
      <c r="ID255" s="136"/>
      <c r="IE255" s="136"/>
      <c r="IF255" s="136"/>
      <c r="IG255" s="136"/>
      <c r="IH255" s="136"/>
      <c r="II255" s="136"/>
      <c r="IJ255" s="136"/>
      <c r="IK255" s="136"/>
      <c r="IL255" s="136"/>
      <c r="IM255" s="136"/>
      <c r="IN255" s="136"/>
      <c r="IO255" s="136"/>
      <c r="IP255" s="136"/>
      <c r="IQ255" s="136"/>
      <c r="IR255" s="136"/>
      <c r="IS255" s="136"/>
      <c r="IT255" s="136"/>
      <c r="IU255" s="136"/>
    </row>
    <row r="256" spans="1:255" ht="75" customHeight="1" x14ac:dyDescent="0.2">
      <c r="A256" s="242" t="str">
        <f>'HECVAT - Full'!A256</f>
        <v>SYST-03</v>
      </c>
      <c r="B256" s="242" t="str">
        <f>VLOOKUP(A256,'HECVAT - Full'!A$24:B$312,2,FALSE)</f>
        <v>Are employee mobile devices managed by your company's Mobile Device Management (MDM) platform?</v>
      </c>
      <c r="C256" s="243" t="s">
        <v>2968</v>
      </c>
      <c r="D256" s="253" t="s">
        <v>2969</v>
      </c>
      <c r="E256" s="13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6"/>
      <c r="AN256" s="136"/>
      <c r="AO256" s="136"/>
      <c r="AP256" s="136"/>
      <c r="AQ256" s="136"/>
      <c r="AR256" s="136"/>
      <c r="AS256" s="136"/>
      <c r="AT256" s="136"/>
      <c r="AU256" s="136"/>
      <c r="AV256" s="136"/>
      <c r="AW256" s="136"/>
      <c r="AX256" s="136"/>
      <c r="AY256" s="136"/>
      <c r="AZ256" s="136"/>
      <c r="BA256" s="136"/>
      <c r="BB256" s="136"/>
      <c r="BC256" s="136"/>
      <c r="BD256" s="136"/>
      <c r="BE256" s="136"/>
      <c r="BF256" s="136"/>
      <c r="BG256" s="136"/>
      <c r="BH256" s="136"/>
      <c r="BI256" s="136"/>
      <c r="BJ256" s="136"/>
      <c r="BK256" s="136"/>
      <c r="BL256" s="136"/>
      <c r="BM256" s="136"/>
      <c r="BN256" s="136"/>
      <c r="BO256" s="136"/>
      <c r="BP256" s="136"/>
      <c r="BQ256" s="136"/>
      <c r="BR256" s="136"/>
      <c r="BS256" s="136"/>
      <c r="BT256" s="136"/>
      <c r="BU256" s="136"/>
      <c r="BV256" s="136"/>
      <c r="BW256" s="136"/>
      <c r="BX256" s="136"/>
      <c r="BY256" s="136"/>
      <c r="BZ256" s="136"/>
      <c r="CA256" s="136"/>
      <c r="CB256" s="136"/>
      <c r="CC256" s="136"/>
      <c r="CD256" s="136"/>
      <c r="CE256" s="136"/>
      <c r="CF256" s="136"/>
      <c r="CG256" s="136"/>
      <c r="CH256" s="136"/>
      <c r="CI256" s="136"/>
      <c r="CJ256" s="136"/>
      <c r="CK256" s="136"/>
      <c r="CL256" s="136"/>
      <c r="CM256" s="136"/>
      <c r="CN256" s="136"/>
      <c r="CO256" s="136"/>
      <c r="CP256" s="136"/>
      <c r="CQ256" s="136"/>
      <c r="CR256" s="136"/>
      <c r="CS256" s="136"/>
      <c r="CT256" s="136"/>
      <c r="CU256" s="136"/>
      <c r="CV256" s="136"/>
      <c r="CW256" s="136"/>
      <c r="CX256" s="136"/>
      <c r="CY256" s="136"/>
      <c r="CZ256" s="136"/>
      <c r="DA256" s="136"/>
      <c r="DB256" s="136"/>
      <c r="DC256" s="136"/>
      <c r="DD256" s="136"/>
      <c r="DE256" s="136"/>
      <c r="DF256" s="136"/>
      <c r="DG256" s="136"/>
      <c r="DH256" s="136"/>
      <c r="DI256" s="136"/>
      <c r="DJ256" s="136"/>
      <c r="DK256" s="136"/>
      <c r="DL256" s="136"/>
      <c r="DM256" s="136"/>
      <c r="DN256" s="136"/>
      <c r="DO256" s="136"/>
      <c r="DP256" s="136"/>
      <c r="DQ256" s="136"/>
      <c r="DR256" s="136"/>
      <c r="DS256" s="136"/>
      <c r="DT256" s="136"/>
      <c r="DU256" s="136"/>
      <c r="DV256" s="136"/>
      <c r="DW256" s="136"/>
      <c r="DX256" s="136"/>
      <c r="DY256" s="136"/>
      <c r="DZ256" s="136"/>
      <c r="EA256" s="136"/>
      <c r="EB256" s="136"/>
      <c r="EC256" s="136"/>
      <c r="ED256" s="136"/>
      <c r="EE256" s="136"/>
      <c r="EF256" s="136"/>
      <c r="EG256" s="136"/>
      <c r="EH256" s="136"/>
      <c r="EI256" s="136"/>
      <c r="EJ256" s="136"/>
      <c r="EK256" s="136"/>
      <c r="EL256" s="136"/>
      <c r="EM256" s="136"/>
      <c r="EN256" s="136"/>
      <c r="EO256" s="136"/>
      <c r="EP256" s="136"/>
      <c r="EQ256" s="136"/>
      <c r="ER256" s="136"/>
      <c r="ES256" s="136"/>
      <c r="ET256" s="136"/>
      <c r="EU256" s="136"/>
      <c r="EV256" s="136"/>
      <c r="EW256" s="136"/>
      <c r="EX256" s="136"/>
      <c r="EY256" s="136"/>
      <c r="EZ256" s="136"/>
      <c r="FA256" s="136"/>
      <c r="FB256" s="136"/>
      <c r="FC256" s="136"/>
      <c r="FD256" s="136"/>
      <c r="FE256" s="136"/>
      <c r="FF256" s="136"/>
      <c r="FG256" s="136"/>
      <c r="FH256" s="136"/>
      <c r="FI256" s="136"/>
      <c r="FJ256" s="136"/>
      <c r="FK256" s="136"/>
      <c r="FL256" s="136"/>
      <c r="FM256" s="136"/>
      <c r="FN256" s="136"/>
      <c r="FO256" s="136"/>
      <c r="FP256" s="136"/>
      <c r="FQ256" s="136"/>
      <c r="FR256" s="136"/>
      <c r="FS256" s="136"/>
      <c r="FT256" s="136"/>
      <c r="FU256" s="136"/>
      <c r="FV256" s="136"/>
      <c r="FW256" s="136"/>
      <c r="FX256" s="136"/>
      <c r="FY256" s="136"/>
      <c r="FZ256" s="136"/>
      <c r="GA256" s="136"/>
      <c r="GB256" s="136"/>
      <c r="GC256" s="136"/>
      <c r="GD256" s="136"/>
      <c r="GE256" s="136"/>
      <c r="GF256" s="136"/>
      <c r="GG256" s="136"/>
      <c r="GH256" s="136"/>
      <c r="GI256" s="136"/>
      <c r="GJ256" s="136"/>
      <c r="GK256" s="136"/>
      <c r="GL256" s="136"/>
      <c r="GM256" s="136"/>
      <c r="GN256" s="136"/>
      <c r="GO256" s="136"/>
      <c r="GP256" s="136"/>
      <c r="GQ256" s="136"/>
      <c r="GR256" s="136"/>
      <c r="GS256" s="136"/>
      <c r="GT256" s="136"/>
      <c r="GU256" s="136"/>
      <c r="GV256" s="136"/>
      <c r="GW256" s="136"/>
      <c r="GX256" s="136"/>
      <c r="GY256" s="136"/>
      <c r="GZ256" s="136"/>
      <c r="HA256" s="136"/>
      <c r="HB256" s="136"/>
      <c r="HC256" s="136"/>
      <c r="HD256" s="136"/>
      <c r="HE256" s="136"/>
      <c r="HF256" s="136"/>
      <c r="HG256" s="136"/>
      <c r="HH256" s="136"/>
      <c r="HI256" s="136"/>
      <c r="HJ256" s="136"/>
      <c r="HK256" s="136"/>
      <c r="HL256" s="136"/>
      <c r="HM256" s="136"/>
      <c r="HN256" s="136"/>
      <c r="HO256" s="136"/>
      <c r="HP256" s="136"/>
      <c r="HQ256" s="136"/>
      <c r="HR256" s="136"/>
      <c r="HS256" s="136"/>
      <c r="HT256" s="136"/>
      <c r="HU256" s="136"/>
      <c r="HV256" s="136"/>
      <c r="HW256" s="136"/>
      <c r="HX256" s="136"/>
      <c r="HY256" s="136"/>
      <c r="HZ256" s="136"/>
      <c r="IA256" s="136"/>
      <c r="IB256" s="136"/>
      <c r="IC256" s="136"/>
      <c r="ID256" s="136"/>
      <c r="IE256" s="136"/>
      <c r="IF256" s="136"/>
      <c r="IG256" s="136"/>
      <c r="IH256" s="136"/>
      <c r="II256" s="136"/>
      <c r="IJ256" s="136"/>
      <c r="IK256" s="136"/>
      <c r="IL256" s="136"/>
      <c r="IM256" s="136"/>
      <c r="IN256" s="136"/>
      <c r="IO256" s="136"/>
      <c r="IP256" s="136"/>
      <c r="IQ256" s="136"/>
      <c r="IR256" s="136"/>
      <c r="IS256" s="136"/>
      <c r="IT256" s="136"/>
      <c r="IU256" s="136"/>
    </row>
    <row r="257" spans="1:255" ht="96" customHeight="1" x14ac:dyDescent="0.2">
      <c r="A257" s="242" t="str">
        <f>'HECVAT - Full'!A257</f>
        <v>SYST-04</v>
      </c>
      <c r="B257" s="242" t="str">
        <f>VLOOKUP(A257,'HECVAT - Full'!A$24:B$312,2,FALSE)</f>
        <v>Do you have a systems management and configuration strategy that encompasses servers, appliances, and mobile devices (company and employee owned)?</v>
      </c>
      <c r="C257" s="245" t="s">
        <v>2970</v>
      </c>
      <c r="D257" s="245" t="s">
        <v>2971</v>
      </c>
      <c r="E257" s="13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6"/>
      <c r="AN257" s="136"/>
      <c r="AO257" s="136"/>
      <c r="AP257" s="136"/>
      <c r="AQ257" s="136"/>
      <c r="AR257" s="136"/>
      <c r="AS257" s="136"/>
      <c r="AT257" s="136"/>
      <c r="AU257" s="136"/>
      <c r="AV257" s="136"/>
      <c r="AW257" s="136"/>
      <c r="AX257" s="136"/>
      <c r="AY257" s="136"/>
      <c r="AZ257" s="136"/>
      <c r="BA257" s="136"/>
      <c r="BB257" s="136"/>
      <c r="BC257" s="136"/>
      <c r="BD257" s="136"/>
      <c r="BE257" s="136"/>
      <c r="BF257" s="136"/>
      <c r="BG257" s="136"/>
      <c r="BH257" s="136"/>
      <c r="BI257" s="136"/>
      <c r="BJ257" s="136"/>
      <c r="BK257" s="136"/>
      <c r="BL257" s="136"/>
      <c r="BM257" s="136"/>
      <c r="BN257" s="136"/>
      <c r="BO257" s="136"/>
      <c r="BP257" s="136"/>
      <c r="BQ257" s="136"/>
      <c r="BR257" s="136"/>
      <c r="BS257" s="136"/>
      <c r="BT257" s="136"/>
      <c r="BU257" s="136"/>
      <c r="BV257" s="136"/>
      <c r="BW257" s="136"/>
      <c r="BX257" s="136"/>
      <c r="BY257" s="136"/>
      <c r="BZ257" s="136"/>
      <c r="CA257" s="136"/>
      <c r="CB257" s="136"/>
      <c r="CC257" s="136"/>
      <c r="CD257" s="136"/>
      <c r="CE257" s="136"/>
      <c r="CF257" s="136"/>
      <c r="CG257" s="136"/>
      <c r="CH257" s="136"/>
      <c r="CI257" s="136"/>
      <c r="CJ257" s="136"/>
      <c r="CK257" s="136"/>
      <c r="CL257" s="136"/>
      <c r="CM257" s="136"/>
      <c r="CN257" s="136"/>
      <c r="CO257" s="136"/>
      <c r="CP257" s="136"/>
      <c r="CQ257" s="136"/>
      <c r="CR257" s="136"/>
      <c r="CS257" s="136"/>
      <c r="CT257" s="136"/>
      <c r="CU257" s="136"/>
      <c r="CV257" s="136"/>
      <c r="CW257" s="136"/>
      <c r="CX257" s="136"/>
      <c r="CY257" s="136"/>
      <c r="CZ257" s="136"/>
      <c r="DA257" s="136"/>
      <c r="DB257" s="136"/>
      <c r="DC257" s="136"/>
      <c r="DD257" s="136"/>
      <c r="DE257" s="136"/>
      <c r="DF257" s="136"/>
      <c r="DG257" s="136"/>
      <c r="DH257" s="136"/>
      <c r="DI257" s="136"/>
      <c r="DJ257" s="136"/>
      <c r="DK257" s="136"/>
      <c r="DL257" s="136"/>
      <c r="DM257" s="136"/>
      <c r="DN257" s="136"/>
      <c r="DO257" s="136"/>
      <c r="DP257" s="136"/>
      <c r="DQ257" s="136"/>
      <c r="DR257" s="136"/>
      <c r="DS257" s="136"/>
      <c r="DT257" s="136"/>
      <c r="DU257" s="136"/>
      <c r="DV257" s="136"/>
      <c r="DW257" s="136"/>
      <c r="DX257" s="136"/>
      <c r="DY257" s="136"/>
      <c r="DZ257" s="136"/>
      <c r="EA257" s="136"/>
      <c r="EB257" s="136"/>
      <c r="EC257" s="136"/>
      <c r="ED257" s="136"/>
      <c r="EE257" s="136"/>
      <c r="EF257" s="136"/>
      <c r="EG257" s="136"/>
      <c r="EH257" s="136"/>
      <c r="EI257" s="136"/>
      <c r="EJ257" s="136"/>
      <c r="EK257" s="136"/>
      <c r="EL257" s="136"/>
      <c r="EM257" s="136"/>
      <c r="EN257" s="136"/>
      <c r="EO257" s="136"/>
      <c r="EP257" s="136"/>
      <c r="EQ257" s="136"/>
      <c r="ER257" s="136"/>
      <c r="ES257" s="136"/>
      <c r="ET257" s="136"/>
      <c r="EU257" s="136"/>
      <c r="EV257" s="136"/>
      <c r="EW257" s="136"/>
      <c r="EX257" s="136"/>
      <c r="EY257" s="136"/>
      <c r="EZ257" s="136"/>
      <c r="FA257" s="136"/>
      <c r="FB257" s="136"/>
      <c r="FC257" s="136"/>
      <c r="FD257" s="136"/>
      <c r="FE257" s="136"/>
      <c r="FF257" s="136"/>
      <c r="FG257" s="136"/>
      <c r="FH257" s="136"/>
      <c r="FI257" s="136"/>
      <c r="FJ257" s="136"/>
      <c r="FK257" s="136"/>
      <c r="FL257" s="136"/>
      <c r="FM257" s="136"/>
      <c r="FN257" s="136"/>
      <c r="FO257" s="136"/>
      <c r="FP257" s="136"/>
      <c r="FQ257" s="136"/>
      <c r="FR257" s="136"/>
      <c r="FS257" s="136"/>
      <c r="FT257" s="136"/>
      <c r="FU257" s="136"/>
      <c r="FV257" s="136"/>
      <c r="FW257" s="136"/>
      <c r="FX257" s="136"/>
      <c r="FY257" s="136"/>
      <c r="FZ257" s="136"/>
      <c r="GA257" s="136"/>
      <c r="GB257" s="136"/>
      <c r="GC257" s="136"/>
      <c r="GD257" s="136"/>
      <c r="GE257" s="136"/>
      <c r="GF257" s="136"/>
      <c r="GG257" s="136"/>
      <c r="GH257" s="136"/>
      <c r="GI257" s="136"/>
      <c r="GJ257" s="136"/>
      <c r="GK257" s="136"/>
      <c r="GL257" s="136"/>
      <c r="GM257" s="136"/>
      <c r="GN257" s="136"/>
      <c r="GO257" s="136"/>
      <c r="GP257" s="136"/>
      <c r="GQ257" s="136"/>
      <c r="GR257" s="136"/>
      <c r="GS257" s="136"/>
      <c r="GT257" s="136"/>
      <c r="GU257" s="136"/>
      <c r="GV257" s="136"/>
      <c r="GW257" s="136"/>
      <c r="GX257" s="136"/>
      <c r="GY257" s="136"/>
      <c r="GZ257" s="136"/>
      <c r="HA257" s="136"/>
      <c r="HB257" s="136"/>
      <c r="HC257" s="136"/>
      <c r="HD257" s="136"/>
      <c r="HE257" s="136"/>
      <c r="HF257" s="136"/>
      <c r="HG257" s="136"/>
      <c r="HH257" s="136"/>
      <c r="HI257" s="136"/>
      <c r="HJ257" s="136"/>
      <c r="HK257" s="136"/>
      <c r="HL257" s="136"/>
      <c r="HM257" s="136"/>
      <c r="HN257" s="136"/>
      <c r="HO257" s="136"/>
      <c r="HP257" s="136"/>
      <c r="HQ257" s="136"/>
      <c r="HR257" s="136"/>
      <c r="HS257" s="136"/>
      <c r="HT257" s="136"/>
      <c r="HU257" s="136"/>
      <c r="HV257" s="136"/>
      <c r="HW257" s="136"/>
      <c r="HX257" s="136"/>
      <c r="HY257" s="136"/>
      <c r="HZ257" s="136"/>
      <c r="IA257" s="136"/>
      <c r="IB257" s="136"/>
      <c r="IC257" s="136"/>
      <c r="ID257" s="136"/>
      <c r="IE257" s="136"/>
      <c r="IF257" s="136"/>
      <c r="IG257" s="136"/>
      <c r="IH257" s="136"/>
      <c r="II257" s="136"/>
      <c r="IJ257" s="136"/>
      <c r="IK257" s="136"/>
      <c r="IL257" s="136"/>
      <c r="IM257" s="136"/>
      <c r="IN257" s="136"/>
      <c r="IO257" s="136"/>
      <c r="IP257" s="136"/>
      <c r="IQ257" s="136"/>
      <c r="IR257" s="136"/>
      <c r="IS257" s="136"/>
      <c r="IT257" s="136"/>
      <c r="IU257" s="136"/>
    </row>
    <row r="258" spans="1:255" ht="36" customHeight="1" x14ac:dyDescent="0.2">
      <c r="A258" s="335" t="str">
        <f>IF($C$30="","Vulnerability Scanning",IF($C$30="Yes","Vulnerability Scanning - Optional based on QUALIFIER response.","Vulnerability Scanning"))</f>
        <v>Vulnerability Scanning</v>
      </c>
      <c r="B258" s="335"/>
      <c r="C258" s="240" t="str">
        <f>$C$22</f>
        <v>Reason for Question</v>
      </c>
      <c r="D258" s="240" t="str">
        <f>$D$22</f>
        <v>Follow-up Inquiries/Responses</v>
      </c>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6"/>
      <c r="AN258" s="136"/>
      <c r="AO258" s="136"/>
      <c r="AP258" s="136"/>
      <c r="AQ258" s="136"/>
      <c r="AR258" s="136"/>
      <c r="AS258" s="136"/>
      <c r="AT258" s="136"/>
      <c r="AU258" s="136"/>
      <c r="AV258" s="136"/>
      <c r="AW258" s="136"/>
      <c r="AX258" s="136"/>
      <c r="AY258" s="136"/>
      <c r="AZ258" s="136"/>
      <c r="BA258" s="136"/>
      <c r="BB258" s="136"/>
      <c r="BC258" s="136"/>
      <c r="BD258" s="136"/>
      <c r="BE258" s="136"/>
      <c r="BF258" s="136"/>
      <c r="BG258" s="136"/>
      <c r="BH258" s="136"/>
      <c r="BI258" s="136"/>
      <c r="BJ258" s="136"/>
      <c r="BK258" s="136"/>
      <c r="BL258" s="136"/>
      <c r="BM258" s="136"/>
      <c r="BN258" s="136"/>
      <c r="BO258" s="136"/>
      <c r="BP258" s="136"/>
      <c r="BQ258" s="136"/>
      <c r="BR258" s="136"/>
      <c r="BS258" s="136"/>
      <c r="BT258" s="136"/>
      <c r="BU258" s="136"/>
      <c r="BV258" s="136"/>
      <c r="BW258" s="136"/>
      <c r="BX258" s="136"/>
      <c r="BY258" s="136"/>
      <c r="BZ258" s="136"/>
      <c r="CA258" s="136"/>
      <c r="CB258" s="136"/>
      <c r="CC258" s="136"/>
      <c r="CD258" s="136"/>
      <c r="CE258" s="136"/>
      <c r="CF258" s="136"/>
      <c r="CG258" s="136"/>
      <c r="CH258" s="136"/>
      <c r="CI258" s="136"/>
      <c r="CJ258" s="136"/>
      <c r="CK258" s="136"/>
      <c r="CL258" s="136"/>
      <c r="CM258" s="136"/>
      <c r="CN258" s="136"/>
      <c r="CO258" s="136"/>
      <c r="CP258" s="136"/>
      <c r="CQ258" s="136"/>
      <c r="CR258" s="136"/>
      <c r="CS258" s="136"/>
      <c r="CT258" s="136"/>
      <c r="CU258" s="136"/>
      <c r="CV258" s="136"/>
      <c r="CW258" s="136"/>
      <c r="CX258" s="136"/>
      <c r="CY258" s="136"/>
      <c r="CZ258" s="136"/>
      <c r="DA258" s="136"/>
      <c r="DB258" s="136"/>
      <c r="DC258" s="136"/>
      <c r="DD258" s="136"/>
      <c r="DE258" s="136"/>
      <c r="DF258" s="136"/>
      <c r="DG258" s="136"/>
      <c r="DH258" s="136"/>
      <c r="DI258" s="136"/>
      <c r="DJ258" s="136"/>
      <c r="DK258" s="136"/>
      <c r="DL258" s="136"/>
      <c r="DM258" s="136"/>
      <c r="DN258" s="136"/>
      <c r="DO258" s="136"/>
      <c r="DP258" s="136"/>
      <c r="DQ258" s="136"/>
      <c r="DR258" s="136"/>
      <c r="DS258" s="136"/>
      <c r="DT258" s="136"/>
      <c r="DU258" s="136"/>
      <c r="DV258" s="136"/>
      <c r="DW258" s="136"/>
      <c r="DX258" s="136"/>
      <c r="DY258" s="136"/>
      <c r="DZ258" s="136"/>
      <c r="EA258" s="136"/>
      <c r="EB258" s="136"/>
      <c r="EC258" s="136"/>
      <c r="ED258" s="136"/>
      <c r="EE258" s="136"/>
      <c r="EF258" s="136"/>
      <c r="EG258" s="136"/>
      <c r="EH258" s="136"/>
      <c r="EI258" s="136"/>
      <c r="EJ258" s="136"/>
      <c r="EK258" s="136"/>
      <c r="EL258" s="136"/>
      <c r="EM258" s="136"/>
      <c r="EN258" s="136"/>
      <c r="EO258" s="136"/>
      <c r="EP258" s="136"/>
      <c r="EQ258" s="136"/>
      <c r="ER258" s="136"/>
      <c r="ES258" s="136"/>
      <c r="ET258" s="136"/>
      <c r="EU258" s="136"/>
      <c r="EV258" s="136"/>
      <c r="EW258" s="136"/>
      <c r="EX258" s="136"/>
      <c r="EY258" s="136"/>
      <c r="EZ258" s="136"/>
      <c r="FA258" s="136"/>
      <c r="FB258" s="136"/>
      <c r="FC258" s="136"/>
      <c r="FD258" s="136"/>
      <c r="FE258" s="136"/>
      <c r="FF258" s="136"/>
      <c r="FG258" s="136"/>
      <c r="FH258" s="136"/>
      <c r="FI258" s="136"/>
      <c r="FJ258" s="136"/>
      <c r="FK258" s="136"/>
      <c r="FL258" s="136"/>
      <c r="FM258" s="136"/>
      <c r="FN258" s="136"/>
      <c r="FO258" s="136"/>
      <c r="FP258" s="136"/>
      <c r="FQ258" s="136"/>
      <c r="FR258" s="136"/>
      <c r="FS258" s="136"/>
      <c r="FT258" s="136"/>
      <c r="FU258" s="136"/>
      <c r="FV258" s="136"/>
      <c r="FW258" s="136"/>
      <c r="FX258" s="136"/>
      <c r="FY258" s="136"/>
      <c r="FZ258" s="136"/>
      <c r="GA258" s="136"/>
      <c r="GB258" s="136"/>
      <c r="GC258" s="136"/>
      <c r="GD258" s="136"/>
      <c r="GE258" s="136"/>
      <c r="GF258" s="136"/>
      <c r="GG258" s="136"/>
      <c r="GH258" s="136"/>
      <c r="GI258" s="136"/>
      <c r="GJ258" s="136"/>
      <c r="GK258" s="136"/>
      <c r="GL258" s="136"/>
      <c r="GM258" s="136"/>
      <c r="GN258" s="136"/>
      <c r="GO258" s="136"/>
      <c r="GP258" s="136"/>
      <c r="GQ258" s="136"/>
      <c r="GR258" s="136"/>
      <c r="GS258" s="136"/>
      <c r="GT258" s="136"/>
      <c r="GU258" s="136"/>
      <c r="GV258" s="136"/>
      <c r="GW258" s="136"/>
      <c r="GX258" s="136"/>
      <c r="GY258" s="136"/>
      <c r="GZ258" s="136"/>
      <c r="HA258" s="136"/>
      <c r="HB258" s="136"/>
      <c r="HC258" s="136"/>
      <c r="HD258" s="136"/>
      <c r="HE258" s="136"/>
      <c r="HF258" s="136"/>
      <c r="HG258" s="136"/>
      <c r="HH258" s="136"/>
      <c r="HI258" s="136"/>
      <c r="HJ258" s="136"/>
      <c r="HK258" s="136"/>
      <c r="HL258" s="136"/>
      <c r="HM258" s="136"/>
      <c r="HN258" s="136"/>
      <c r="HO258" s="136"/>
      <c r="HP258" s="136"/>
      <c r="HQ258" s="136"/>
      <c r="HR258" s="136"/>
      <c r="HS258" s="136"/>
      <c r="HT258" s="136"/>
      <c r="HU258" s="136"/>
      <c r="HV258" s="136"/>
      <c r="HW258" s="136"/>
      <c r="HX258" s="136"/>
      <c r="HY258" s="136"/>
      <c r="HZ258" s="136"/>
      <c r="IA258" s="136"/>
      <c r="IB258" s="136"/>
      <c r="IC258" s="136"/>
      <c r="ID258" s="136"/>
      <c r="IE258" s="136"/>
      <c r="IF258" s="136"/>
      <c r="IG258" s="136"/>
      <c r="IH258" s="136"/>
      <c r="II258" s="136"/>
      <c r="IJ258" s="136"/>
      <c r="IK258" s="136"/>
      <c r="IL258" s="136"/>
      <c r="IM258" s="136"/>
      <c r="IN258" s="136"/>
      <c r="IO258" s="136"/>
      <c r="IP258" s="136"/>
      <c r="IQ258" s="136"/>
      <c r="IR258" s="136"/>
      <c r="IS258" s="136"/>
      <c r="IT258" s="136"/>
      <c r="IU258" s="136"/>
    </row>
    <row r="259" spans="1:255" ht="128.25" x14ac:dyDescent="0.2">
      <c r="A259" s="242" t="str">
        <f>'HECVAT - Full'!A259</f>
        <v>VULN-01</v>
      </c>
      <c r="B259" s="242" t="str">
        <f>VLOOKUP(A259,'HECVAT - Full'!A$24:B$312,2,FALSE)</f>
        <v>Are your applications scanned externally for vulnerabilities?</v>
      </c>
      <c r="C259" s="275" t="s">
        <v>3043</v>
      </c>
      <c r="D259" s="278" t="s">
        <v>3044</v>
      </c>
      <c r="E259" s="13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36"/>
      <c r="AY259" s="136"/>
      <c r="AZ259" s="136"/>
      <c r="BA259" s="136"/>
      <c r="BB259" s="136"/>
      <c r="BC259" s="136"/>
      <c r="BD259" s="136"/>
      <c r="BE259" s="136"/>
      <c r="BF259" s="136"/>
      <c r="BG259" s="136"/>
      <c r="BH259" s="136"/>
      <c r="BI259" s="136"/>
      <c r="BJ259" s="136"/>
      <c r="BK259" s="136"/>
      <c r="BL259" s="136"/>
      <c r="BM259" s="136"/>
      <c r="BN259" s="136"/>
      <c r="BO259" s="136"/>
      <c r="BP259" s="136"/>
      <c r="BQ259" s="136"/>
      <c r="BR259" s="136"/>
      <c r="BS259" s="136"/>
      <c r="BT259" s="136"/>
      <c r="BU259" s="136"/>
      <c r="BV259" s="136"/>
      <c r="BW259" s="136"/>
      <c r="BX259" s="136"/>
      <c r="BY259" s="136"/>
      <c r="BZ259" s="136"/>
      <c r="CA259" s="136"/>
      <c r="CB259" s="136"/>
      <c r="CC259" s="136"/>
      <c r="CD259" s="136"/>
      <c r="CE259" s="136"/>
      <c r="CF259" s="136"/>
      <c r="CG259" s="136"/>
      <c r="CH259" s="136"/>
      <c r="CI259" s="136"/>
      <c r="CJ259" s="136"/>
      <c r="CK259" s="136"/>
      <c r="CL259" s="136"/>
      <c r="CM259" s="136"/>
      <c r="CN259" s="136"/>
      <c r="CO259" s="136"/>
      <c r="CP259" s="136"/>
      <c r="CQ259" s="136"/>
      <c r="CR259" s="136"/>
      <c r="CS259" s="136"/>
      <c r="CT259" s="136"/>
      <c r="CU259" s="136"/>
      <c r="CV259" s="136"/>
      <c r="CW259" s="136"/>
      <c r="CX259" s="136"/>
      <c r="CY259" s="136"/>
      <c r="CZ259" s="136"/>
      <c r="DA259" s="136"/>
      <c r="DB259" s="136"/>
      <c r="DC259" s="136"/>
      <c r="DD259" s="136"/>
      <c r="DE259" s="136"/>
      <c r="DF259" s="136"/>
      <c r="DG259" s="136"/>
      <c r="DH259" s="136"/>
      <c r="DI259" s="136"/>
      <c r="DJ259" s="136"/>
      <c r="DK259" s="136"/>
      <c r="DL259" s="136"/>
      <c r="DM259" s="136"/>
      <c r="DN259" s="136"/>
      <c r="DO259" s="136"/>
      <c r="DP259" s="136"/>
      <c r="DQ259" s="136"/>
      <c r="DR259" s="136"/>
      <c r="DS259" s="136"/>
      <c r="DT259" s="136"/>
      <c r="DU259" s="136"/>
      <c r="DV259" s="136"/>
      <c r="DW259" s="136"/>
      <c r="DX259" s="136"/>
      <c r="DY259" s="136"/>
      <c r="DZ259" s="136"/>
      <c r="EA259" s="136"/>
      <c r="EB259" s="136"/>
      <c r="EC259" s="136"/>
      <c r="ED259" s="136"/>
      <c r="EE259" s="136"/>
      <c r="EF259" s="136"/>
      <c r="EG259" s="136"/>
      <c r="EH259" s="136"/>
      <c r="EI259" s="136"/>
      <c r="EJ259" s="136"/>
      <c r="EK259" s="136"/>
      <c r="EL259" s="136"/>
      <c r="EM259" s="136"/>
      <c r="EN259" s="136"/>
      <c r="EO259" s="136"/>
      <c r="EP259" s="136"/>
      <c r="EQ259" s="136"/>
      <c r="ER259" s="136"/>
      <c r="ES259" s="136"/>
      <c r="ET259" s="136"/>
      <c r="EU259" s="136"/>
      <c r="EV259" s="136"/>
      <c r="EW259" s="136"/>
      <c r="EX259" s="136"/>
      <c r="EY259" s="136"/>
      <c r="EZ259" s="136"/>
      <c r="FA259" s="136"/>
      <c r="FB259" s="136"/>
      <c r="FC259" s="136"/>
      <c r="FD259" s="136"/>
      <c r="FE259" s="136"/>
      <c r="FF259" s="136"/>
      <c r="FG259" s="136"/>
      <c r="FH259" s="136"/>
      <c r="FI259" s="136"/>
      <c r="FJ259" s="136"/>
      <c r="FK259" s="136"/>
      <c r="FL259" s="136"/>
      <c r="FM259" s="136"/>
      <c r="FN259" s="136"/>
      <c r="FO259" s="136"/>
      <c r="FP259" s="136"/>
      <c r="FQ259" s="136"/>
      <c r="FR259" s="136"/>
      <c r="FS259" s="136"/>
      <c r="FT259" s="136"/>
      <c r="FU259" s="136"/>
      <c r="FV259" s="136"/>
      <c r="FW259" s="136"/>
      <c r="FX259" s="136"/>
      <c r="FY259" s="136"/>
      <c r="FZ259" s="136"/>
      <c r="GA259" s="136"/>
      <c r="GB259" s="136"/>
      <c r="GC259" s="136"/>
      <c r="GD259" s="136"/>
      <c r="GE259" s="136"/>
      <c r="GF259" s="136"/>
      <c r="GG259" s="136"/>
      <c r="GH259" s="136"/>
      <c r="GI259" s="136"/>
      <c r="GJ259" s="136"/>
      <c r="GK259" s="136"/>
      <c r="GL259" s="136"/>
      <c r="GM259" s="136"/>
      <c r="GN259" s="136"/>
      <c r="GO259" s="136"/>
      <c r="GP259" s="136"/>
      <c r="GQ259" s="136"/>
      <c r="GR259" s="136"/>
      <c r="GS259" s="136"/>
      <c r="GT259" s="136"/>
      <c r="GU259" s="136"/>
      <c r="GV259" s="136"/>
      <c r="GW259" s="136"/>
      <c r="GX259" s="136"/>
      <c r="GY259" s="136"/>
      <c r="GZ259" s="136"/>
      <c r="HA259" s="136"/>
      <c r="HB259" s="136"/>
      <c r="HC259" s="136"/>
      <c r="HD259" s="136"/>
      <c r="HE259" s="136"/>
      <c r="HF259" s="136"/>
      <c r="HG259" s="136"/>
      <c r="HH259" s="136"/>
      <c r="HI259" s="136"/>
      <c r="HJ259" s="136"/>
      <c r="HK259" s="136"/>
      <c r="HL259" s="136"/>
      <c r="HM259" s="136"/>
      <c r="HN259" s="136"/>
      <c r="HO259" s="136"/>
      <c r="HP259" s="136"/>
      <c r="HQ259" s="136"/>
      <c r="HR259" s="136"/>
      <c r="HS259" s="136"/>
      <c r="HT259" s="136"/>
      <c r="HU259" s="136"/>
      <c r="HV259" s="136"/>
      <c r="HW259" s="136"/>
      <c r="HX259" s="136"/>
      <c r="HY259" s="136"/>
      <c r="HZ259" s="136"/>
      <c r="IA259" s="136"/>
      <c r="IB259" s="136"/>
      <c r="IC259" s="136"/>
      <c r="ID259" s="136"/>
      <c r="IE259" s="136"/>
      <c r="IF259" s="136"/>
      <c r="IG259" s="136"/>
      <c r="IH259" s="136"/>
      <c r="II259" s="136"/>
      <c r="IJ259" s="136"/>
      <c r="IK259" s="136"/>
      <c r="IL259" s="136"/>
      <c r="IM259" s="136"/>
      <c r="IN259" s="136"/>
      <c r="IO259" s="136"/>
      <c r="IP259" s="136"/>
      <c r="IQ259" s="136"/>
      <c r="IR259" s="136"/>
      <c r="IS259" s="136"/>
      <c r="IT259" s="136"/>
      <c r="IU259" s="136"/>
    </row>
    <row r="260" spans="1:255" ht="128.25" x14ac:dyDescent="0.2">
      <c r="A260" s="242" t="str">
        <f>'HECVAT - Full'!A260</f>
        <v>VULN-02</v>
      </c>
      <c r="B260" s="242" t="str">
        <f>VLOOKUP(A260,'HECVAT - Full'!A$24:B$312,2,FALSE)</f>
        <v>Have your applications had an external vulnerability assessment in the last year?</v>
      </c>
      <c r="C260" s="275" t="s">
        <v>3043</v>
      </c>
      <c r="D260" s="278" t="s">
        <v>3045</v>
      </c>
      <c r="E260" s="13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6"/>
      <c r="AN260" s="136"/>
      <c r="AO260" s="136"/>
      <c r="AP260" s="136"/>
      <c r="AQ260" s="136"/>
      <c r="AR260" s="136"/>
      <c r="AS260" s="136"/>
      <c r="AT260" s="136"/>
      <c r="AU260" s="136"/>
      <c r="AV260" s="136"/>
      <c r="AW260" s="136"/>
      <c r="AX260" s="136"/>
      <c r="AY260" s="136"/>
      <c r="AZ260" s="136"/>
      <c r="BA260" s="136"/>
      <c r="BB260" s="136"/>
      <c r="BC260" s="136"/>
      <c r="BD260" s="136"/>
      <c r="BE260" s="136"/>
      <c r="BF260" s="136"/>
      <c r="BG260" s="136"/>
      <c r="BH260" s="136"/>
      <c r="BI260" s="136"/>
      <c r="BJ260" s="136"/>
      <c r="BK260" s="136"/>
      <c r="BL260" s="136"/>
      <c r="BM260" s="136"/>
      <c r="BN260" s="136"/>
      <c r="BO260" s="136"/>
      <c r="BP260" s="136"/>
      <c r="BQ260" s="136"/>
      <c r="BR260" s="136"/>
      <c r="BS260" s="136"/>
      <c r="BT260" s="136"/>
      <c r="BU260" s="136"/>
      <c r="BV260" s="136"/>
      <c r="BW260" s="136"/>
      <c r="BX260" s="136"/>
      <c r="BY260" s="136"/>
      <c r="BZ260" s="136"/>
      <c r="CA260" s="136"/>
      <c r="CB260" s="136"/>
      <c r="CC260" s="136"/>
      <c r="CD260" s="136"/>
      <c r="CE260" s="136"/>
      <c r="CF260" s="136"/>
      <c r="CG260" s="136"/>
      <c r="CH260" s="136"/>
      <c r="CI260" s="136"/>
      <c r="CJ260" s="136"/>
      <c r="CK260" s="136"/>
      <c r="CL260" s="136"/>
      <c r="CM260" s="136"/>
      <c r="CN260" s="136"/>
      <c r="CO260" s="136"/>
      <c r="CP260" s="136"/>
      <c r="CQ260" s="136"/>
      <c r="CR260" s="136"/>
      <c r="CS260" s="136"/>
      <c r="CT260" s="136"/>
      <c r="CU260" s="136"/>
      <c r="CV260" s="136"/>
      <c r="CW260" s="136"/>
      <c r="CX260" s="136"/>
      <c r="CY260" s="136"/>
      <c r="CZ260" s="136"/>
      <c r="DA260" s="136"/>
      <c r="DB260" s="136"/>
      <c r="DC260" s="136"/>
      <c r="DD260" s="136"/>
      <c r="DE260" s="136"/>
      <c r="DF260" s="136"/>
      <c r="DG260" s="136"/>
      <c r="DH260" s="136"/>
      <c r="DI260" s="136"/>
      <c r="DJ260" s="136"/>
      <c r="DK260" s="136"/>
      <c r="DL260" s="136"/>
      <c r="DM260" s="136"/>
      <c r="DN260" s="136"/>
      <c r="DO260" s="136"/>
      <c r="DP260" s="136"/>
      <c r="DQ260" s="136"/>
      <c r="DR260" s="136"/>
      <c r="DS260" s="136"/>
      <c r="DT260" s="136"/>
      <c r="DU260" s="136"/>
      <c r="DV260" s="136"/>
      <c r="DW260" s="136"/>
      <c r="DX260" s="136"/>
      <c r="DY260" s="136"/>
      <c r="DZ260" s="136"/>
      <c r="EA260" s="136"/>
      <c r="EB260" s="136"/>
      <c r="EC260" s="136"/>
      <c r="ED260" s="136"/>
      <c r="EE260" s="136"/>
      <c r="EF260" s="136"/>
      <c r="EG260" s="136"/>
      <c r="EH260" s="136"/>
      <c r="EI260" s="136"/>
      <c r="EJ260" s="136"/>
      <c r="EK260" s="136"/>
      <c r="EL260" s="136"/>
      <c r="EM260" s="136"/>
      <c r="EN260" s="136"/>
      <c r="EO260" s="136"/>
      <c r="EP260" s="136"/>
      <c r="EQ260" s="136"/>
      <c r="ER260" s="136"/>
      <c r="ES260" s="136"/>
      <c r="ET260" s="136"/>
      <c r="EU260" s="136"/>
      <c r="EV260" s="136"/>
      <c r="EW260" s="136"/>
      <c r="EX260" s="136"/>
      <c r="EY260" s="136"/>
      <c r="EZ260" s="136"/>
      <c r="FA260" s="136"/>
      <c r="FB260" s="136"/>
      <c r="FC260" s="136"/>
      <c r="FD260" s="136"/>
      <c r="FE260" s="136"/>
      <c r="FF260" s="136"/>
      <c r="FG260" s="136"/>
      <c r="FH260" s="136"/>
      <c r="FI260" s="136"/>
      <c r="FJ260" s="136"/>
      <c r="FK260" s="136"/>
      <c r="FL260" s="136"/>
      <c r="FM260" s="136"/>
      <c r="FN260" s="136"/>
      <c r="FO260" s="136"/>
      <c r="FP260" s="136"/>
      <c r="FQ260" s="136"/>
      <c r="FR260" s="136"/>
      <c r="FS260" s="136"/>
      <c r="FT260" s="136"/>
      <c r="FU260" s="136"/>
      <c r="FV260" s="136"/>
      <c r="FW260" s="136"/>
      <c r="FX260" s="136"/>
      <c r="FY260" s="136"/>
      <c r="FZ260" s="136"/>
      <c r="GA260" s="136"/>
      <c r="GB260" s="136"/>
      <c r="GC260" s="136"/>
      <c r="GD260" s="136"/>
      <c r="GE260" s="136"/>
      <c r="GF260" s="136"/>
      <c r="GG260" s="136"/>
      <c r="GH260" s="136"/>
      <c r="GI260" s="136"/>
      <c r="GJ260" s="136"/>
      <c r="GK260" s="136"/>
      <c r="GL260" s="136"/>
      <c r="GM260" s="136"/>
      <c r="GN260" s="136"/>
      <c r="GO260" s="136"/>
      <c r="GP260" s="136"/>
      <c r="GQ260" s="136"/>
      <c r="GR260" s="136"/>
      <c r="GS260" s="136"/>
      <c r="GT260" s="136"/>
      <c r="GU260" s="136"/>
      <c r="GV260" s="136"/>
      <c r="GW260" s="136"/>
      <c r="GX260" s="136"/>
      <c r="GY260" s="136"/>
      <c r="GZ260" s="136"/>
      <c r="HA260" s="136"/>
      <c r="HB260" s="136"/>
      <c r="HC260" s="136"/>
      <c r="HD260" s="136"/>
      <c r="HE260" s="136"/>
      <c r="HF260" s="136"/>
      <c r="HG260" s="136"/>
      <c r="HH260" s="136"/>
      <c r="HI260" s="136"/>
      <c r="HJ260" s="136"/>
      <c r="HK260" s="136"/>
      <c r="HL260" s="136"/>
      <c r="HM260" s="136"/>
      <c r="HN260" s="136"/>
      <c r="HO260" s="136"/>
      <c r="HP260" s="136"/>
      <c r="HQ260" s="136"/>
      <c r="HR260" s="136"/>
      <c r="HS260" s="136"/>
      <c r="HT260" s="136"/>
      <c r="HU260" s="136"/>
      <c r="HV260" s="136"/>
      <c r="HW260" s="136"/>
      <c r="HX260" s="136"/>
      <c r="HY260" s="136"/>
      <c r="HZ260" s="136"/>
      <c r="IA260" s="136"/>
      <c r="IB260" s="136"/>
      <c r="IC260" s="136"/>
      <c r="ID260" s="136"/>
      <c r="IE260" s="136"/>
      <c r="IF260" s="136"/>
      <c r="IG260" s="136"/>
      <c r="IH260" s="136"/>
      <c r="II260" s="136"/>
      <c r="IJ260" s="136"/>
      <c r="IK260" s="136"/>
      <c r="IL260" s="136"/>
      <c r="IM260" s="136"/>
      <c r="IN260" s="136"/>
      <c r="IO260" s="136"/>
      <c r="IP260" s="136"/>
      <c r="IQ260" s="136"/>
      <c r="IR260" s="136"/>
      <c r="IS260" s="136"/>
      <c r="IT260" s="136"/>
      <c r="IU260" s="136"/>
    </row>
    <row r="261" spans="1:255" ht="99.75" x14ac:dyDescent="0.2">
      <c r="A261" s="242" t="str">
        <f>'HECVAT - Full'!A261</f>
        <v>VULN-03</v>
      </c>
      <c r="B261" s="242" t="str">
        <f>VLOOKUP(A261,'HECVAT - Full'!A$24:B$312,2,FALSE)</f>
        <v>Are your applications scanned for vulnerabilities prior to new releases?</v>
      </c>
      <c r="C261" s="275" t="s">
        <v>3049</v>
      </c>
      <c r="D261" s="248" t="s">
        <v>2972</v>
      </c>
      <c r="E261" s="13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6"/>
      <c r="AN261" s="136"/>
      <c r="AO261" s="136"/>
      <c r="AP261" s="136"/>
      <c r="AQ261" s="136"/>
      <c r="AR261" s="136"/>
      <c r="AS261" s="136"/>
      <c r="AT261" s="136"/>
      <c r="AU261" s="136"/>
      <c r="AV261" s="136"/>
      <c r="AW261" s="136"/>
      <c r="AX261" s="136"/>
      <c r="AY261" s="136"/>
      <c r="AZ261" s="136"/>
      <c r="BA261" s="136"/>
      <c r="BB261" s="136"/>
      <c r="BC261" s="136"/>
      <c r="BD261" s="136"/>
      <c r="BE261" s="136"/>
      <c r="BF261" s="136"/>
      <c r="BG261" s="136"/>
      <c r="BH261" s="136"/>
      <c r="BI261" s="136"/>
      <c r="BJ261" s="136"/>
      <c r="BK261" s="136"/>
      <c r="BL261" s="136"/>
      <c r="BM261" s="136"/>
      <c r="BN261" s="136"/>
      <c r="BO261" s="136"/>
      <c r="BP261" s="136"/>
      <c r="BQ261" s="136"/>
      <c r="BR261" s="136"/>
      <c r="BS261" s="136"/>
      <c r="BT261" s="136"/>
      <c r="BU261" s="136"/>
      <c r="BV261" s="136"/>
      <c r="BW261" s="136"/>
      <c r="BX261" s="136"/>
      <c r="BY261" s="136"/>
      <c r="BZ261" s="136"/>
      <c r="CA261" s="136"/>
      <c r="CB261" s="136"/>
      <c r="CC261" s="136"/>
      <c r="CD261" s="136"/>
      <c r="CE261" s="136"/>
      <c r="CF261" s="136"/>
      <c r="CG261" s="136"/>
      <c r="CH261" s="136"/>
      <c r="CI261" s="136"/>
      <c r="CJ261" s="136"/>
      <c r="CK261" s="136"/>
      <c r="CL261" s="136"/>
      <c r="CM261" s="136"/>
      <c r="CN261" s="136"/>
      <c r="CO261" s="136"/>
      <c r="CP261" s="136"/>
      <c r="CQ261" s="136"/>
      <c r="CR261" s="136"/>
      <c r="CS261" s="136"/>
      <c r="CT261" s="136"/>
      <c r="CU261" s="136"/>
      <c r="CV261" s="136"/>
      <c r="CW261" s="136"/>
      <c r="CX261" s="136"/>
      <c r="CY261" s="136"/>
      <c r="CZ261" s="136"/>
      <c r="DA261" s="136"/>
      <c r="DB261" s="136"/>
      <c r="DC261" s="136"/>
      <c r="DD261" s="136"/>
      <c r="DE261" s="136"/>
      <c r="DF261" s="136"/>
      <c r="DG261" s="136"/>
      <c r="DH261" s="136"/>
      <c r="DI261" s="136"/>
      <c r="DJ261" s="136"/>
      <c r="DK261" s="136"/>
      <c r="DL261" s="136"/>
      <c r="DM261" s="136"/>
      <c r="DN261" s="136"/>
      <c r="DO261" s="136"/>
      <c r="DP261" s="136"/>
      <c r="DQ261" s="136"/>
      <c r="DR261" s="136"/>
      <c r="DS261" s="136"/>
      <c r="DT261" s="136"/>
      <c r="DU261" s="136"/>
      <c r="DV261" s="136"/>
      <c r="DW261" s="136"/>
      <c r="DX261" s="136"/>
      <c r="DY261" s="136"/>
      <c r="DZ261" s="136"/>
      <c r="EA261" s="136"/>
      <c r="EB261" s="136"/>
      <c r="EC261" s="136"/>
      <c r="ED261" s="136"/>
      <c r="EE261" s="136"/>
      <c r="EF261" s="136"/>
      <c r="EG261" s="136"/>
      <c r="EH261" s="136"/>
      <c r="EI261" s="136"/>
      <c r="EJ261" s="136"/>
      <c r="EK261" s="136"/>
      <c r="EL261" s="136"/>
      <c r="EM261" s="136"/>
      <c r="EN261" s="136"/>
      <c r="EO261" s="136"/>
      <c r="EP261" s="136"/>
      <c r="EQ261" s="136"/>
      <c r="ER261" s="136"/>
      <c r="ES261" s="136"/>
      <c r="ET261" s="136"/>
      <c r="EU261" s="136"/>
      <c r="EV261" s="136"/>
      <c r="EW261" s="136"/>
      <c r="EX261" s="136"/>
      <c r="EY261" s="136"/>
      <c r="EZ261" s="136"/>
      <c r="FA261" s="136"/>
      <c r="FB261" s="136"/>
      <c r="FC261" s="136"/>
      <c r="FD261" s="136"/>
      <c r="FE261" s="136"/>
      <c r="FF261" s="136"/>
      <c r="FG261" s="136"/>
      <c r="FH261" s="136"/>
      <c r="FI261" s="136"/>
      <c r="FJ261" s="136"/>
      <c r="FK261" s="136"/>
      <c r="FL261" s="136"/>
      <c r="FM261" s="136"/>
      <c r="FN261" s="136"/>
      <c r="FO261" s="136"/>
      <c r="FP261" s="136"/>
      <c r="FQ261" s="136"/>
      <c r="FR261" s="136"/>
      <c r="FS261" s="136"/>
      <c r="FT261" s="136"/>
      <c r="FU261" s="136"/>
      <c r="FV261" s="136"/>
      <c r="FW261" s="136"/>
      <c r="FX261" s="136"/>
      <c r="FY261" s="136"/>
      <c r="FZ261" s="136"/>
      <c r="GA261" s="136"/>
      <c r="GB261" s="136"/>
      <c r="GC261" s="136"/>
      <c r="GD261" s="136"/>
      <c r="GE261" s="136"/>
      <c r="GF261" s="136"/>
      <c r="GG261" s="136"/>
      <c r="GH261" s="136"/>
      <c r="GI261" s="136"/>
      <c r="GJ261" s="136"/>
      <c r="GK261" s="136"/>
      <c r="GL261" s="136"/>
      <c r="GM261" s="136"/>
      <c r="GN261" s="136"/>
      <c r="GO261" s="136"/>
      <c r="GP261" s="136"/>
      <c r="GQ261" s="136"/>
      <c r="GR261" s="136"/>
      <c r="GS261" s="136"/>
      <c r="GT261" s="136"/>
      <c r="GU261" s="136"/>
      <c r="GV261" s="136"/>
      <c r="GW261" s="136"/>
      <c r="GX261" s="136"/>
      <c r="GY261" s="136"/>
      <c r="GZ261" s="136"/>
      <c r="HA261" s="136"/>
      <c r="HB261" s="136"/>
      <c r="HC261" s="136"/>
      <c r="HD261" s="136"/>
      <c r="HE261" s="136"/>
      <c r="HF261" s="136"/>
      <c r="HG261" s="136"/>
      <c r="HH261" s="136"/>
      <c r="HI261" s="136"/>
      <c r="HJ261" s="136"/>
      <c r="HK261" s="136"/>
      <c r="HL261" s="136"/>
      <c r="HM261" s="136"/>
      <c r="HN261" s="136"/>
      <c r="HO261" s="136"/>
      <c r="HP261" s="136"/>
      <c r="HQ261" s="136"/>
      <c r="HR261" s="136"/>
      <c r="HS261" s="136"/>
      <c r="HT261" s="136"/>
      <c r="HU261" s="136"/>
      <c r="HV261" s="136"/>
      <c r="HW261" s="136"/>
      <c r="HX261" s="136"/>
      <c r="HY261" s="136"/>
      <c r="HZ261" s="136"/>
      <c r="IA261" s="136"/>
      <c r="IB261" s="136"/>
      <c r="IC261" s="136"/>
      <c r="ID261" s="136"/>
      <c r="IE261" s="136"/>
      <c r="IF261" s="136"/>
      <c r="IG261" s="136"/>
      <c r="IH261" s="136"/>
      <c r="II261" s="136"/>
      <c r="IJ261" s="136"/>
      <c r="IK261" s="136"/>
      <c r="IL261" s="136"/>
      <c r="IM261" s="136"/>
      <c r="IN261" s="136"/>
      <c r="IO261" s="136"/>
      <c r="IP261" s="136"/>
      <c r="IQ261" s="136"/>
      <c r="IR261" s="136"/>
      <c r="IS261" s="136"/>
      <c r="IT261" s="136"/>
      <c r="IU261" s="136"/>
    </row>
    <row r="262" spans="1:255" ht="128.25" x14ac:dyDescent="0.2">
      <c r="A262" s="242" t="str">
        <f>'HECVAT - Full'!A262</f>
        <v>VULN-04</v>
      </c>
      <c r="B262" s="242" t="str">
        <f>VLOOKUP(A262,'HECVAT - Full'!A$24:B$312,2,FALSE)</f>
        <v>Are your systems scanned externally for vulnerabilities?</v>
      </c>
      <c r="C262" s="275" t="s">
        <v>3050</v>
      </c>
      <c r="D262" s="278" t="s">
        <v>3045</v>
      </c>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36"/>
      <c r="AY262" s="136"/>
      <c r="AZ262" s="136"/>
      <c r="BA262" s="136"/>
      <c r="BB262" s="136"/>
      <c r="BC262" s="136"/>
      <c r="BD262" s="136"/>
      <c r="BE262" s="136"/>
      <c r="BF262" s="136"/>
      <c r="BG262" s="136"/>
      <c r="BH262" s="136"/>
      <c r="BI262" s="136"/>
      <c r="BJ262" s="136"/>
      <c r="BK262" s="136"/>
      <c r="BL262" s="136"/>
      <c r="BM262" s="136"/>
      <c r="BN262" s="136"/>
      <c r="BO262" s="136"/>
      <c r="BP262" s="136"/>
      <c r="BQ262" s="136"/>
      <c r="BR262" s="136"/>
      <c r="BS262" s="136"/>
      <c r="BT262" s="136"/>
      <c r="BU262" s="136"/>
      <c r="BV262" s="136"/>
      <c r="BW262" s="136"/>
      <c r="BX262" s="136"/>
      <c r="BY262" s="136"/>
      <c r="BZ262" s="136"/>
      <c r="CA262" s="136"/>
      <c r="CB262" s="136"/>
      <c r="CC262" s="136"/>
      <c r="CD262" s="136"/>
      <c r="CE262" s="136"/>
      <c r="CF262" s="136"/>
      <c r="CG262" s="136"/>
      <c r="CH262" s="136"/>
      <c r="CI262" s="136"/>
      <c r="CJ262" s="136"/>
      <c r="CK262" s="136"/>
      <c r="CL262" s="136"/>
      <c r="CM262" s="136"/>
      <c r="CN262" s="136"/>
      <c r="CO262" s="136"/>
      <c r="CP262" s="136"/>
      <c r="CQ262" s="136"/>
      <c r="CR262" s="136"/>
      <c r="CS262" s="136"/>
      <c r="CT262" s="136"/>
      <c r="CU262" s="136"/>
      <c r="CV262" s="136"/>
      <c r="CW262" s="136"/>
      <c r="CX262" s="136"/>
      <c r="CY262" s="136"/>
      <c r="CZ262" s="136"/>
      <c r="DA262" s="136"/>
      <c r="DB262" s="136"/>
      <c r="DC262" s="136"/>
      <c r="DD262" s="136"/>
      <c r="DE262" s="136"/>
      <c r="DF262" s="136"/>
      <c r="DG262" s="136"/>
      <c r="DH262" s="136"/>
      <c r="DI262" s="136"/>
      <c r="DJ262" s="136"/>
      <c r="DK262" s="136"/>
      <c r="DL262" s="136"/>
      <c r="DM262" s="136"/>
      <c r="DN262" s="136"/>
      <c r="DO262" s="136"/>
      <c r="DP262" s="136"/>
      <c r="DQ262" s="136"/>
      <c r="DR262" s="136"/>
      <c r="DS262" s="136"/>
      <c r="DT262" s="136"/>
      <c r="DU262" s="136"/>
      <c r="DV262" s="136"/>
      <c r="DW262" s="136"/>
      <c r="DX262" s="136"/>
      <c r="DY262" s="136"/>
      <c r="DZ262" s="136"/>
      <c r="EA262" s="136"/>
      <c r="EB262" s="136"/>
      <c r="EC262" s="136"/>
      <c r="ED262" s="136"/>
      <c r="EE262" s="136"/>
      <c r="EF262" s="136"/>
      <c r="EG262" s="136"/>
      <c r="EH262" s="136"/>
      <c r="EI262" s="136"/>
      <c r="EJ262" s="136"/>
      <c r="EK262" s="136"/>
      <c r="EL262" s="136"/>
      <c r="EM262" s="136"/>
      <c r="EN262" s="136"/>
      <c r="EO262" s="136"/>
      <c r="EP262" s="136"/>
      <c r="EQ262" s="136"/>
      <c r="ER262" s="136"/>
      <c r="ES262" s="136"/>
      <c r="ET262" s="136"/>
      <c r="EU262" s="136"/>
      <c r="EV262" s="136"/>
      <c r="EW262" s="136"/>
      <c r="EX262" s="136"/>
      <c r="EY262" s="136"/>
      <c r="EZ262" s="136"/>
      <c r="FA262" s="136"/>
      <c r="FB262" s="136"/>
      <c r="FC262" s="136"/>
      <c r="FD262" s="136"/>
      <c r="FE262" s="136"/>
      <c r="FF262" s="136"/>
      <c r="FG262" s="136"/>
      <c r="FH262" s="136"/>
      <c r="FI262" s="136"/>
      <c r="FJ262" s="136"/>
      <c r="FK262" s="136"/>
      <c r="FL262" s="136"/>
      <c r="FM262" s="136"/>
      <c r="FN262" s="136"/>
      <c r="FO262" s="136"/>
      <c r="FP262" s="136"/>
      <c r="FQ262" s="136"/>
      <c r="FR262" s="136"/>
      <c r="FS262" s="136"/>
      <c r="FT262" s="136"/>
      <c r="FU262" s="136"/>
      <c r="FV262" s="136"/>
      <c r="FW262" s="136"/>
      <c r="FX262" s="136"/>
      <c r="FY262" s="136"/>
      <c r="FZ262" s="136"/>
      <c r="GA262" s="136"/>
      <c r="GB262" s="136"/>
      <c r="GC262" s="136"/>
      <c r="GD262" s="136"/>
      <c r="GE262" s="136"/>
      <c r="GF262" s="136"/>
      <c r="GG262" s="136"/>
      <c r="GH262" s="136"/>
      <c r="GI262" s="136"/>
      <c r="GJ262" s="136"/>
      <c r="GK262" s="136"/>
      <c r="GL262" s="136"/>
      <c r="GM262" s="136"/>
      <c r="GN262" s="136"/>
      <c r="GO262" s="136"/>
      <c r="GP262" s="136"/>
      <c r="GQ262" s="136"/>
      <c r="GR262" s="136"/>
      <c r="GS262" s="136"/>
      <c r="GT262" s="136"/>
      <c r="GU262" s="136"/>
      <c r="GV262" s="136"/>
      <c r="GW262" s="136"/>
      <c r="GX262" s="136"/>
      <c r="GY262" s="136"/>
      <c r="GZ262" s="136"/>
      <c r="HA262" s="136"/>
      <c r="HB262" s="136"/>
      <c r="HC262" s="136"/>
      <c r="HD262" s="136"/>
      <c r="HE262" s="136"/>
      <c r="HF262" s="136"/>
      <c r="HG262" s="136"/>
      <c r="HH262" s="136"/>
      <c r="HI262" s="136"/>
      <c r="HJ262" s="136"/>
      <c r="HK262" s="136"/>
      <c r="HL262" s="136"/>
      <c r="HM262" s="136"/>
      <c r="HN262" s="136"/>
      <c r="HO262" s="136"/>
      <c r="HP262" s="136"/>
      <c r="HQ262" s="136"/>
      <c r="HR262" s="136"/>
      <c r="HS262" s="136"/>
      <c r="HT262" s="136"/>
      <c r="HU262" s="136"/>
      <c r="HV262" s="136"/>
      <c r="HW262" s="136"/>
      <c r="HX262" s="136"/>
      <c r="HY262" s="136"/>
      <c r="HZ262" s="136"/>
      <c r="IA262" s="136"/>
      <c r="IB262" s="136"/>
      <c r="IC262" s="136"/>
      <c r="ID262" s="136"/>
      <c r="IE262" s="136"/>
      <c r="IF262" s="136"/>
      <c r="IG262" s="136"/>
      <c r="IH262" s="136"/>
      <c r="II262" s="136"/>
      <c r="IJ262" s="136"/>
      <c r="IK262" s="136"/>
      <c r="IL262" s="136"/>
      <c r="IM262" s="136"/>
      <c r="IN262" s="136"/>
      <c r="IO262" s="136"/>
      <c r="IP262" s="136"/>
      <c r="IQ262" s="136"/>
      <c r="IR262" s="136"/>
      <c r="IS262" s="136"/>
      <c r="IT262" s="136"/>
      <c r="IU262" s="136"/>
    </row>
    <row r="263" spans="1:255" ht="128.25" x14ac:dyDescent="0.2">
      <c r="A263" s="242" t="str">
        <f>'HECVAT - Full'!A263</f>
        <v>VULN-05</v>
      </c>
      <c r="B263" s="242" t="str">
        <f>VLOOKUP(A263,'HECVAT - Full'!A$24:B$312,2,FALSE)</f>
        <v>Have your systems had an external vulnerability assessment in the last year?</v>
      </c>
      <c r="C263" s="275" t="s">
        <v>3050</v>
      </c>
      <c r="D263" s="278" t="s">
        <v>3045</v>
      </c>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6"/>
      <c r="AN263" s="136"/>
      <c r="AO263" s="136"/>
      <c r="AP263" s="136"/>
      <c r="AQ263" s="136"/>
      <c r="AR263" s="136"/>
      <c r="AS263" s="136"/>
      <c r="AT263" s="136"/>
      <c r="AU263" s="136"/>
      <c r="AV263" s="136"/>
      <c r="AW263" s="136"/>
      <c r="AX263" s="136"/>
      <c r="AY263" s="136"/>
      <c r="AZ263" s="136"/>
      <c r="BA263" s="136"/>
      <c r="BB263" s="136"/>
      <c r="BC263" s="136"/>
      <c r="BD263" s="136"/>
      <c r="BE263" s="136"/>
      <c r="BF263" s="136"/>
      <c r="BG263" s="136"/>
      <c r="BH263" s="136"/>
      <c r="BI263" s="136"/>
      <c r="BJ263" s="136"/>
      <c r="BK263" s="136"/>
      <c r="BL263" s="136"/>
      <c r="BM263" s="136"/>
      <c r="BN263" s="136"/>
      <c r="BO263" s="136"/>
      <c r="BP263" s="136"/>
      <c r="BQ263" s="136"/>
      <c r="BR263" s="136"/>
      <c r="BS263" s="136"/>
      <c r="BT263" s="136"/>
      <c r="BU263" s="136"/>
      <c r="BV263" s="136"/>
      <c r="BW263" s="136"/>
      <c r="BX263" s="136"/>
      <c r="BY263" s="136"/>
      <c r="BZ263" s="136"/>
      <c r="CA263" s="136"/>
      <c r="CB263" s="136"/>
      <c r="CC263" s="136"/>
      <c r="CD263" s="136"/>
      <c r="CE263" s="136"/>
      <c r="CF263" s="136"/>
      <c r="CG263" s="136"/>
      <c r="CH263" s="136"/>
      <c r="CI263" s="136"/>
      <c r="CJ263" s="136"/>
      <c r="CK263" s="136"/>
      <c r="CL263" s="136"/>
      <c r="CM263" s="136"/>
      <c r="CN263" s="136"/>
      <c r="CO263" s="136"/>
      <c r="CP263" s="136"/>
      <c r="CQ263" s="136"/>
      <c r="CR263" s="136"/>
      <c r="CS263" s="136"/>
      <c r="CT263" s="136"/>
      <c r="CU263" s="136"/>
      <c r="CV263" s="136"/>
      <c r="CW263" s="136"/>
      <c r="CX263" s="136"/>
      <c r="CY263" s="136"/>
      <c r="CZ263" s="136"/>
      <c r="DA263" s="136"/>
      <c r="DB263" s="136"/>
      <c r="DC263" s="136"/>
      <c r="DD263" s="136"/>
      <c r="DE263" s="136"/>
      <c r="DF263" s="136"/>
      <c r="DG263" s="136"/>
      <c r="DH263" s="136"/>
      <c r="DI263" s="136"/>
      <c r="DJ263" s="136"/>
      <c r="DK263" s="136"/>
      <c r="DL263" s="136"/>
      <c r="DM263" s="136"/>
      <c r="DN263" s="136"/>
      <c r="DO263" s="136"/>
      <c r="DP263" s="136"/>
      <c r="DQ263" s="136"/>
      <c r="DR263" s="136"/>
      <c r="DS263" s="136"/>
      <c r="DT263" s="136"/>
      <c r="DU263" s="136"/>
      <c r="DV263" s="136"/>
      <c r="DW263" s="136"/>
      <c r="DX263" s="136"/>
      <c r="DY263" s="136"/>
      <c r="DZ263" s="136"/>
      <c r="EA263" s="136"/>
      <c r="EB263" s="136"/>
      <c r="EC263" s="136"/>
      <c r="ED263" s="136"/>
      <c r="EE263" s="136"/>
      <c r="EF263" s="136"/>
      <c r="EG263" s="136"/>
      <c r="EH263" s="136"/>
      <c r="EI263" s="136"/>
      <c r="EJ263" s="136"/>
      <c r="EK263" s="136"/>
      <c r="EL263" s="136"/>
      <c r="EM263" s="136"/>
      <c r="EN263" s="136"/>
      <c r="EO263" s="136"/>
      <c r="EP263" s="136"/>
      <c r="EQ263" s="136"/>
      <c r="ER263" s="136"/>
      <c r="ES263" s="136"/>
      <c r="ET263" s="136"/>
      <c r="EU263" s="136"/>
      <c r="EV263" s="136"/>
      <c r="EW263" s="136"/>
      <c r="EX263" s="136"/>
      <c r="EY263" s="136"/>
      <c r="EZ263" s="136"/>
      <c r="FA263" s="136"/>
      <c r="FB263" s="136"/>
      <c r="FC263" s="136"/>
      <c r="FD263" s="136"/>
      <c r="FE263" s="136"/>
      <c r="FF263" s="136"/>
      <c r="FG263" s="136"/>
      <c r="FH263" s="136"/>
      <c r="FI263" s="136"/>
      <c r="FJ263" s="136"/>
      <c r="FK263" s="136"/>
      <c r="FL263" s="136"/>
      <c r="FM263" s="136"/>
      <c r="FN263" s="136"/>
      <c r="FO263" s="136"/>
      <c r="FP263" s="136"/>
      <c r="FQ263" s="136"/>
      <c r="FR263" s="136"/>
      <c r="FS263" s="136"/>
      <c r="FT263" s="136"/>
      <c r="FU263" s="136"/>
      <c r="FV263" s="136"/>
      <c r="FW263" s="136"/>
      <c r="FX263" s="136"/>
      <c r="FY263" s="136"/>
      <c r="FZ263" s="136"/>
      <c r="GA263" s="136"/>
      <c r="GB263" s="136"/>
      <c r="GC263" s="136"/>
      <c r="GD263" s="136"/>
      <c r="GE263" s="136"/>
      <c r="GF263" s="136"/>
      <c r="GG263" s="136"/>
      <c r="GH263" s="136"/>
      <c r="GI263" s="136"/>
      <c r="GJ263" s="136"/>
      <c r="GK263" s="136"/>
      <c r="GL263" s="136"/>
      <c r="GM263" s="136"/>
      <c r="GN263" s="136"/>
      <c r="GO263" s="136"/>
      <c r="GP263" s="136"/>
      <c r="GQ263" s="136"/>
      <c r="GR263" s="136"/>
      <c r="GS263" s="136"/>
      <c r="GT263" s="136"/>
      <c r="GU263" s="136"/>
      <c r="GV263" s="136"/>
      <c r="GW263" s="136"/>
      <c r="GX263" s="136"/>
      <c r="GY263" s="136"/>
      <c r="GZ263" s="136"/>
      <c r="HA263" s="136"/>
      <c r="HB263" s="136"/>
      <c r="HC263" s="136"/>
      <c r="HD263" s="136"/>
      <c r="HE263" s="136"/>
      <c r="HF263" s="136"/>
      <c r="HG263" s="136"/>
      <c r="HH263" s="136"/>
      <c r="HI263" s="136"/>
      <c r="HJ263" s="136"/>
      <c r="HK263" s="136"/>
      <c r="HL263" s="136"/>
      <c r="HM263" s="136"/>
      <c r="HN263" s="136"/>
      <c r="HO263" s="136"/>
      <c r="HP263" s="136"/>
      <c r="HQ263" s="136"/>
      <c r="HR263" s="136"/>
      <c r="HS263" s="136"/>
      <c r="HT263" s="136"/>
      <c r="HU263" s="136"/>
      <c r="HV263" s="136"/>
      <c r="HW263" s="136"/>
      <c r="HX263" s="136"/>
      <c r="HY263" s="136"/>
      <c r="HZ263" s="136"/>
      <c r="IA263" s="136"/>
      <c r="IB263" s="136"/>
      <c r="IC263" s="136"/>
      <c r="ID263" s="136"/>
      <c r="IE263" s="136"/>
      <c r="IF263" s="136"/>
      <c r="IG263" s="136"/>
      <c r="IH263" s="136"/>
      <c r="II263" s="136"/>
      <c r="IJ263" s="136"/>
      <c r="IK263" s="136"/>
      <c r="IL263" s="136"/>
      <c r="IM263" s="136"/>
      <c r="IN263" s="136"/>
      <c r="IO263" s="136"/>
      <c r="IP263" s="136"/>
      <c r="IQ263" s="136"/>
      <c r="IR263" s="136"/>
      <c r="IS263" s="136"/>
      <c r="IT263" s="136"/>
      <c r="IU263" s="136"/>
    </row>
    <row r="264" spans="1:255" ht="99.75" x14ac:dyDescent="0.2">
      <c r="A264" s="242" t="str">
        <f>'HECVAT - Full'!A264</f>
        <v>VULN-06</v>
      </c>
      <c r="B264" s="242" t="str">
        <f>VLOOKUP(A264,'HECVAT - Full'!A$24:B$312,2,FALSE)</f>
        <v>Describe or provide a reference to the tool(s) used to scan for vulnerabilities in your applications and systems.</v>
      </c>
      <c r="C264" s="243" t="s">
        <v>2973</v>
      </c>
      <c r="D264" s="271" t="s">
        <v>3051</v>
      </c>
      <c r="E264" s="13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6"/>
      <c r="AN264" s="136"/>
      <c r="AO264" s="136"/>
      <c r="AP264" s="136"/>
      <c r="AQ264" s="136"/>
      <c r="AR264" s="136"/>
      <c r="AS264" s="136"/>
      <c r="AT264" s="136"/>
      <c r="AU264" s="136"/>
      <c r="AV264" s="136"/>
      <c r="AW264" s="136"/>
      <c r="AX264" s="136"/>
      <c r="AY264" s="136"/>
      <c r="AZ264" s="136"/>
      <c r="BA264" s="136"/>
      <c r="BB264" s="136"/>
      <c r="BC264" s="136"/>
      <c r="BD264" s="136"/>
      <c r="BE264" s="136"/>
      <c r="BF264" s="136"/>
      <c r="BG264" s="136"/>
      <c r="BH264" s="136"/>
      <c r="BI264" s="136"/>
      <c r="BJ264" s="136"/>
      <c r="BK264" s="136"/>
      <c r="BL264" s="136"/>
      <c r="BM264" s="136"/>
      <c r="BN264" s="136"/>
      <c r="BO264" s="136"/>
      <c r="BP264" s="136"/>
      <c r="BQ264" s="136"/>
      <c r="BR264" s="136"/>
      <c r="BS264" s="136"/>
      <c r="BT264" s="136"/>
      <c r="BU264" s="136"/>
      <c r="BV264" s="136"/>
      <c r="BW264" s="136"/>
      <c r="BX264" s="136"/>
      <c r="BY264" s="136"/>
      <c r="BZ264" s="136"/>
      <c r="CA264" s="136"/>
      <c r="CB264" s="136"/>
      <c r="CC264" s="136"/>
      <c r="CD264" s="136"/>
      <c r="CE264" s="136"/>
      <c r="CF264" s="136"/>
      <c r="CG264" s="136"/>
      <c r="CH264" s="136"/>
      <c r="CI264" s="136"/>
      <c r="CJ264" s="136"/>
      <c r="CK264" s="136"/>
      <c r="CL264" s="136"/>
      <c r="CM264" s="136"/>
      <c r="CN264" s="136"/>
      <c r="CO264" s="136"/>
      <c r="CP264" s="136"/>
      <c r="CQ264" s="136"/>
      <c r="CR264" s="136"/>
      <c r="CS264" s="136"/>
      <c r="CT264" s="136"/>
      <c r="CU264" s="136"/>
      <c r="CV264" s="136"/>
      <c r="CW264" s="136"/>
      <c r="CX264" s="136"/>
      <c r="CY264" s="136"/>
      <c r="CZ264" s="136"/>
      <c r="DA264" s="136"/>
      <c r="DB264" s="136"/>
      <c r="DC264" s="136"/>
      <c r="DD264" s="136"/>
      <c r="DE264" s="136"/>
      <c r="DF264" s="136"/>
      <c r="DG264" s="136"/>
      <c r="DH264" s="136"/>
      <c r="DI264" s="136"/>
      <c r="DJ264" s="136"/>
      <c r="DK264" s="136"/>
      <c r="DL264" s="136"/>
      <c r="DM264" s="136"/>
      <c r="DN264" s="136"/>
      <c r="DO264" s="136"/>
      <c r="DP264" s="136"/>
      <c r="DQ264" s="136"/>
      <c r="DR264" s="136"/>
      <c r="DS264" s="136"/>
      <c r="DT264" s="136"/>
      <c r="DU264" s="136"/>
      <c r="DV264" s="136"/>
      <c r="DW264" s="136"/>
      <c r="DX264" s="136"/>
      <c r="DY264" s="136"/>
      <c r="DZ264" s="136"/>
      <c r="EA264" s="136"/>
      <c r="EB264" s="136"/>
      <c r="EC264" s="136"/>
      <c r="ED264" s="136"/>
      <c r="EE264" s="136"/>
      <c r="EF264" s="136"/>
      <c r="EG264" s="136"/>
      <c r="EH264" s="136"/>
      <c r="EI264" s="136"/>
      <c r="EJ264" s="136"/>
      <c r="EK264" s="136"/>
      <c r="EL264" s="136"/>
      <c r="EM264" s="136"/>
      <c r="EN264" s="136"/>
      <c r="EO264" s="136"/>
      <c r="EP264" s="136"/>
      <c r="EQ264" s="136"/>
      <c r="ER264" s="136"/>
      <c r="ES264" s="136"/>
      <c r="ET264" s="136"/>
      <c r="EU264" s="136"/>
      <c r="EV264" s="136"/>
      <c r="EW264" s="136"/>
      <c r="EX264" s="136"/>
      <c r="EY264" s="136"/>
      <c r="EZ264" s="136"/>
      <c r="FA264" s="136"/>
      <c r="FB264" s="136"/>
      <c r="FC264" s="136"/>
      <c r="FD264" s="136"/>
      <c r="FE264" s="136"/>
      <c r="FF264" s="136"/>
      <c r="FG264" s="136"/>
      <c r="FH264" s="136"/>
      <c r="FI264" s="136"/>
      <c r="FJ264" s="136"/>
      <c r="FK264" s="136"/>
      <c r="FL264" s="136"/>
      <c r="FM264" s="136"/>
      <c r="FN264" s="136"/>
      <c r="FO264" s="136"/>
      <c r="FP264" s="136"/>
      <c r="FQ264" s="136"/>
      <c r="FR264" s="136"/>
      <c r="FS264" s="136"/>
      <c r="FT264" s="136"/>
      <c r="FU264" s="136"/>
      <c r="FV264" s="136"/>
      <c r="FW264" s="136"/>
      <c r="FX264" s="136"/>
      <c r="FY264" s="136"/>
      <c r="FZ264" s="136"/>
      <c r="GA264" s="136"/>
      <c r="GB264" s="136"/>
      <c r="GC264" s="136"/>
      <c r="GD264" s="136"/>
      <c r="GE264" s="136"/>
      <c r="GF264" s="136"/>
      <c r="GG264" s="136"/>
      <c r="GH264" s="136"/>
      <c r="GI264" s="136"/>
      <c r="GJ264" s="136"/>
      <c r="GK264" s="136"/>
      <c r="GL264" s="136"/>
      <c r="GM264" s="136"/>
      <c r="GN264" s="136"/>
      <c r="GO264" s="136"/>
      <c r="GP264" s="136"/>
      <c r="GQ264" s="136"/>
      <c r="GR264" s="136"/>
      <c r="GS264" s="136"/>
      <c r="GT264" s="136"/>
      <c r="GU264" s="136"/>
      <c r="GV264" s="136"/>
      <c r="GW264" s="136"/>
      <c r="GX264" s="136"/>
      <c r="GY264" s="136"/>
      <c r="GZ264" s="136"/>
      <c r="HA264" s="136"/>
      <c r="HB264" s="136"/>
      <c r="HC264" s="136"/>
      <c r="HD264" s="136"/>
      <c r="HE264" s="136"/>
      <c r="HF264" s="136"/>
      <c r="HG264" s="136"/>
      <c r="HH264" s="136"/>
      <c r="HI264" s="136"/>
      <c r="HJ264" s="136"/>
      <c r="HK264" s="136"/>
      <c r="HL264" s="136"/>
      <c r="HM264" s="136"/>
      <c r="HN264" s="136"/>
      <c r="HO264" s="136"/>
      <c r="HP264" s="136"/>
      <c r="HQ264" s="136"/>
      <c r="HR264" s="136"/>
      <c r="HS264" s="136"/>
      <c r="HT264" s="136"/>
      <c r="HU264" s="136"/>
      <c r="HV264" s="136"/>
      <c r="HW264" s="136"/>
      <c r="HX264" s="136"/>
      <c r="HY264" s="136"/>
      <c r="HZ264" s="136"/>
      <c r="IA264" s="136"/>
      <c r="IB264" s="136"/>
      <c r="IC264" s="136"/>
      <c r="ID264" s="136"/>
      <c r="IE264" s="136"/>
      <c r="IF264" s="136"/>
      <c r="IG264" s="136"/>
      <c r="IH264" s="136"/>
      <c r="II264" s="136"/>
      <c r="IJ264" s="136"/>
      <c r="IK264" s="136"/>
      <c r="IL264" s="136"/>
      <c r="IM264" s="136"/>
      <c r="IN264" s="136"/>
      <c r="IO264" s="136"/>
      <c r="IP264" s="136"/>
      <c r="IQ264" s="136"/>
      <c r="IR264" s="136"/>
      <c r="IS264" s="136"/>
      <c r="IT264" s="136"/>
      <c r="IU264" s="136"/>
    </row>
    <row r="265" spans="1:255" ht="71.25" x14ac:dyDescent="0.2">
      <c r="A265" s="242" t="str">
        <f>'HECVAT - Full'!A265</f>
        <v>VULN-07</v>
      </c>
      <c r="B265" s="242" t="str">
        <f>VLOOKUP(A265,'HECVAT - Full'!A$24:B$312,2,FALSE)</f>
        <v>Will you provide results of security scans to the Institution?</v>
      </c>
      <c r="C265" s="271" t="s">
        <v>3052</v>
      </c>
      <c r="D265" s="253" t="s">
        <v>2974</v>
      </c>
      <c r="E265" s="13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6"/>
      <c r="AN265" s="136"/>
      <c r="AO265" s="136"/>
      <c r="AP265" s="136"/>
      <c r="AQ265" s="136"/>
      <c r="AR265" s="136"/>
      <c r="AS265" s="136"/>
      <c r="AT265" s="136"/>
      <c r="AU265" s="136"/>
      <c r="AV265" s="136"/>
      <c r="AW265" s="136"/>
      <c r="AX265" s="136"/>
      <c r="AY265" s="136"/>
      <c r="AZ265" s="136"/>
      <c r="BA265" s="136"/>
      <c r="BB265" s="136"/>
      <c r="BC265" s="136"/>
      <c r="BD265" s="136"/>
      <c r="BE265" s="136"/>
      <c r="BF265" s="136"/>
      <c r="BG265" s="136"/>
      <c r="BH265" s="136"/>
      <c r="BI265" s="136"/>
      <c r="BJ265" s="136"/>
      <c r="BK265" s="136"/>
      <c r="BL265" s="136"/>
      <c r="BM265" s="136"/>
      <c r="BN265" s="136"/>
      <c r="BO265" s="136"/>
      <c r="BP265" s="136"/>
      <c r="BQ265" s="136"/>
      <c r="BR265" s="136"/>
      <c r="BS265" s="136"/>
      <c r="BT265" s="136"/>
      <c r="BU265" s="136"/>
      <c r="BV265" s="136"/>
      <c r="BW265" s="136"/>
      <c r="BX265" s="136"/>
      <c r="BY265" s="136"/>
      <c r="BZ265" s="136"/>
      <c r="CA265" s="136"/>
      <c r="CB265" s="136"/>
      <c r="CC265" s="136"/>
      <c r="CD265" s="136"/>
      <c r="CE265" s="136"/>
      <c r="CF265" s="136"/>
      <c r="CG265" s="136"/>
      <c r="CH265" s="136"/>
      <c r="CI265" s="136"/>
      <c r="CJ265" s="136"/>
      <c r="CK265" s="136"/>
      <c r="CL265" s="136"/>
      <c r="CM265" s="136"/>
      <c r="CN265" s="136"/>
      <c r="CO265" s="136"/>
      <c r="CP265" s="136"/>
      <c r="CQ265" s="136"/>
      <c r="CR265" s="136"/>
      <c r="CS265" s="136"/>
      <c r="CT265" s="136"/>
      <c r="CU265" s="136"/>
      <c r="CV265" s="136"/>
      <c r="CW265" s="136"/>
      <c r="CX265" s="136"/>
      <c r="CY265" s="136"/>
      <c r="CZ265" s="136"/>
      <c r="DA265" s="136"/>
      <c r="DB265" s="136"/>
      <c r="DC265" s="136"/>
      <c r="DD265" s="136"/>
      <c r="DE265" s="136"/>
      <c r="DF265" s="136"/>
      <c r="DG265" s="136"/>
      <c r="DH265" s="136"/>
      <c r="DI265" s="136"/>
      <c r="DJ265" s="136"/>
      <c r="DK265" s="136"/>
      <c r="DL265" s="136"/>
      <c r="DM265" s="136"/>
      <c r="DN265" s="136"/>
      <c r="DO265" s="136"/>
      <c r="DP265" s="136"/>
      <c r="DQ265" s="136"/>
      <c r="DR265" s="136"/>
      <c r="DS265" s="136"/>
      <c r="DT265" s="136"/>
      <c r="DU265" s="136"/>
      <c r="DV265" s="136"/>
      <c r="DW265" s="136"/>
      <c r="DX265" s="136"/>
      <c r="DY265" s="136"/>
      <c r="DZ265" s="136"/>
      <c r="EA265" s="136"/>
      <c r="EB265" s="136"/>
      <c r="EC265" s="136"/>
      <c r="ED265" s="136"/>
      <c r="EE265" s="136"/>
      <c r="EF265" s="136"/>
      <c r="EG265" s="136"/>
      <c r="EH265" s="136"/>
      <c r="EI265" s="136"/>
      <c r="EJ265" s="136"/>
      <c r="EK265" s="136"/>
      <c r="EL265" s="136"/>
      <c r="EM265" s="136"/>
      <c r="EN265" s="136"/>
      <c r="EO265" s="136"/>
      <c r="EP265" s="136"/>
      <c r="EQ265" s="136"/>
      <c r="ER265" s="136"/>
      <c r="ES265" s="136"/>
      <c r="ET265" s="136"/>
      <c r="EU265" s="136"/>
      <c r="EV265" s="136"/>
      <c r="EW265" s="136"/>
      <c r="EX265" s="136"/>
      <c r="EY265" s="136"/>
      <c r="EZ265" s="136"/>
      <c r="FA265" s="136"/>
      <c r="FB265" s="136"/>
      <c r="FC265" s="136"/>
      <c r="FD265" s="136"/>
      <c r="FE265" s="136"/>
      <c r="FF265" s="136"/>
      <c r="FG265" s="136"/>
      <c r="FH265" s="136"/>
      <c r="FI265" s="136"/>
      <c r="FJ265" s="136"/>
      <c r="FK265" s="136"/>
      <c r="FL265" s="136"/>
      <c r="FM265" s="136"/>
      <c r="FN265" s="136"/>
      <c r="FO265" s="136"/>
      <c r="FP265" s="136"/>
      <c r="FQ265" s="136"/>
      <c r="FR265" s="136"/>
      <c r="FS265" s="136"/>
      <c r="FT265" s="136"/>
      <c r="FU265" s="136"/>
      <c r="FV265" s="136"/>
      <c r="FW265" s="136"/>
      <c r="FX265" s="136"/>
      <c r="FY265" s="136"/>
      <c r="FZ265" s="136"/>
      <c r="GA265" s="136"/>
      <c r="GB265" s="136"/>
      <c r="GC265" s="136"/>
      <c r="GD265" s="136"/>
      <c r="GE265" s="136"/>
      <c r="GF265" s="136"/>
      <c r="GG265" s="136"/>
      <c r="GH265" s="136"/>
      <c r="GI265" s="136"/>
      <c r="GJ265" s="136"/>
      <c r="GK265" s="136"/>
      <c r="GL265" s="136"/>
      <c r="GM265" s="136"/>
      <c r="GN265" s="136"/>
      <c r="GO265" s="136"/>
      <c r="GP265" s="136"/>
      <c r="GQ265" s="136"/>
      <c r="GR265" s="136"/>
      <c r="GS265" s="136"/>
      <c r="GT265" s="136"/>
      <c r="GU265" s="136"/>
      <c r="GV265" s="136"/>
      <c r="GW265" s="136"/>
      <c r="GX265" s="136"/>
      <c r="GY265" s="136"/>
      <c r="GZ265" s="136"/>
      <c r="HA265" s="136"/>
      <c r="HB265" s="136"/>
      <c r="HC265" s="136"/>
      <c r="HD265" s="136"/>
      <c r="HE265" s="136"/>
      <c r="HF265" s="136"/>
      <c r="HG265" s="136"/>
      <c r="HH265" s="136"/>
      <c r="HI265" s="136"/>
      <c r="HJ265" s="136"/>
      <c r="HK265" s="136"/>
      <c r="HL265" s="136"/>
      <c r="HM265" s="136"/>
      <c r="HN265" s="136"/>
      <c r="HO265" s="136"/>
      <c r="HP265" s="136"/>
      <c r="HQ265" s="136"/>
      <c r="HR265" s="136"/>
      <c r="HS265" s="136"/>
      <c r="HT265" s="136"/>
      <c r="HU265" s="136"/>
      <c r="HV265" s="136"/>
      <c r="HW265" s="136"/>
      <c r="HX265" s="136"/>
      <c r="HY265" s="136"/>
      <c r="HZ265" s="136"/>
      <c r="IA265" s="136"/>
      <c r="IB265" s="136"/>
      <c r="IC265" s="136"/>
      <c r="ID265" s="136"/>
      <c r="IE265" s="136"/>
      <c r="IF265" s="136"/>
      <c r="IG265" s="136"/>
      <c r="IH265" s="136"/>
      <c r="II265" s="136"/>
      <c r="IJ265" s="136"/>
      <c r="IK265" s="136"/>
      <c r="IL265" s="136"/>
      <c r="IM265" s="136"/>
      <c r="IN265" s="136"/>
      <c r="IO265" s="136"/>
      <c r="IP265" s="136"/>
      <c r="IQ265" s="136"/>
      <c r="IR265" s="136"/>
      <c r="IS265" s="136"/>
      <c r="IT265" s="136"/>
      <c r="IU265" s="136"/>
    </row>
    <row r="266" spans="1:255" ht="142.5" x14ac:dyDescent="0.2">
      <c r="A266" s="242" t="str">
        <f>'HECVAT - Full'!A266</f>
        <v>VULN-08</v>
      </c>
      <c r="B266" s="242" t="str">
        <f>VLOOKUP(A266,'HECVAT - Full'!A$24:B$312,2,FALSE)</f>
        <v>Describe or provide a reference to how you monitor for and protect against common web application security vulnerabilities (e.g. SQL injection, XSS, XSRF, etc.).</v>
      </c>
      <c r="C266" s="275" t="s">
        <v>3053</v>
      </c>
      <c r="D266" s="248" t="s">
        <v>2975</v>
      </c>
      <c r="E266" s="13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6"/>
      <c r="AN266" s="136"/>
      <c r="AO266" s="136"/>
      <c r="AP266" s="136"/>
      <c r="AQ266" s="136"/>
      <c r="AR266" s="136"/>
      <c r="AS266" s="136"/>
      <c r="AT266" s="136"/>
      <c r="AU266" s="136"/>
      <c r="AV266" s="136"/>
      <c r="AW266" s="136"/>
      <c r="AX266" s="136"/>
      <c r="AY266" s="136"/>
      <c r="AZ266" s="136"/>
      <c r="BA266" s="136"/>
      <c r="BB266" s="136"/>
      <c r="BC266" s="136"/>
      <c r="BD266" s="136"/>
      <c r="BE266" s="136"/>
      <c r="BF266" s="136"/>
      <c r="BG266" s="136"/>
      <c r="BH266" s="136"/>
      <c r="BI266" s="136"/>
      <c r="BJ266" s="136"/>
      <c r="BK266" s="136"/>
      <c r="BL266" s="136"/>
      <c r="BM266" s="136"/>
      <c r="BN266" s="136"/>
      <c r="BO266" s="136"/>
      <c r="BP266" s="136"/>
      <c r="BQ266" s="136"/>
      <c r="BR266" s="136"/>
      <c r="BS266" s="136"/>
      <c r="BT266" s="136"/>
      <c r="BU266" s="136"/>
      <c r="BV266" s="136"/>
      <c r="BW266" s="136"/>
      <c r="BX266" s="136"/>
      <c r="BY266" s="136"/>
      <c r="BZ266" s="136"/>
      <c r="CA266" s="136"/>
      <c r="CB266" s="136"/>
      <c r="CC266" s="136"/>
      <c r="CD266" s="136"/>
      <c r="CE266" s="136"/>
      <c r="CF266" s="136"/>
      <c r="CG266" s="136"/>
      <c r="CH266" s="136"/>
      <c r="CI266" s="136"/>
      <c r="CJ266" s="136"/>
      <c r="CK266" s="136"/>
      <c r="CL266" s="136"/>
      <c r="CM266" s="136"/>
      <c r="CN266" s="136"/>
      <c r="CO266" s="136"/>
      <c r="CP266" s="136"/>
      <c r="CQ266" s="136"/>
      <c r="CR266" s="136"/>
      <c r="CS266" s="136"/>
      <c r="CT266" s="136"/>
      <c r="CU266" s="136"/>
      <c r="CV266" s="136"/>
      <c r="CW266" s="136"/>
      <c r="CX266" s="136"/>
      <c r="CY266" s="136"/>
      <c r="CZ266" s="136"/>
      <c r="DA266" s="136"/>
      <c r="DB266" s="136"/>
      <c r="DC266" s="136"/>
      <c r="DD266" s="136"/>
      <c r="DE266" s="136"/>
      <c r="DF266" s="136"/>
      <c r="DG266" s="136"/>
      <c r="DH266" s="136"/>
      <c r="DI266" s="136"/>
      <c r="DJ266" s="136"/>
      <c r="DK266" s="136"/>
      <c r="DL266" s="136"/>
      <c r="DM266" s="136"/>
      <c r="DN266" s="136"/>
      <c r="DO266" s="136"/>
      <c r="DP266" s="136"/>
      <c r="DQ266" s="136"/>
      <c r="DR266" s="136"/>
      <c r="DS266" s="136"/>
      <c r="DT266" s="136"/>
      <c r="DU266" s="136"/>
      <c r="DV266" s="136"/>
      <c r="DW266" s="136"/>
      <c r="DX266" s="136"/>
      <c r="DY266" s="136"/>
      <c r="DZ266" s="136"/>
      <c r="EA266" s="136"/>
      <c r="EB266" s="136"/>
      <c r="EC266" s="136"/>
      <c r="ED266" s="136"/>
      <c r="EE266" s="136"/>
      <c r="EF266" s="136"/>
      <c r="EG266" s="136"/>
      <c r="EH266" s="136"/>
      <c r="EI266" s="136"/>
      <c r="EJ266" s="136"/>
      <c r="EK266" s="136"/>
      <c r="EL266" s="136"/>
      <c r="EM266" s="136"/>
      <c r="EN266" s="136"/>
      <c r="EO266" s="136"/>
      <c r="EP266" s="136"/>
      <c r="EQ266" s="136"/>
      <c r="ER266" s="136"/>
      <c r="ES266" s="136"/>
      <c r="ET266" s="136"/>
      <c r="EU266" s="136"/>
      <c r="EV266" s="136"/>
      <c r="EW266" s="136"/>
      <c r="EX266" s="136"/>
      <c r="EY266" s="136"/>
      <c r="EZ266" s="136"/>
      <c r="FA266" s="136"/>
      <c r="FB266" s="136"/>
      <c r="FC266" s="136"/>
      <c r="FD266" s="136"/>
      <c r="FE266" s="136"/>
      <c r="FF266" s="136"/>
      <c r="FG266" s="136"/>
      <c r="FH266" s="136"/>
      <c r="FI266" s="136"/>
      <c r="FJ266" s="136"/>
      <c r="FK266" s="136"/>
      <c r="FL266" s="136"/>
      <c r="FM266" s="136"/>
      <c r="FN266" s="136"/>
      <c r="FO266" s="136"/>
      <c r="FP266" s="136"/>
      <c r="FQ266" s="136"/>
      <c r="FR266" s="136"/>
      <c r="FS266" s="136"/>
      <c r="FT266" s="136"/>
      <c r="FU266" s="136"/>
      <c r="FV266" s="136"/>
      <c r="FW266" s="136"/>
      <c r="FX266" s="136"/>
      <c r="FY266" s="136"/>
      <c r="FZ266" s="136"/>
      <c r="GA266" s="136"/>
      <c r="GB266" s="136"/>
      <c r="GC266" s="136"/>
      <c r="GD266" s="136"/>
      <c r="GE266" s="136"/>
      <c r="GF266" s="136"/>
      <c r="GG266" s="136"/>
      <c r="GH266" s="136"/>
      <c r="GI266" s="136"/>
      <c r="GJ266" s="136"/>
      <c r="GK266" s="136"/>
      <c r="GL266" s="136"/>
      <c r="GM266" s="136"/>
      <c r="GN266" s="136"/>
      <c r="GO266" s="136"/>
      <c r="GP266" s="136"/>
      <c r="GQ266" s="136"/>
      <c r="GR266" s="136"/>
      <c r="GS266" s="136"/>
      <c r="GT266" s="136"/>
      <c r="GU266" s="136"/>
      <c r="GV266" s="136"/>
      <c r="GW266" s="136"/>
      <c r="GX266" s="136"/>
      <c r="GY266" s="136"/>
      <c r="GZ266" s="136"/>
      <c r="HA266" s="136"/>
      <c r="HB266" s="136"/>
      <c r="HC266" s="136"/>
      <c r="HD266" s="136"/>
      <c r="HE266" s="136"/>
      <c r="HF266" s="136"/>
      <c r="HG266" s="136"/>
      <c r="HH266" s="136"/>
      <c r="HI266" s="136"/>
      <c r="HJ266" s="136"/>
      <c r="HK266" s="136"/>
      <c r="HL266" s="136"/>
      <c r="HM266" s="136"/>
      <c r="HN266" s="136"/>
      <c r="HO266" s="136"/>
      <c r="HP266" s="136"/>
      <c r="HQ266" s="136"/>
      <c r="HR266" s="136"/>
      <c r="HS266" s="136"/>
      <c r="HT266" s="136"/>
      <c r="HU266" s="136"/>
      <c r="HV266" s="136"/>
      <c r="HW266" s="136"/>
      <c r="HX266" s="136"/>
      <c r="HY266" s="136"/>
      <c r="HZ266" s="136"/>
      <c r="IA266" s="136"/>
      <c r="IB266" s="136"/>
      <c r="IC266" s="136"/>
      <c r="ID266" s="136"/>
      <c r="IE266" s="136"/>
      <c r="IF266" s="136"/>
      <c r="IG266" s="136"/>
      <c r="IH266" s="136"/>
      <c r="II266" s="136"/>
      <c r="IJ266" s="136"/>
      <c r="IK266" s="136"/>
      <c r="IL266" s="136"/>
      <c r="IM266" s="136"/>
      <c r="IN266" s="136"/>
      <c r="IO266" s="136"/>
      <c r="IP266" s="136"/>
      <c r="IQ266" s="136"/>
      <c r="IR266" s="136"/>
      <c r="IS266" s="136"/>
      <c r="IT266" s="136"/>
      <c r="IU266" s="136"/>
    </row>
    <row r="267" spans="1:255" ht="75.75" customHeight="1" x14ac:dyDescent="0.2">
      <c r="A267" s="242" t="str">
        <f>'HECVAT - Full'!A267</f>
        <v>VULN-09</v>
      </c>
      <c r="B267" s="242" t="str">
        <f>VLOOKUP(A267,'HECVAT - Full'!A$24:B$312,2,FALSE)</f>
        <v>Will you allow the institution to perform its own security testing of your systems and/or application provided that testing is performed at a mutually agreed upon time and date?</v>
      </c>
      <c r="C267" s="243" t="s">
        <v>2976</v>
      </c>
      <c r="D267" s="253" t="s">
        <v>2977</v>
      </c>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6"/>
      <c r="AN267" s="136"/>
      <c r="AO267" s="136"/>
      <c r="AP267" s="136"/>
      <c r="AQ267" s="136"/>
      <c r="AR267" s="136"/>
      <c r="AS267" s="136"/>
      <c r="AT267" s="136"/>
      <c r="AU267" s="136"/>
      <c r="AV267" s="136"/>
      <c r="AW267" s="136"/>
      <c r="AX267" s="136"/>
      <c r="AY267" s="136"/>
      <c r="AZ267" s="136"/>
      <c r="BA267" s="136"/>
      <c r="BB267" s="136"/>
      <c r="BC267" s="136"/>
      <c r="BD267" s="136"/>
      <c r="BE267" s="136"/>
      <c r="BF267" s="136"/>
      <c r="BG267" s="136"/>
      <c r="BH267" s="136"/>
      <c r="BI267" s="136"/>
      <c r="BJ267" s="136"/>
      <c r="BK267" s="136"/>
      <c r="BL267" s="136"/>
      <c r="BM267" s="136"/>
      <c r="BN267" s="136"/>
      <c r="BO267" s="136"/>
      <c r="BP267" s="136"/>
      <c r="BQ267" s="136"/>
      <c r="BR267" s="136"/>
      <c r="BS267" s="136"/>
      <c r="BT267" s="136"/>
      <c r="BU267" s="136"/>
      <c r="BV267" s="136"/>
      <c r="BW267" s="136"/>
      <c r="BX267" s="136"/>
      <c r="BY267" s="136"/>
      <c r="BZ267" s="136"/>
      <c r="CA267" s="136"/>
      <c r="CB267" s="136"/>
      <c r="CC267" s="136"/>
      <c r="CD267" s="136"/>
      <c r="CE267" s="136"/>
      <c r="CF267" s="136"/>
      <c r="CG267" s="136"/>
      <c r="CH267" s="136"/>
      <c r="CI267" s="136"/>
      <c r="CJ267" s="136"/>
      <c r="CK267" s="136"/>
      <c r="CL267" s="136"/>
      <c r="CM267" s="136"/>
      <c r="CN267" s="136"/>
      <c r="CO267" s="136"/>
      <c r="CP267" s="136"/>
      <c r="CQ267" s="136"/>
      <c r="CR267" s="136"/>
      <c r="CS267" s="136"/>
      <c r="CT267" s="136"/>
      <c r="CU267" s="136"/>
      <c r="CV267" s="136"/>
      <c r="CW267" s="136"/>
      <c r="CX267" s="136"/>
      <c r="CY267" s="136"/>
      <c r="CZ267" s="136"/>
      <c r="DA267" s="136"/>
      <c r="DB267" s="136"/>
      <c r="DC267" s="136"/>
      <c r="DD267" s="136"/>
      <c r="DE267" s="136"/>
      <c r="DF267" s="136"/>
      <c r="DG267" s="136"/>
      <c r="DH267" s="136"/>
      <c r="DI267" s="136"/>
      <c r="DJ267" s="136"/>
      <c r="DK267" s="136"/>
      <c r="DL267" s="136"/>
      <c r="DM267" s="136"/>
      <c r="DN267" s="136"/>
      <c r="DO267" s="136"/>
      <c r="DP267" s="136"/>
      <c r="DQ267" s="136"/>
      <c r="DR267" s="136"/>
      <c r="DS267" s="136"/>
      <c r="DT267" s="136"/>
      <c r="DU267" s="136"/>
      <c r="DV267" s="136"/>
      <c r="DW267" s="136"/>
      <c r="DX267" s="136"/>
      <c r="DY267" s="136"/>
      <c r="DZ267" s="136"/>
      <c r="EA267" s="136"/>
      <c r="EB267" s="136"/>
      <c r="EC267" s="136"/>
      <c r="ED267" s="136"/>
      <c r="EE267" s="136"/>
      <c r="EF267" s="136"/>
      <c r="EG267" s="136"/>
      <c r="EH267" s="136"/>
      <c r="EI267" s="136"/>
      <c r="EJ267" s="136"/>
      <c r="EK267" s="136"/>
      <c r="EL267" s="136"/>
      <c r="EM267" s="136"/>
      <c r="EN267" s="136"/>
      <c r="EO267" s="136"/>
      <c r="EP267" s="136"/>
      <c r="EQ267" s="136"/>
      <c r="ER267" s="136"/>
      <c r="ES267" s="136"/>
      <c r="ET267" s="136"/>
      <c r="EU267" s="136"/>
      <c r="EV267" s="136"/>
      <c r="EW267" s="136"/>
      <c r="EX267" s="136"/>
      <c r="EY267" s="136"/>
      <c r="EZ267" s="136"/>
      <c r="FA267" s="136"/>
      <c r="FB267" s="136"/>
      <c r="FC267" s="136"/>
      <c r="FD267" s="136"/>
      <c r="FE267" s="136"/>
      <c r="FF267" s="136"/>
      <c r="FG267" s="136"/>
      <c r="FH267" s="136"/>
      <c r="FI267" s="136"/>
      <c r="FJ267" s="136"/>
      <c r="FK267" s="136"/>
      <c r="FL267" s="136"/>
      <c r="FM267" s="136"/>
      <c r="FN267" s="136"/>
      <c r="FO267" s="136"/>
      <c r="FP267" s="136"/>
      <c r="FQ267" s="136"/>
      <c r="FR267" s="136"/>
      <c r="FS267" s="136"/>
      <c r="FT267" s="136"/>
      <c r="FU267" s="136"/>
      <c r="FV267" s="136"/>
      <c r="FW267" s="136"/>
      <c r="FX267" s="136"/>
      <c r="FY267" s="136"/>
      <c r="FZ267" s="136"/>
      <c r="GA267" s="136"/>
      <c r="GB267" s="136"/>
      <c r="GC267" s="136"/>
      <c r="GD267" s="136"/>
      <c r="GE267" s="136"/>
      <c r="GF267" s="136"/>
      <c r="GG267" s="136"/>
      <c r="GH267" s="136"/>
      <c r="GI267" s="136"/>
      <c r="GJ267" s="136"/>
      <c r="GK267" s="136"/>
      <c r="GL267" s="136"/>
      <c r="GM267" s="136"/>
      <c r="GN267" s="136"/>
      <c r="GO267" s="136"/>
      <c r="GP267" s="136"/>
      <c r="GQ267" s="136"/>
      <c r="GR267" s="136"/>
      <c r="GS267" s="136"/>
      <c r="GT267" s="136"/>
      <c r="GU267" s="136"/>
      <c r="GV267" s="136"/>
      <c r="GW267" s="136"/>
      <c r="GX267" s="136"/>
      <c r="GY267" s="136"/>
      <c r="GZ267" s="136"/>
      <c r="HA267" s="136"/>
      <c r="HB267" s="136"/>
      <c r="HC267" s="136"/>
      <c r="HD267" s="136"/>
      <c r="HE267" s="136"/>
      <c r="HF267" s="136"/>
      <c r="HG267" s="136"/>
      <c r="HH267" s="136"/>
      <c r="HI267" s="136"/>
      <c r="HJ267" s="136"/>
      <c r="HK267" s="136"/>
      <c r="HL267" s="136"/>
      <c r="HM267" s="136"/>
      <c r="HN267" s="136"/>
      <c r="HO267" s="136"/>
      <c r="HP267" s="136"/>
      <c r="HQ267" s="136"/>
      <c r="HR267" s="136"/>
      <c r="HS267" s="136"/>
      <c r="HT267" s="136"/>
      <c r="HU267" s="136"/>
      <c r="HV267" s="136"/>
      <c r="HW267" s="136"/>
      <c r="HX267" s="136"/>
      <c r="HY267" s="136"/>
      <c r="HZ267" s="136"/>
      <c r="IA267" s="136"/>
      <c r="IB267" s="136"/>
      <c r="IC267" s="136"/>
      <c r="ID267" s="136"/>
      <c r="IE267" s="136"/>
      <c r="IF267" s="136"/>
      <c r="IG267" s="136"/>
      <c r="IH267" s="136"/>
      <c r="II267" s="136"/>
      <c r="IJ267" s="136"/>
      <c r="IK267" s="136"/>
      <c r="IL267" s="136"/>
      <c r="IM267" s="136"/>
      <c r="IN267" s="136"/>
      <c r="IO267" s="136"/>
      <c r="IP267" s="136"/>
      <c r="IQ267" s="136"/>
      <c r="IR267" s="136"/>
      <c r="IS267" s="136"/>
      <c r="IT267" s="136"/>
      <c r="IU267" s="136"/>
    </row>
    <row r="268" spans="1:255" ht="36" customHeight="1" x14ac:dyDescent="0.2">
      <c r="A268" s="335" t="str">
        <f>IF(OR($C$24="No",$C$30="Yes"),"HIPAA - Optional based on QUALIFIER response.","HIPAA")</f>
        <v>HIPAA</v>
      </c>
      <c r="B268" s="335"/>
      <c r="C268" s="240" t="str">
        <f>$C$22</f>
        <v>Reason for Question</v>
      </c>
      <c r="D268" s="240" t="str">
        <f>$D$22</f>
        <v>Follow-up Inquiries/Responses</v>
      </c>
      <c r="E268" s="13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6"/>
      <c r="AN268" s="136"/>
      <c r="AO268" s="136"/>
      <c r="AP268" s="136"/>
      <c r="AQ268" s="136"/>
      <c r="AR268" s="136"/>
      <c r="AS268" s="136"/>
      <c r="AT268" s="136"/>
      <c r="AU268" s="136"/>
      <c r="AV268" s="136"/>
      <c r="AW268" s="136"/>
      <c r="AX268" s="136"/>
      <c r="AY268" s="136"/>
      <c r="AZ268" s="136"/>
      <c r="BA268" s="136"/>
      <c r="BB268" s="136"/>
      <c r="BC268" s="136"/>
      <c r="BD268" s="136"/>
      <c r="BE268" s="136"/>
      <c r="BF268" s="136"/>
      <c r="BG268" s="136"/>
      <c r="BH268" s="136"/>
      <c r="BI268" s="136"/>
      <c r="BJ268" s="136"/>
      <c r="BK268" s="136"/>
      <c r="BL268" s="136"/>
      <c r="BM268" s="136"/>
      <c r="BN268" s="136"/>
      <c r="BO268" s="136"/>
      <c r="BP268" s="136"/>
      <c r="BQ268" s="136"/>
      <c r="BR268" s="136"/>
      <c r="BS268" s="136"/>
      <c r="BT268" s="136"/>
      <c r="BU268" s="136"/>
      <c r="BV268" s="136"/>
      <c r="BW268" s="136"/>
      <c r="BX268" s="136"/>
      <c r="BY268" s="136"/>
      <c r="BZ268" s="136"/>
      <c r="CA268" s="136"/>
      <c r="CB268" s="136"/>
      <c r="CC268" s="136"/>
      <c r="CD268" s="136"/>
      <c r="CE268" s="136"/>
      <c r="CF268" s="136"/>
      <c r="CG268" s="136"/>
      <c r="CH268" s="136"/>
      <c r="CI268" s="136"/>
      <c r="CJ268" s="136"/>
      <c r="CK268" s="136"/>
      <c r="CL268" s="136"/>
      <c r="CM268" s="136"/>
      <c r="CN268" s="136"/>
      <c r="CO268" s="136"/>
      <c r="CP268" s="136"/>
      <c r="CQ268" s="136"/>
      <c r="CR268" s="136"/>
      <c r="CS268" s="136"/>
      <c r="CT268" s="136"/>
      <c r="CU268" s="136"/>
      <c r="CV268" s="136"/>
      <c r="CW268" s="136"/>
      <c r="CX268" s="136"/>
      <c r="CY268" s="136"/>
      <c r="CZ268" s="136"/>
      <c r="DA268" s="136"/>
      <c r="DB268" s="136"/>
      <c r="DC268" s="136"/>
      <c r="DD268" s="136"/>
      <c r="DE268" s="136"/>
      <c r="DF268" s="136"/>
      <c r="DG268" s="136"/>
      <c r="DH268" s="136"/>
      <c r="DI268" s="136"/>
      <c r="DJ268" s="136"/>
      <c r="DK268" s="136"/>
      <c r="DL268" s="136"/>
      <c r="DM268" s="136"/>
      <c r="DN268" s="136"/>
      <c r="DO268" s="136"/>
      <c r="DP268" s="136"/>
      <c r="DQ268" s="136"/>
      <c r="DR268" s="136"/>
      <c r="DS268" s="136"/>
      <c r="DT268" s="136"/>
      <c r="DU268" s="136"/>
      <c r="DV268" s="136"/>
      <c r="DW268" s="136"/>
      <c r="DX268" s="136"/>
      <c r="DY268" s="136"/>
      <c r="DZ268" s="136"/>
      <c r="EA268" s="136"/>
      <c r="EB268" s="136"/>
      <c r="EC268" s="136"/>
      <c r="ED268" s="136"/>
      <c r="EE268" s="136"/>
      <c r="EF268" s="136"/>
      <c r="EG268" s="136"/>
      <c r="EH268" s="136"/>
      <c r="EI268" s="136"/>
      <c r="EJ268" s="136"/>
      <c r="EK268" s="136"/>
      <c r="EL268" s="136"/>
      <c r="EM268" s="136"/>
      <c r="EN268" s="136"/>
      <c r="EO268" s="136"/>
      <c r="EP268" s="136"/>
      <c r="EQ268" s="136"/>
      <c r="ER268" s="136"/>
      <c r="ES268" s="136"/>
      <c r="ET268" s="136"/>
      <c r="EU268" s="136"/>
      <c r="EV268" s="136"/>
      <c r="EW268" s="136"/>
      <c r="EX268" s="136"/>
      <c r="EY268" s="136"/>
      <c r="EZ268" s="136"/>
      <c r="FA268" s="136"/>
      <c r="FB268" s="136"/>
      <c r="FC268" s="136"/>
      <c r="FD268" s="136"/>
      <c r="FE268" s="136"/>
      <c r="FF268" s="136"/>
      <c r="FG268" s="136"/>
      <c r="FH268" s="136"/>
      <c r="FI268" s="136"/>
      <c r="FJ268" s="136"/>
      <c r="FK268" s="136"/>
      <c r="FL268" s="136"/>
      <c r="FM268" s="136"/>
      <c r="FN268" s="136"/>
      <c r="FO268" s="136"/>
      <c r="FP268" s="136"/>
      <c r="FQ268" s="136"/>
      <c r="FR268" s="136"/>
      <c r="FS268" s="136"/>
      <c r="FT268" s="136"/>
      <c r="FU268" s="136"/>
      <c r="FV268" s="136"/>
      <c r="FW268" s="136"/>
      <c r="FX268" s="136"/>
      <c r="FY268" s="136"/>
      <c r="FZ268" s="136"/>
      <c r="GA268" s="136"/>
      <c r="GB268" s="136"/>
      <c r="GC268" s="136"/>
      <c r="GD268" s="136"/>
      <c r="GE268" s="136"/>
      <c r="GF268" s="136"/>
      <c r="GG268" s="136"/>
      <c r="GH268" s="136"/>
      <c r="GI268" s="136"/>
      <c r="GJ268" s="136"/>
      <c r="GK268" s="136"/>
      <c r="GL268" s="136"/>
      <c r="GM268" s="136"/>
      <c r="GN268" s="136"/>
      <c r="GO268" s="136"/>
      <c r="GP268" s="136"/>
      <c r="GQ268" s="136"/>
      <c r="GR268" s="136"/>
      <c r="GS268" s="136"/>
      <c r="GT268" s="136"/>
      <c r="GU268" s="136"/>
      <c r="GV268" s="136"/>
      <c r="GW268" s="136"/>
      <c r="GX268" s="136"/>
      <c r="GY268" s="136"/>
      <c r="GZ268" s="136"/>
      <c r="HA268" s="136"/>
      <c r="HB268" s="136"/>
      <c r="HC268" s="136"/>
      <c r="HD268" s="136"/>
      <c r="HE268" s="136"/>
      <c r="HF268" s="136"/>
      <c r="HG268" s="136"/>
      <c r="HH268" s="136"/>
      <c r="HI268" s="136"/>
      <c r="HJ268" s="136"/>
      <c r="HK268" s="136"/>
      <c r="HL268" s="136"/>
      <c r="HM268" s="136"/>
      <c r="HN268" s="136"/>
      <c r="HO268" s="136"/>
      <c r="HP268" s="136"/>
      <c r="HQ268" s="136"/>
      <c r="HR268" s="136"/>
      <c r="HS268" s="136"/>
      <c r="HT268" s="136"/>
      <c r="HU268" s="136"/>
      <c r="HV268" s="136"/>
      <c r="HW268" s="136"/>
      <c r="HX268" s="136"/>
      <c r="HY268" s="136"/>
      <c r="HZ268" s="136"/>
      <c r="IA268" s="136"/>
      <c r="IB268" s="136"/>
      <c r="IC268" s="136"/>
      <c r="ID268" s="136"/>
      <c r="IE268" s="136"/>
      <c r="IF268" s="136"/>
      <c r="IG268" s="136"/>
      <c r="IH268" s="136"/>
      <c r="II268" s="136"/>
      <c r="IJ268" s="136"/>
      <c r="IK268" s="136"/>
      <c r="IL268" s="136"/>
      <c r="IM268" s="136"/>
      <c r="IN268" s="136"/>
      <c r="IO268" s="136"/>
      <c r="IP268" s="136"/>
      <c r="IQ268" s="136"/>
      <c r="IR268" s="136"/>
      <c r="IS268" s="136"/>
      <c r="IT268" s="136"/>
      <c r="IU268" s="136"/>
    </row>
    <row r="269" spans="1:255" ht="65.099999999999994" customHeight="1" x14ac:dyDescent="0.2">
      <c r="A269" s="242" t="str">
        <f>'HECVAT - Full'!A269</f>
        <v>HIPA-01</v>
      </c>
      <c r="B269" s="242" t="str">
        <f>VLOOKUP(A269,'HECVAT - Full'!A$24:B$312,2,FALSE)</f>
        <v>Do your workforce members receive regular training related to the HIPAA Privacy and Security Rules and the HITECH Act?</v>
      </c>
      <c r="C269" s="243" t="s">
        <v>601</v>
      </c>
      <c r="D269" s="253" t="s">
        <v>2978</v>
      </c>
      <c r="E269" s="13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6"/>
      <c r="AN269" s="136"/>
      <c r="AO269" s="136"/>
      <c r="AP269" s="136"/>
      <c r="AQ269" s="136"/>
      <c r="AR269" s="136"/>
      <c r="AS269" s="136"/>
      <c r="AT269" s="136"/>
      <c r="AU269" s="136"/>
      <c r="AV269" s="136"/>
      <c r="AW269" s="136"/>
      <c r="AX269" s="136"/>
      <c r="AY269" s="136"/>
      <c r="AZ269" s="136"/>
      <c r="BA269" s="136"/>
      <c r="BB269" s="136"/>
      <c r="BC269" s="136"/>
      <c r="BD269" s="136"/>
      <c r="BE269" s="136"/>
      <c r="BF269" s="136"/>
      <c r="BG269" s="136"/>
      <c r="BH269" s="136"/>
      <c r="BI269" s="136"/>
      <c r="BJ269" s="136"/>
      <c r="BK269" s="136"/>
      <c r="BL269" s="136"/>
      <c r="BM269" s="136"/>
      <c r="BN269" s="136"/>
      <c r="BO269" s="136"/>
      <c r="BP269" s="136"/>
      <c r="BQ269" s="136"/>
      <c r="BR269" s="136"/>
      <c r="BS269" s="136"/>
      <c r="BT269" s="136"/>
      <c r="BU269" s="136"/>
      <c r="BV269" s="136"/>
      <c r="BW269" s="136"/>
      <c r="BX269" s="136"/>
      <c r="BY269" s="136"/>
      <c r="BZ269" s="136"/>
      <c r="CA269" s="136"/>
      <c r="CB269" s="136"/>
      <c r="CC269" s="136"/>
      <c r="CD269" s="136"/>
      <c r="CE269" s="136"/>
      <c r="CF269" s="136"/>
      <c r="CG269" s="136"/>
      <c r="CH269" s="136"/>
      <c r="CI269" s="136"/>
      <c r="CJ269" s="136"/>
      <c r="CK269" s="136"/>
      <c r="CL269" s="136"/>
      <c r="CM269" s="136"/>
      <c r="CN269" s="136"/>
      <c r="CO269" s="136"/>
      <c r="CP269" s="136"/>
      <c r="CQ269" s="136"/>
      <c r="CR269" s="136"/>
      <c r="CS269" s="136"/>
      <c r="CT269" s="136"/>
      <c r="CU269" s="136"/>
      <c r="CV269" s="136"/>
      <c r="CW269" s="136"/>
      <c r="CX269" s="136"/>
      <c r="CY269" s="136"/>
      <c r="CZ269" s="136"/>
      <c r="DA269" s="136"/>
      <c r="DB269" s="136"/>
      <c r="DC269" s="136"/>
      <c r="DD269" s="136"/>
      <c r="DE269" s="136"/>
      <c r="DF269" s="136"/>
      <c r="DG269" s="136"/>
      <c r="DH269" s="136"/>
      <c r="DI269" s="136"/>
      <c r="DJ269" s="136"/>
      <c r="DK269" s="136"/>
      <c r="DL269" s="136"/>
      <c r="DM269" s="136"/>
      <c r="DN269" s="136"/>
      <c r="DO269" s="136"/>
      <c r="DP269" s="136"/>
      <c r="DQ269" s="136"/>
      <c r="DR269" s="136"/>
      <c r="DS269" s="136"/>
      <c r="DT269" s="136"/>
      <c r="DU269" s="136"/>
      <c r="DV269" s="136"/>
      <c r="DW269" s="136"/>
      <c r="DX269" s="136"/>
      <c r="DY269" s="136"/>
      <c r="DZ269" s="136"/>
      <c r="EA269" s="136"/>
      <c r="EB269" s="136"/>
      <c r="EC269" s="136"/>
      <c r="ED269" s="136"/>
      <c r="EE269" s="136"/>
      <c r="EF269" s="136"/>
      <c r="EG269" s="136"/>
      <c r="EH269" s="136"/>
      <c r="EI269" s="136"/>
      <c r="EJ269" s="136"/>
      <c r="EK269" s="136"/>
      <c r="EL269" s="136"/>
      <c r="EM269" s="136"/>
      <c r="EN269" s="136"/>
      <c r="EO269" s="136"/>
      <c r="EP269" s="136"/>
      <c r="EQ269" s="136"/>
      <c r="ER269" s="136"/>
      <c r="ES269" s="136"/>
      <c r="ET269" s="136"/>
      <c r="EU269" s="136"/>
      <c r="EV269" s="136"/>
      <c r="EW269" s="136"/>
      <c r="EX269" s="136"/>
      <c r="EY269" s="136"/>
      <c r="EZ269" s="136"/>
      <c r="FA269" s="136"/>
      <c r="FB269" s="136"/>
      <c r="FC269" s="136"/>
      <c r="FD269" s="136"/>
      <c r="FE269" s="136"/>
      <c r="FF269" s="136"/>
      <c r="FG269" s="136"/>
      <c r="FH269" s="136"/>
      <c r="FI269" s="136"/>
      <c r="FJ269" s="136"/>
      <c r="FK269" s="136"/>
      <c r="FL269" s="136"/>
      <c r="FM269" s="136"/>
      <c r="FN269" s="136"/>
      <c r="FO269" s="136"/>
      <c r="FP269" s="136"/>
      <c r="FQ269" s="136"/>
      <c r="FR269" s="136"/>
      <c r="FS269" s="136"/>
      <c r="FT269" s="136"/>
      <c r="FU269" s="136"/>
      <c r="FV269" s="136"/>
      <c r="FW269" s="136"/>
      <c r="FX269" s="136"/>
      <c r="FY269" s="136"/>
      <c r="FZ269" s="136"/>
      <c r="GA269" s="136"/>
      <c r="GB269" s="136"/>
      <c r="GC269" s="136"/>
      <c r="GD269" s="136"/>
      <c r="GE269" s="136"/>
      <c r="GF269" s="136"/>
      <c r="GG269" s="136"/>
      <c r="GH269" s="136"/>
      <c r="GI269" s="136"/>
      <c r="GJ269" s="136"/>
      <c r="GK269" s="136"/>
      <c r="GL269" s="136"/>
      <c r="GM269" s="136"/>
      <c r="GN269" s="136"/>
      <c r="GO269" s="136"/>
      <c r="GP269" s="136"/>
      <c r="GQ269" s="136"/>
      <c r="GR269" s="136"/>
      <c r="GS269" s="136"/>
      <c r="GT269" s="136"/>
      <c r="GU269" s="136"/>
      <c r="GV269" s="136"/>
      <c r="GW269" s="136"/>
      <c r="GX269" s="136"/>
      <c r="GY269" s="136"/>
      <c r="GZ269" s="136"/>
      <c r="HA269" s="136"/>
      <c r="HB269" s="136"/>
      <c r="HC269" s="136"/>
      <c r="HD269" s="136"/>
      <c r="HE269" s="136"/>
      <c r="HF269" s="136"/>
      <c r="HG269" s="136"/>
      <c r="HH269" s="136"/>
      <c r="HI269" s="136"/>
      <c r="HJ269" s="136"/>
      <c r="HK269" s="136"/>
      <c r="HL269" s="136"/>
      <c r="HM269" s="136"/>
      <c r="HN269" s="136"/>
      <c r="HO269" s="136"/>
      <c r="HP269" s="136"/>
      <c r="HQ269" s="136"/>
      <c r="HR269" s="136"/>
      <c r="HS269" s="136"/>
      <c r="HT269" s="136"/>
      <c r="HU269" s="136"/>
      <c r="HV269" s="136"/>
      <c r="HW269" s="136"/>
      <c r="HX269" s="136"/>
      <c r="HY269" s="136"/>
      <c r="HZ269" s="136"/>
      <c r="IA269" s="136"/>
      <c r="IB269" s="136"/>
      <c r="IC269" s="136"/>
      <c r="ID269" s="136"/>
      <c r="IE269" s="136"/>
      <c r="IF269" s="136"/>
      <c r="IG269" s="136"/>
      <c r="IH269" s="136"/>
      <c r="II269" s="136"/>
      <c r="IJ269" s="136"/>
      <c r="IK269" s="136"/>
      <c r="IL269" s="136"/>
      <c r="IM269" s="136"/>
      <c r="IN269" s="136"/>
      <c r="IO269" s="136"/>
      <c r="IP269" s="136"/>
      <c r="IQ269" s="136"/>
      <c r="IR269" s="136"/>
      <c r="IS269" s="136"/>
      <c r="IT269" s="136"/>
      <c r="IU269" s="136"/>
    </row>
    <row r="270" spans="1:255" ht="48" customHeight="1" x14ac:dyDescent="0.2">
      <c r="A270" s="242" t="str">
        <f>'HECVAT - Full'!A270</f>
        <v>HIPA-02</v>
      </c>
      <c r="B270" s="242" t="str">
        <f>VLOOKUP(A270,'HECVAT - Full'!A$24:B$312,2,FALSE)</f>
        <v>Do you monitor or receive information regarding changes in HIPAA regulations?</v>
      </c>
      <c r="C270" s="243" t="s">
        <v>602</v>
      </c>
      <c r="D270" s="253" t="s">
        <v>2978</v>
      </c>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6"/>
      <c r="AN270" s="136"/>
      <c r="AO270" s="136"/>
      <c r="AP270" s="136"/>
      <c r="AQ270" s="136"/>
      <c r="AR270" s="136"/>
      <c r="AS270" s="136"/>
      <c r="AT270" s="136"/>
      <c r="AU270" s="136"/>
      <c r="AV270" s="136"/>
      <c r="AW270" s="136"/>
      <c r="AX270" s="136"/>
      <c r="AY270" s="136"/>
      <c r="AZ270" s="136"/>
      <c r="BA270" s="136"/>
      <c r="BB270" s="136"/>
      <c r="BC270" s="136"/>
      <c r="BD270" s="136"/>
      <c r="BE270" s="136"/>
      <c r="BF270" s="136"/>
      <c r="BG270" s="136"/>
      <c r="BH270" s="136"/>
      <c r="BI270" s="136"/>
      <c r="BJ270" s="136"/>
      <c r="BK270" s="136"/>
      <c r="BL270" s="136"/>
      <c r="BM270" s="136"/>
      <c r="BN270" s="136"/>
      <c r="BO270" s="136"/>
      <c r="BP270" s="136"/>
      <c r="BQ270" s="136"/>
      <c r="BR270" s="136"/>
      <c r="BS270" s="136"/>
      <c r="BT270" s="136"/>
      <c r="BU270" s="136"/>
      <c r="BV270" s="136"/>
      <c r="BW270" s="136"/>
      <c r="BX270" s="136"/>
      <c r="BY270" s="136"/>
      <c r="BZ270" s="136"/>
      <c r="CA270" s="136"/>
      <c r="CB270" s="136"/>
      <c r="CC270" s="136"/>
      <c r="CD270" s="136"/>
      <c r="CE270" s="136"/>
      <c r="CF270" s="136"/>
      <c r="CG270" s="136"/>
      <c r="CH270" s="136"/>
      <c r="CI270" s="136"/>
      <c r="CJ270" s="136"/>
      <c r="CK270" s="136"/>
      <c r="CL270" s="136"/>
      <c r="CM270" s="136"/>
      <c r="CN270" s="136"/>
      <c r="CO270" s="136"/>
      <c r="CP270" s="136"/>
      <c r="CQ270" s="136"/>
      <c r="CR270" s="136"/>
      <c r="CS270" s="136"/>
      <c r="CT270" s="136"/>
      <c r="CU270" s="136"/>
      <c r="CV270" s="136"/>
      <c r="CW270" s="136"/>
      <c r="CX270" s="136"/>
      <c r="CY270" s="136"/>
      <c r="CZ270" s="136"/>
      <c r="DA270" s="136"/>
      <c r="DB270" s="136"/>
      <c r="DC270" s="136"/>
      <c r="DD270" s="136"/>
      <c r="DE270" s="136"/>
      <c r="DF270" s="136"/>
      <c r="DG270" s="136"/>
      <c r="DH270" s="136"/>
      <c r="DI270" s="136"/>
      <c r="DJ270" s="136"/>
      <c r="DK270" s="136"/>
      <c r="DL270" s="136"/>
      <c r="DM270" s="136"/>
      <c r="DN270" s="136"/>
      <c r="DO270" s="136"/>
      <c r="DP270" s="136"/>
      <c r="DQ270" s="136"/>
      <c r="DR270" s="136"/>
      <c r="DS270" s="136"/>
      <c r="DT270" s="136"/>
      <c r="DU270" s="136"/>
      <c r="DV270" s="136"/>
      <c r="DW270" s="136"/>
      <c r="DX270" s="136"/>
      <c r="DY270" s="136"/>
      <c r="DZ270" s="136"/>
      <c r="EA270" s="136"/>
      <c r="EB270" s="136"/>
      <c r="EC270" s="136"/>
      <c r="ED270" s="136"/>
      <c r="EE270" s="136"/>
      <c r="EF270" s="136"/>
      <c r="EG270" s="136"/>
      <c r="EH270" s="136"/>
      <c r="EI270" s="136"/>
      <c r="EJ270" s="136"/>
      <c r="EK270" s="136"/>
      <c r="EL270" s="136"/>
      <c r="EM270" s="136"/>
      <c r="EN270" s="136"/>
      <c r="EO270" s="136"/>
      <c r="EP270" s="136"/>
      <c r="EQ270" s="136"/>
      <c r="ER270" s="136"/>
      <c r="ES270" s="136"/>
      <c r="ET270" s="136"/>
      <c r="EU270" s="136"/>
      <c r="EV270" s="136"/>
      <c r="EW270" s="136"/>
      <c r="EX270" s="136"/>
      <c r="EY270" s="136"/>
      <c r="EZ270" s="136"/>
      <c r="FA270" s="136"/>
      <c r="FB270" s="136"/>
      <c r="FC270" s="136"/>
      <c r="FD270" s="136"/>
      <c r="FE270" s="136"/>
      <c r="FF270" s="136"/>
      <c r="FG270" s="136"/>
      <c r="FH270" s="136"/>
      <c r="FI270" s="136"/>
      <c r="FJ270" s="136"/>
      <c r="FK270" s="136"/>
      <c r="FL270" s="136"/>
      <c r="FM270" s="136"/>
      <c r="FN270" s="136"/>
      <c r="FO270" s="136"/>
      <c r="FP270" s="136"/>
      <c r="FQ270" s="136"/>
      <c r="FR270" s="136"/>
      <c r="FS270" s="136"/>
      <c r="FT270" s="136"/>
      <c r="FU270" s="136"/>
      <c r="FV270" s="136"/>
      <c r="FW270" s="136"/>
      <c r="FX270" s="136"/>
      <c r="FY270" s="136"/>
      <c r="FZ270" s="136"/>
      <c r="GA270" s="136"/>
      <c r="GB270" s="136"/>
      <c r="GC270" s="136"/>
      <c r="GD270" s="136"/>
      <c r="GE270" s="136"/>
      <c r="GF270" s="136"/>
      <c r="GG270" s="136"/>
      <c r="GH270" s="136"/>
      <c r="GI270" s="136"/>
      <c r="GJ270" s="136"/>
      <c r="GK270" s="136"/>
      <c r="GL270" s="136"/>
      <c r="GM270" s="136"/>
      <c r="GN270" s="136"/>
      <c r="GO270" s="136"/>
      <c r="GP270" s="136"/>
      <c r="GQ270" s="136"/>
      <c r="GR270" s="136"/>
      <c r="GS270" s="136"/>
      <c r="GT270" s="136"/>
      <c r="GU270" s="136"/>
      <c r="GV270" s="136"/>
      <c r="GW270" s="136"/>
      <c r="GX270" s="136"/>
      <c r="GY270" s="136"/>
      <c r="GZ270" s="136"/>
      <c r="HA270" s="136"/>
      <c r="HB270" s="136"/>
      <c r="HC270" s="136"/>
      <c r="HD270" s="136"/>
      <c r="HE270" s="136"/>
      <c r="HF270" s="136"/>
      <c r="HG270" s="136"/>
      <c r="HH270" s="136"/>
      <c r="HI270" s="136"/>
      <c r="HJ270" s="136"/>
      <c r="HK270" s="136"/>
      <c r="HL270" s="136"/>
      <c r="HM270" s="136"/>
      <c r="HN270" s="136"/>
      <c r="HO270" s="136"/>
      <c r="HP270" s="136"/>
      <c r="HQ270" s="136"/>
      <c r="HR270" s="136"/>
      <c r="HS270" s="136"/>
      <c r="HT270" s="136"/>
      <c r="HU270" s="136"/>
      <c r="HV270" s="136"/>
      <c r="HW270" s="136"/>
      <c r="HX270" s="136"/>
      <c r="HY270" s="136"/>
      <c r="HZ270" s="136"/>
      <c r="IA270" s="136"/>
      <c r="IB270" s="136"/>
      <c r="IC270" s="136"/>
      <c r="ID270" s="136"/>
      <c r="IE270" s="136"/>
      <c r="IF270" s="136"/>
      <c r="IG270" s="136"/>
      <c r="IH270" s="136"/>
      <c r="II270" s="136"/>
      <c r="IJ270" s="136"/>
      <c r="IK270" s="136"/>
      <c r="IL270" s="136"/>
      <c r="IM270" s="136"/>
      <c r="IN270" s="136"/>
      <c r="IO270" s="136"/>
      <c r="IP270" s="136"/>
      <c r="IQ270" s="136"/>
      <c r="IR270" s="136"/>
      <c r="IS270" s="136"/>
      <c r="IT270" s="136"/>
      <c r="IU270" s="136"/>
    </row>
    <row r="271" spans="1:255" ht="48" customHeight="1" x14ac:dyDescent="0.2">
      <c r="A271" s="242" t="str">
        <f>'HECVAT - Full'!A271</f>
        <v>HIPA-03</v>
      </c>
      <c r="B271" s="242" t="str">
        <f>VLOOKUP(A271,'HECVAT - Full'!A$24:B$312,2,FALSE)</f>
        <v>Has your organization designated HIPAA Privacy and Security officers as required by the Rules?</v>
      </c>
      <c r="C271" s="243" t="s">
        <v>603</v>
      </c>
      <c r="D271" s="253" t="s">
        <v>2978</v>
      </c>
      <c r="E271" s="13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6"/>
      <c r="AN271" s="136"/>
      <c r="AO271" s="136"/>
      <c r="AP271" s="136"/>
      <c r="AQ271" s="136"/>
      <c r="AR271" s="136"/>
      <c r="AS271" s="136"/>
      <c r="AT271" s="136"/>
      <c r="AU271" s="136"/>
      <c r="AV271" s="136"/>
      <c r="AW271" s="136"/>
      <c r="AX271" s="136"/>
      <c r="AY271" s="136"/>
      <c r="AZ271" s="136"/>
      <c r="BA271" s="136"/>
      <c r="BB271" s="136"/>
      <c r="BC271" s="136"/>
      <c r="BD271" s="136"/>
      <c r="BE271" s="136"/>
      <c r="BF271" s="136"/>
      <c r="BG271" s="136"/>
      <c r="BH271" s="136"/>
      <c r="BI271" s="136"/>
      <c r="BJ271" s="136"/>
      <c r="BK271" s="136"/>
      <c r="BL271" s="136"/>
      <c r="BM271" s="136"/>
      <c r="BN271" s="136"/>
      <c r="BO271" s="136"/>
      <c r="BP271" s="136"/>
      <c r="BQ271" s="136"/>
      <c r="BR271" s="136"/>
      <c r="BS271" s="136"/>
      <c r="BT271" s="136"/>
      <c r="BU271" s="136"/>
      <c r="BV271" s="136"/>
      <c r="BW271" s="136"/>
      <c r="BX271" s="136"/>
      <c r="BY271" s="136"/>
      <c r="BZ271" s="136"/>
      <c r="CA271" s="136"/>
      <c r="CB271" s="136"/>
      <c r="CC271" s="136"/>
      <c r="CD271" s="136"/>
      <c r="CE271" s="136"/>
      <c r="CF271" s="136"/>
      <c r="CG271" s="136"/>
      <c r="CH271" s="136"/>
      <c r="CI271" s="136"/>
      <c r="CJ271" s="136"/>
      <c r="CK271" s="136"/>
      <c r="CL271" s="136"/>
      <c r="CM271" s="136"/>
      <c r="CN271" s="136"/>
      <c r="CO271" s="136"/>
      <c r="CP271" s="136"/>
      <c r="CQ271" s="136"/>
      <c r="CR271" s="136"/>
      <c r="CS271" s="136"/>
      <c r="CT271" s="136"/>
      <c r="CU271" s="136"/>
      <c r="CV271" s="136"/>
      <c r="CW271" s="136"/>
      <c r="CX271" s="136"/>
      <c r="CY271" s="136"/>
      <c r="CZ271" s="136"/>
      <c r="DA271" s="136"/>
      <c r="DB271" s="136"/>
      <c r="DC271" s="136"/>
      <c r="DD271" s="136"/>
      <c r="DE271" s="136"/>
      <c r="DF271" s="136"/>
      <c r="DG271" s="136"/>
      <c r="DH271" s="136"/>
      <c r="DI271" s="136"/>
      <c r="DJ271" s="136"/>
      <c r="DK271" s="136"/>
      <c r="DL271" s="136"/>
      <c r="DM271" s="136"/>
      <c r="DN271" s="136"/>
      <c r="DO271" s="136"/>
      <c r="DP271" s="136"/>
      <c r="DQ271" s="136"/>
      <c r="DR271" s="136"/>
      <c r="DS271" s="136"/>
      <c r="DT271" s="136"/>
      <c r="DU271" s="136"/>
      <c r="DV271" s="136"/>
      <c r="DW271" s="136"/>
      <c r="DX271" s="136"/>
      <c r="DY271" s="136"/>
      <c r="DZ271" s="136"/>
      <c r="EA271" s="136"/>
      <c r="EB271" s="136"/>
      <c r="EC271" s="136"/>
      <c r="ED271" s="136"/>
      <c r="EE271" s="136"/>
      <c r="EF271" s="136"/>
      <c r="EG271" s="136"/>
      <c r="EH271" s="136"/>
      <c r="EI271" s="136"/>
      <c r="EJ271" s="136"/>
      <c r="EK271" s="136"/>
      <c r="EL271" s="136"/>
      <c r="EM271" s="136"/>
      <c r="EN271" s="136"/>
      <c r="EO271" s="136"/>
      <c r="EP271" s="136"/>
      <c r="EQ271" s="136"/>
      <c r="ER271" s="136"/>
      <c r="ES271" s="136"/>
      <c r="ET271" s="136"/>
      <c r="EU271" s="136"/>
      <c r="EV271" s="136"/>
      <c r="EW271" s="136"/>
      <c r="EX271" s="136"/>
      <c r="EY271" s="136"/>
      <c r="EZ271" s="136"/>
      <c r="FA271" s="136"/>
      <c r="FB271" s="136"/>
      <c r="FC271" s="136"/>
      <c r="FD271" s="136"/>
      <c r="FE271" s="136"/>
      <c r="FF271" s="136"/>
      <c r="FG271" s="136"/>
      <c r="FH271" s="136"/>
      <c r="FI271" s="136"/>
      <c r="FJ271" s="136"/>
      <c r="FK271" s="136"/>
      <c r="FL271" s="136"/>
      <c r="FM271" s="136"/>
      <c r="FN271" s="136"/>
      <c r="FO271" s="136"/>
      <c r="FP271" s="136"/>
      <c r="FQ271" s="136"/>
      <c r="FR271" s="136"/>
      <c r="FS271" s="136"/>
      <c r="FT271" s="136"/>
      <c r="FU271" s="136"/>
      <c r="FV271" s="136"/>
      <c r="FW271" s="136"/>
      <c r="FX271" s="136"/>
      <c r="FY271" s="136"/>
      <c r="FZ271" s="136"/>
      <c r="GA271" s="136"/>
      <c r="GB271" s="136"/>
      <c r="GC271" s="136"/>
      <c r="GD271" s="136"/>
      <c r="GE271" s="136"/>
      <c r="GF271" s="136"/>
      <c r="GG271" s="136"/>
      <c r="GH271" s="136"/>
      <c r="GI271" s="136"/>
      <c r="GJ271" s="136"/>
      <c r="GK271" s="136"/>
      <c r="GL271" s="136"/>
      <c r="GM271" s="136"/>
      <c r="GN271" s="136"/>
      <c r="GO271" s="136"/>
      <c r="GP271" s="136"/>
      <c r="GQ271" s="136"/>
      <c r="GR271" s="136"/>
      <c r="GS271" s="136"/>
      <c r="GT271" s="136"/>
      <c r="GU271" s="136"/>
      <c r="GV271" s="136"/>
      <c r="GW271" s="136"/>
      <c r="GX271" s="136"/>
      <c r="GY271" s="136"/>
      <c r="GZ271" s="136"/>
      <c r="HA271" s="136"/>
      <c r="HB271" s="136"/>
      <c r="HC271" s="136"/>
      <c r="HD271" s="136"/>
      <c r="HE271" s="136"/>
      <c r="HF271" s="136"/>
      <c r="HG271" s="136"/>
      <c r="HH271" s="136"/>
      <c r="HI271" s="136"/>
      <c r="HJ271" s="136"/>
      <c r="HK271" s="136"/>
      <c r="HL271" s="136"/>
      <c r="HM271" s="136"/>
      <c r="HN271" s="136"/>
      <c r="HO271" s="136"/>
      <c r="HP271" s="136"/>
      <c r="HQ271" s="136"/>
      <c r="HR271" s="136"/>
      <c r="HS271" s="136"/>
      <c r="HT271" s="136"/>
      <c r="HU271" s="136"/>
      <c r="HV271" s="136"/>
      <c r="HW271" s="136"/>
      <c r="HX271" s="136"/>
      <c r="HY271" s="136"/>
      <c r="HZ271" s="136"/>
      <c r="IA271" s="136"/>
      <c r="IB271" s="136"/>
      <c r="IC271" s="136"/>
      <c r="ID271" s="136"/>
      <c r="IE271" s="136"/>
      <c r="IF271" s="136"/>
      <c r="IG271" s="136"/>
      <c r="IH271" s="136"/>
      <c r="II271" s="136"/>
      <c r="IJ271" s="136"/>
      <c r="IK271" s="136"/>
      <c r="IL271" s="136"/>
      <c r="IM271" s="136"/>
      <c r="IN271" s="136"/>
      <c r="IO271" s="136"/>
      <c r="IP271" s="136"/>
      <c r="IQ271" s="136"/>
      <c r="IR271" s="136"/>
      <c r="IS271" s="136"/>
      <c r="IT271" s="136"/>
      <c r="IU271" s="136"/>
    </row>
    <row r="272" spans="1:255" ht="48" customHeight="1" x14ac:dyDescent="0.2">
      <c r="A272" s="242" t="str">
        <f>'HECVAT - Full'!A272</f>
        <v>HIPA-04</v>
      </c>
      <c r="B272" s="242" t="str">
        <f>VLOOKUP(A272,'HECVAT - Full'!A$24:B$312,2,FALSE)</f>
        <v>Do you comply with the requirements of the Health Information Technology for Economic and Clinical Health Act (HITECH)?</v>
      </c>
      <c r="C272" s="243" t="s">
        <v>2979</v>
      </c>
      <c r="D272" s="253" t="s">
        <v>2978</v>
      </c>
      <c r="E272" s="13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6"/>
      <c r="AN272" s="136"/>
      <c r="AO272" s="136"/>
      <c r="AP272" s="136"/>
      <c r="AQ272" s="136"/>
      <c r="AR272" s="136"/>
      <c r="AS272" s="136"/>
      <c r="AT272" s="136"/>
      <c r="AU272" s="136"/>
      <c r="AV272" s="136"/>
      <c r="AW272" s="136"/>
      <c r="AX272" s="136"/>
      <c r="AY272" s="136"/>
      <c r="AZ272" s="136"/>
      <c r="BA272" s="136"/>
      <c r="BB272" s="136"/>
      <c r="BC272" s="136"/>
      <c r="BD272" s="136"/>
      <c r="BE272" s="136"/>
      <c r="BF272" s="136"/>
      <c r="BG272" s="136"/>
      <c r="BH272" s="136"/>
      <c r="BI272" s="136"/>
      <c r="BJ272" s="136"/>
      <c r="BK272" s="136"/>
      <c r="BL272" s="136"/>
      <c r="BM272" s="136"/>
      <c r="BN272" s="136"/>
      <c r="BO272" s="136"/>
      <c r="BP272" s="136"/>
      <c r="BQ272" s="136"/>
      <c r="BR272" s="136"/>
      <c r="BS272" s="136"/>
      <c r="BT272" s="136"/>
      <c r="BU272" s="136"/>
      <c r="BV272" s="136"/>
      <c r="BW272" s="136"/>
      <c r="BX272" s="136"/>
      <c r="BY272" s="136"/>
      <c r="BZ272" s="136"/>
      <c r="CA272" s="136"/>
      <c r="CB272" s="136"/>
      <c r="CC272" s="136"/>
      <c r="CD272" s="136"/>
      <c r="CE272" s="136"/>
      <c r="CF272" s="136"/>
      <c r="CG272" s="136"/>
      <c r="CH272" s="136"/>
      <c r="CI272" s="136"/>
      <c r="CJ272" s="136"/>
      <c r="CK272" s="136"/>
      <c r="CL272" s="136"/>
      <c r="CM272" s="136"/>
      <c r="CN272" s="136"/>
      <c r="CO272" s="136"/>
      <c r="CP272" s="136"/>
      <c r="CQ272" s="136"/>
      <c r="CR272" s="136"/>
      <c r="CS272" s="136"/>
      <c r="CT272" s="136"/>
      <c r="CU272" s="136"/>
      <c r="CV272" s="136"/>
      <c r="CW272" s="136"/>
      <c r="CX272" s="136"/>
      <c r="CY272" s="136"/>
      <c r="CZ272" s="136"/>
      <c r="DA272" s="136"/>
      <c r="DB272" s="136"/>
      <c r="DC272" s="136"/>
      <c r="DD272" s="136"/>
      <c r="DE272" s="136"/>
      <c r="DF272" s="136"/>
      <c r="DG272" s="136"/>
      <c r="DH272" s="136"/>
      <c r="DI272" s="136"/>
      <c r="DJ272" s="136"/>
      <c r="DK272" s="136"/>
      <c r="DL272" s="136"/>
      <c r="DM272" s="136"/>
      <c r="DN272" s="136"/>
      <c r="DO272" s="136"/>
      <c r="DP272" s="136"/>
      <c r="DQ272" s="136"/>
      <c r="DR272" s="136"/>
      <c r="DS272" s="136"/>
      <c r="DT272" s="136"/>
      <c r="DU272" s="136"/>
      <c r="DV272" s="136"/>
      <c r="DW272" s="136"/>
      <c r="DX272" s="136"/>
      <c r="DY272" s="136"/>
      <c r="DZ272" s="136"/>
      <c r="EA272" s="136"/>
      <c r="EB272" s="136"/>
      <c r="EC272" s="136"/>
      <c r="ED272" s="136"/>
      <c r="EE272" s="136"/>
      <c r="EF272" s="136"/>
      <c r="EG272" s="136"/>
      <c r="EH272" s="136"/>
      <c r="EI272" s="136"/>
      <c r="EJ272" s="136"/>
      <c r="EK272" s="136"/>
      <c r="EL272" s="136"/>
      <c r="EM272" s="136"/>
      <c r="EN272" s="136"/>
      <c r="EO272" s="136"/>
      <c r="EP272" s="136"/>
      <c r="EQ272" s="136"/>
      <c r="ER272" s="136"/>
      <c r="ES272" s="136"/>
      <c r="ET272" s="136"/>
      <c r="EU272" s="136"/>
      <c r="EV272" s="136"/>
      <c r="EW272" s="136"/>
      <c r="EX272" s="136"/>
      <c r="EY272" s="136"/>
      <c r="EZ272" s="136"/>
      <c r="FA272" s="136"/>
      <c r="FB272" s="136"/>
      <c r="FC272" s="136"/>
      <c r="FD272" s="136"/>
      <c r="FE272" s="136"/>
      <c r="FF272" s="136"/>
      <c r="FG272" s="136"/>
      <c r="FH272" s="136"/>
      <c r="FI272" s="136"/>
      <c r="FJ272" s="136"/>
      <c r="FK272" s="136"/>
      <c r="FL272" s="136"/>
      <c r="FM272" s="136"/>
      <c r="FN272" s="136"/>
      <c r="FO272" s="136"/>
      <c r="FP272" s="136"/>
      <c r="FQ272" s="136"/>
      <c r="FR272" s="136"/>
      <c r="FS272" s="136"/>
      <c r="FT272" s="136"/>
      <c r="FU272" s="136"/>
      <c r="FV272" s="136"/>
      <c r="FW272" s="136"/>
      <c r="FX272" s="136"/>
      <c r="FY272" s="136"/>
      <c r="FZ272" s="136"/>
      <c r="GA272" s="136"/>
      <c r="GB272" s="136"/>
      <c r="GC272" s="136"/>
      <c r="GD272" s="136"/>
      <c r="GE272" s="136"/>
      <c r="GF272" s="136"/>
      <c r="GG272" s="136"/>
      <c r="GH272" s="136"/>
      <c r="GI272" s="136"/>
      <c r="GJ272" s="136"/>
      <c r="GK272" s="136"/>
      <c r="GL272" s="136"/>
      <c r="GM272" s="136"/>
      <c r="GN272" s="136"/>
      <c r="GO272" s="136"/>
      <c r="GP272" s="136"/>
      <c r="GQ272" s="136"/>
      <c r="GR272" s="136"/>
      <c r="GS272" s="136"/>
      <c r="GT272" s="136"/>
      <c r="GU272" s="136"/>
      <c r="GV272" s="136"/>
      <c r="GW272" s="136"/>
      <c r="GX272" s="136"/>
      <c r="GY272" s="136"/>
      <c r="GZ272" s="136"/>
      <c r="HA272" s="136"/>
      <c r="HB272" s="136"/>
      <c r="HC272" s="136"/>
      <c r="HD272" s="136"/>
      <c r="HE272" s="136"/>
      <c r="HF272" s="136"/>
      <c r="HG272" s="136"/>
      <c r="HH272" s="136"/>
      <c r="HI272" s="136"/>
      <c r="HJ272" s="136"/>
      <c r="HK272" s="136"/>
      <c r="HL272" s="136"/>
      <c r="HM272" s="136"/>
      <c r="HN272" s="136"/>
      <c r="HO272" s="136"/>
      <c r="HP272" s="136"/>
      <c r="HQ272" s="136"/>
      <c r="HR272" s="136"/>
      <c r="HS272" s="136"/>
      <c r="HT272" s="136"/>
      <c r="HU272" s="136"/>
      <c r="HV272" s="136"/>
      <c r="HW272" s="136"/>
      <c r="HX272" s="136"/>
      <c r="HY272" s="136"/>
      <c r="HZ272" s="136"/>
      <c r="IA272" s="136"/>
      <c r="IB272" s="136"/>
      <c r="IC272" s="136"/>
      <c r="ID272" s="136"/>
      <c r="IE272" s="136"/>
      <c r="IF272" s="136"/>
      <c r="IG272" s="136"/>
      <c r="IH272" s="136"/>
      <c r="II272" s="136"/>
      <c r="IJ272" s="136"/>
      <c r="IK272" s="136"/>
      <c r="IL272" s="136"/>
      <c r="IM272" s="136"/>
      <c r="IN272" s="136"/>
      <c r="IO272" s="136"/>
      <c r="IP272" s="136"/>
      <c r="IQ272" s="136"/>
      <c r="IR272" s="136"/>
      <c r="IS272" s="136"/>
      <c r="IT272" s="136"/>
      <c r="IU272" s="136"/>
    </row>
    <row r="273" spans="1:255" ht="48" customHeight="1" x14ac:dyDescent="0.2">
      <c r="A273" s="242" t="str">
        <f>'HECVAT - Full'!A273</f>
        <v>HIPA-05</v>
      </c>
      <c r="B273" s="242" t="str">
        <f>VLOOKUP(A273,'HECVAT - Full'!A$24:B$312,2,FALSE)</f>
        <v>Do you have an incident response process and reporting in place to investigate any potential incidents and report actual incidents?</v>
      </c>
      <c r="C273" s="243" t="s">
        <v>604</v>
      </c>
      <c r="D273" s="253" t="s">
        <v>2978</v>
      </c>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36"/>
      <c r="BF273" s="136"/>
      <c r="BG273" s="136"/>
      <c r="BH273" s="136"/>
      <c r="BI273" s="136"/>
      <c r="BJ273" s="136"/>
      <c r="BK273" s="136"/>
      <c r="BL273" s="136"/>
      <c r="BM273" s="136"/>
      <c r="BN273" s="136"/>
      <c r="BO273" s="136"/>
      <c r="BP273" s="136"/>
      <c r="BQ273" s="136"/>
      <c r="BR273" s="136"/>
      <c r="BS273" s="136"/>
      <c r="BT273" s="136"/>
      <c r="BU273" s="136"/>
      <c r="BV273" s="136"/>
      <c r="BW273" s="136"/>
      <c r="BX273" s="136"/>
      <c r="BY273" s="136"/>
      <c r="BZ273" s="136"/>
      <c r="CA273" s="136"/>
      <c r="CB273" s="136"/>
      <c r="CC273" s="136"/>
      <c r="CD273" s="136"/>
      <c r="CE273" s="136"/>
      <c r="CF273" s="136"/>
      <c r="CG273" s="136"/>
      <c r="CH273" s="136"/>
      <c r="CI273" s="136"/>
      <c r="CJ273" s="136"/>
      <c r="CK273" s="136"/>
      <c r="CL273" s="136"/>
      <c r="CM273" s="136"/>
      <c r="CN273" s="136"/>
      <c r="CO273" s="136"/>
      <c r="CP273" s="136"/>
      <c r="CQ273" s="136"/>
      <c r="CR273" s="136"/>
      <c r="CS273" s="136"/>
      <c r="CT273" s="136"/>
      <c r="CU273" s="136"/>
      <c r="CV273" s="136"/>
      <c r="CW273" s="136"/>
      <c r="CX273" s="136"/>
      <c r="CY273" s="136"/>
      <c r="CZ273" s="136"/>
      <c r="DA273" s="136"/>
      <c r="DB273" s="136"/>
      <c r="DC273" s="136"/>
      <c r="DD273" s="136"/>
      <c r="DE273" s="136"/>
      <c r="DF273" s="136"/>
      <c r="DG273" s="136"/>
      <c r="DH273" s="136"/>
      <c r="DI273" s="136"/>
      <c r="DJ273" s="136"/>
      <c r="DK273" s="136"/>
      <c r="DL273" s="136"/>
      <c r="DM273" s="136"/>
      <c r="DN273" s="136"/>
      <c r="DO273" s="136"/>
      <c r="DP273" s="136"/>
      <c r="DQ273" s="136"/>
      <c r="DR273" s="136"/>
      <c r="DS273" s="136"/>
      <c r="DT273" s="136"/>
      <c r="DU273" s="136"/>
      <c r="DV273" s="136"/>
      <c r="DW273" s="136"/>
      <c r="DX273" s="136"/>
      <c r="DY273" s="136"/>
      <c r="DZ273" s="136"/>
      <c r="EA273" s="136"/>
      <c r="EB273" s="136"/>
      <c r="EC273" s="136"/>
      <c r="ED273" s="136"/>
      <c r="EE273" s="136"/>
      <c r="EF273" s="136"/>
      <c r="EG273" s="136"/>
      <c r="EH273" s="136"/>
      <c r="EI273" s="136"/>
      <c r="EJ273" s="136"/>
      <c r="EK273" s="136"/>
      <c r="EL273" s="136"/>
      <c r="EM273" s="136"/>
      <c r="EN273" s="136"/>
      <c r="EO273" s="136"/>
      <c r="EP273" s="136"/>
      <c r="EQ273" s="136"/>
      <c r="ER273" s="136"/>
      <c r="ES273" s="136"/>
      <c r="ET273" s="136"/>
      <c r="EU273" s="136"/>
      <c r="EV273" s="136"/>
      <c r="EW273" s="136"/>
      <c r="EX273" s="136"/>
      <c r="EY273" s="136"/>
      <c r="EZ273" s="136"/>
      <c r="FA273" s="136"/>
      <c r="FB273" s="136"/>
      <c r="FC273" s="136"/>
      <c r="FD273" s="136"/>
      <c r="FE273" s="136"/>
      <c r="FF273" s="136"/>
      <c r="FG273" s="136"/>
      <c r="FH273" s="136"/>
      <c r="FI273" s="136"/>
      <c r="FJ273" s="136"/>
      <c r="FK273" s="136"/>
      <c r="FL273" s="136"/>
      <c r="FM273" s="136"/>
      <c r="FN273" s="136"/>
      <c r="FO273" s="136"/>
      <c r="FP273" s="136"/>
      <c r="FQ273" s="136"/>
      <c r="FR273" s="136"/>
      <c r="FS273" s="136"/>
      <c r="FT273" s="136"/>
      <c r="FU273" s="136"/>
      <c r="FV273" s="136"/>
      <c r="FW273" s="136"/>
      <c r="FX273" s="136"/>
      <c r="FY273" s="136"/>
      <c r="FZ273" s="136"/>
      <c r="GA273" s="136"/>
      <c r="GB273" s="136"/>
      <c r="GC273" s="136"/>
      <c r="GD273" s="136"/>
      <c r="GE273" s="136"/>
      <c r="GF273" s="136"/>
      <c r="GG273" s="136"/>
      <c r="GH273" s="136"/>
      <c r="GI273" s="136"/>
      <c r="GJ273" s="136"/>
      <c r="GK273" s="136"/>
      <c r="GL273" s="136"/>
      <c r="GM273" s="136"/>
      <c r="GN273" s="136"/>
      <c r="GO273" s="136"/>
      <c r="GP273" s="136"/>
      <c r="GQ273" s="136"/>
      <c r="GR273" s="136"/>
      <c r="GS273" s="136"/>
      <c r="GT273" s="136"/>
      <c r="GU273" s="136"/>
      <c r="GV273" s="136"/>
      <c r="GW273" s="136"/>
      <c r="GX273" s="136"/>
      <c r="GY273" s="136"/>
      <c r="GZ273" s="136"/>
      <c r="HA273" s="136"/>
      <c r="HB273" s="136"/>
      <c r="HC273" s="136"/>
      <c r="HD273" s="136"/>
      <c r="HE273" s="136"/>
      <c r="HF273" s="136"/>
      <c r="HG273" s="136"/>
      <c r="HH273" s="136"/>
      <c r="HI273" s="136"/>
      <c r="HJ273" s="136"/>
      <c r="HK273" s="136"/>
      <c r="HL273" s="136"/>
      <c r="HM273" s="136"/>
      <c r="HN273" s="136"/>
      <c r="HO273" s="136"/>
      <c r="HP273" s="136"/>
      <c r="HQ273" s="136"/>
      <c r="HR273" s="136"/>
      <c r="HS273" s="136"/>
      <c r="HT273" s="136"/>
      <c r="HU273" s="136"/>
      <c r="HV273" s="136"/>
      <c r="HW273" s="136"/>
      <c r="HX273" s="136"/>
      <c r="HY273" s="136"/>
      <c r="HZ273" s="136"/>
      <c r="IA273" s="136"/>
      <c r="IB273" s="136"/>
      <c r="IC273" s="136"/>
      <c r="ID273" s="136"/>
      <c r="IE273" s="136"/>
      <c r="IF273" s="136"/>
      <c r="IG273" s="136"/>
      <c r="IH273" s="136"/>
      <c r="II273" s="136"/>
      <c r="IJ273" s="136"/>
      <c r="IK273" s="136"/>
      <c r="IL273" s="136"/>
      <c r="IM273" s="136"/>
      <c r="IN273" s="136"/>
      <c r="IO273" s="136"/>
      <c r="IP273" s="136"/>
      <c r="IQ273" s="136"/>
      <c r="IR273" s="136"/>
      <c r="IS273" s="136"/>
      <c r="IT273" s="136"/>
      <c r="IU273" s="136"/>
    </row>
    <row r="274" spans="1:255" ht="48" customHeight="1" x14ac:dyDescent="0.2">
      <c r="A274" s="242" t="str">
        <f>'HECVAT - Full'!A274</f>
        <v>HIPA-06</v>
      </c>
      <c r="B274" s="242" t="str">
        <f>VLOOKUP(A274,'HECVAT - Full'!A$24:B$312,2,FALSE)</f>
        <v>Do you have a plan to comply with the Breach Notification requirements if there is a breach of data?</v>
      </c>
      <c r="C274" s="243" t="s">
        <v>690</v>
      </c>
      <c r="D274" s="253" t="s">
        <v>2978</v>
      </c>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6"/>
      <c r="AN274" s="136"/>
      <c r="AO274" s="136"/>
      <c r="AP274" s="136"/>
      <c r="AQ274" s="136"/>
      <c r="AR274" s="136"/>
      <c r="AS274" s="136"/>
      <c r="AT274" s="136"/>
      <c r="AU274" s="136"/>
      <c r="AV274" s="136"/>
      <c r="AW274" s="136"/>
      <c r="AX274" s="136"/>
      <c r="AY274" s="136"/>
      <c r="AZ274" s="136"/>
      <c r="BA274" s="136"/>
      <c r="BB274" s="136"/>
      <c r="BC274" s="136"/>
      <c r="BD274" s="136"/>
      <c r="BE274" s="136"/>
      <c r="BF274" s="136"/>
      <c r="BG274" s="136"/>
      <c r="BH274" s="136"/>
      <c r="BI274" s="136"/>
      <c r="BJ274" s="136"/>
      <c r="BK274" s="136"/>
      <c r="BL274" s="136"/>
      <c r="BM274" s="136"/>
      <c r="BN274" s="136"/>
      <c r="BO274" s="136"/>
      <c r="BP274" s="136"/>
      <c r="BQ274" s="136"/>
      <c r="BR274" s="136"/>
      <c r="BS274" s="136"/>
      <c r="BT274" s="136"/>
      <c r="BU274" s="136"/>
      <c r="BV274" s="136"/>
      <c r="BW274" s="136"/>
      <c r="BX274" s="136"/>
      <c r="BY274" s="136"/>
      <c r="BZ274" s="136"/>
      <c r="CA274" s="136"/>
      <c r="CB274" s="136"/>
      <c r="CC274" s="136"/>
      <c r="CD274" s="136"/>
      <c r="CE274" s="136"/>
      <c r="CF274" s="136"/>
      <c r="CG274" s="136"/>
      <c r="CH274" s="136"/>
      <c r="CI274" s="136"/>
      <c r="CJ274" s="136"/>
      <c r="CK274" s="136"/>
      <c r="CL274" s="136"/>
      <c r="CM274" s="136"/>
      <c r="CN274" s="136"/>
      <c r="CO274" s="136"/>
      <c r="CP274" s="136"/>
      <c r="CQ274" s="136"/>
      <c r="CR274" s="136"/>
      <c r="CS274" s="136"/>
      <c r="CT274" s="136"/>
      <c r="CU274" s="136"/>
      <c r="CV274" s="136"/>
      <c r="CW274" s="136"/>
      <c r="CX274" s="136"/>
      <c r="CY274" s="136"/>
      <c r="CZ274" s="136"/>
      <c r="DA274" s="136"/>
      <c r="DB274" s="136"/>
      <c r="DC274" s="136"/>
      <c r="DD274" s="136"/>
      <c r="DE274" s="136"/>
      <c r="DF274" s="136"/>
      <c r="DG274" s="136"/>
      <c r="DH274" s="136"/>
      <c r="DI274" s="136"/>
      <c r="DJ274" s="136"/>
      <c r="DK274" s="136"/>
      <c r="DL274" s="136"/>
      <c r="DM274" s="136"/>
      <c r="DN274" s="136"/>
      <c r="DO274" s="136"/>
      <c r="DP274" s="136"/>
      <c r="DQ274" s="136"/>
      <c r="DR274" s="136"/>
      <c r="DS274" s="136"/>
      <c r="DT274" s="136"/>
      <c r="DU274" s="136"/>
      <c r="DV274" s="136"/>
      <c r="DW274" s="136"/>
      <c r="DX274" s="136"/>
      <c r="DY274" s="136"/>
      <c r="DZ274" s="136"/>
      <c r="EA274" s="136"/>
      <c r="EB274" s="136"/>
      <c r="EC274" s="136"/>
      <c r="ED274" s="136"/>
      <c r="EE274" s="136"/>
      <c r="EF274" s="136"/>
      <c r="EG274" s="136"/>
      <c r="EH274" s="136"/>
      <c r="EI274" s="136"/>
      <c r="EJ274" s="136"/>
      <c r="EK274" s="136"/>
      <c r="EL274" s="136"/>
      <c r="EM274" s="136"/>
      <c r="EN274" s="136"/>
      <c r="EO274" s="136"/>
      <c r="EP274" s="136"/>
      <c r="EQ274" s="136"/>
      <c r="ER274" s="136"/>
      <c r="ES274" s="136"/>
      <c r="ET274" s="136"/>
      <c r="EU274" s="136"/>
      <c r="EV274" s="136"/>
      <c r="EW274" s="136"/>
      <c r="EX274" s="136"/>
      <c r="EY274" s="136"/>
      <c r="EZ274" s="136"/>
      <c r="FA274" s="136"/>
      <c r="FB274" s="136"/>
      <c r="FC274" s="136"/>
      <c r="FD274" s="136"/>
      <c r="FE274" s="136"/>
      <c r="FF274" s="136"/>
      <c r="FG274" s="136"/>
      <c r="FH274" s="136"/>
      <c r="FI274" s="136"/>
      <c r="FJ274" s="136"/>
      <c r="FK274" s="136"/>
      <c r="FL274" s="136"/>
      <c r="FM274" s="136"/>
      <c r="FN274" s="136"/>
      <c r="FO274" s="136"/>
      <c r="FP274" s="136"/>
      <c r="FQ274" s="136"/>
      <c r="FR274" s="136"/>
      <c r="FS274" s="136"/>
      <c r="FT274" s="136"/>
      <c r="FU274" s="136"/>
      <c r="FV274" s="136"/>
      <c r="FW274" s="136"/>
      <c r="FX274" s="136"/>
      <c r="FY274" s="136"/>
      <c r="FZ274" s="136"/>
      <c r="GA274" s="136"/>
      <c r="GB274" s="136"/>
      <c r="GC274" s="136"/>
      <c r="GD274" s="136"/>
      <c r="GE274" s="136"/>
      <c r="GF274" s="136"/>
      <c r="GG274" s="136"/>
      <c r="GH274" s="136"/>
      <c r="GI274" s="136"/>
      <c r="GJ274" s="136"/>
      <c r="GK274" s="136"/>
      <c r="GL274" s="136"/>
      <c r="GM274" s="136"/>
      <c r="GN274" s="136"/>
      <c r="GO274" s="136"/>
      <c r="GP274" s="136"/>
      <c r="GQ274" s="136"/>
      <c r="GR274" s="136"/>
      <c r="GS274" s="136"/>
      <c r="GT274" s="136"/>
      <c r="GU274" s="136"/>
      <c r="GV274" s="136"/>
      <c r="GW274" s="136"/>
      <c r="GX274" s="136"/>
      <c r="GY274" s="136"/>
      <c r="GZ274" s="136"/>
      <c r="HA274" s="136"/>
      <c r="HB274" s="136"/>
      <c r="HC274" s="136"/>
      <c r="HD274" s="136"/>
      <c r="HE274" s="136"/>
      <c r="HF274" s="136"/>
      <c r="HG274" s="136"/>
      <c r="HH274" s="136"/>
      <c r="HI274" s="136"/>
      <c r="HJ274" s="136"/>
      <c r="HK274" s="136"/>
      <c r="HL274" s="136"/>
      <c r="HM274" s="136"/>
      <c r="HN274" s="136"/>
      <c r="HO274" s="136"/>
      <c r="HP274" s="136"/>
      <c r="HQ274" s="136"/>
      <c r="HR274" s="136"/>
      <c r="HS274" s="136"/>
      <c r="HT274" s="136"/>
      <c r="HU274" s="136"/>
      <c r="HV274" s="136"/>
      <c r="HW274" s="136"/>
      <c r="HX274" s="136"/>
      <c r="HY274" s="136"/>
      <c r="HZ274" s="136"/>
      <c r="IA274" s="136"/>
      <c r="IB274" s="136"/>
      <c r="IC274" s="136"/>
      <c r="ID274" s="136"/>
      <c r="IE274" s="136"/>
      <c r="IF274" s="136"/>
      <c r="IG274" s="136"/>
      <c r="IH274" s="136"/>
      <c r="II274" s="136"/>
      <c r="IJ274" s="136"/>
      <c r="IK274" s="136"/>
      <c r="IL274" s="136"/>
      <c r="IM274" s="136"/>
      <c r="IN274" s="136"/>
      <c r="IO274" s="136"/>
      <c r="IP274" s="136"/>
      <c r="IQ274" s="136"/>
      <c r="IR274" s="136"/>
      <c r="IS274" s="136"/>
      <c r="IT274" s="136"/>
      <c r="IU274" s="136"/>
    </row>
    <row r="275" spans="1:255" ht="48" customHeight="1" x14ac:dyDescent="0.2">
      <c r="A275" s="242" t="str">
        <f>'HECVAT - Full'!A275</f>
        <v>HIPA-07</v>
      </c>
      <c r="B275" s="242" t="str">
        <f>VLOOKUP(A275,'HECVAT - Full'!A$24:B$312,2,FALSE)</f>
        <v>Have you conducted a risk analysis as required under the Security Rule?</v>
      </c>
      <c r="C275" s="243" t="s">
        <v>599</v>
      </c>
      <c r="D275" s="253" t="s">
        <v>2978</v>
      </c>
      <c r="E275" s="13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6"/>
      <c r="AN275" s="136"/>
      <c r="AO275" s="136"/>
      <c r="AP275" s="136"/>
      <c r="AQ275" s="136"/>
      <c r="AR275" s="136"/>
      <c r="AS275" s="136"/>
      <c r="AT275" s="136"/>
      <c r="AU275" s="136"/>
      <c r="AV275" s="136"/>
      <c r="AW275" s="136"/>
      <c r="AX275" s="136"/>
      <c r="AY275" s="136"/>
      <c r="AZ275" s="136"/>
      <c r="BA275" s="136"/>
      <c r="BB275" s="136"/>
      <c r="BC275" s="136"/>
      <c r="BD275" s="136"/>
      <c r="BE275" s="136"/>
      <c r="BF275" s="136"/>
      <c r="BG275" s="136"/>
      <c r="BH275" s="136"/>
      <c r="BI275" s="136"/>
      <c r="BJ275" s="136"/>
      <c r="BK275" s="136"/>
      <c r="BL275" s="136"/>
      <c r="BM275" s="136"/>
      <c r="BN275" s="136"/>
      <c r="BO275" s="136"/>
      <c r="BP275" s="136"/>
      <c r="BQ275" s="136"/>
      <c r="BR275" s="136"/>
      <c r="BS275" s="136"/>
      <c r="BT275" s="136"/>
      <c r="BU275" s="136"/>
      <c r="BV275" s="136"/>
      <c r="BW275" s="136"/>
      <c r="BX275" s="136"/>
      <c r="BY275" s="136"/>
      <c r="BZ275" s="136"/>
      <c r="CA275" s="136"/>
      <c r="CB275" s="136"/>
      <c r="CC275" s="136"/>
      <c r="CD275" s="136"/>
      <c r="CE275" s="136"/>
      <c r="CF275" s="136"/>
      <c r="CG275" s="136"/>
      <c r="CH275" s="136"/>
      <c r="CI275" s="136"/>
      <c r="CJ275" s="136"/>
      <c r="CK275" s="136"/>
      <c r="CL275" s="136"/>
      <c r="CM275" s="136"/>
      <c r="CN275" s="136"/>
      <c r="CO275" s="136"/>
      <c r="CP275" s="136"/>
      <c r="CQ275" s="136"/>
      <c r="CR275" s="136"/>
      <c r="CS275" s="136"/>
      <c r="CT275" s="136"/>
      <c r="CU275" s="136"/>
      <c r="CV275" s="136"/>
      <c r="CW275" s="136"/>
      <c r="CX275" s="136"/>
      <c r="CY275" s="136"/>
      <c r="CZ275" s="136"/>
      <c r="DA275" s="136"/>
      <c r="DB275" s="136"/>
      <c r="DC275" s="136"/>
      <c r="DD275" s="136"/>
      <c r="DE275" s="136"/>
      <c r="DF275" s="136"/>
      <c r="DG275" s="136"/>
      <c r="DH275" s="136"/>
      <c r="DI275" s="136"/>
      <c r="DJ275" s="136"/>
      <c r="DK275" s="136"/>
      <c r="DL275" s="136"/>
      <c r="DM275" s="136"/>
      <c r="DN275" s="136"/>
      <c r="DO275" s="136"/>
      <c r="DP275" s="136"/>
      <c r="DQ275" s="136"/>
      <c r="DR275" s="136"/>
      <c r="DS275" s="136"/>
      <c r="DT275" s="136"/>
      <c r="DU275" s="136"/>
      <c r="DV275" s="136"/>
      <c r="DW275" s="136"/>
      <c r="DX275" s="136"/>
      <c r="DY275" s="136"/>
      <c r="DZ275" s="136"/>
      <c r="EA275" s="136"/>
      <c r="EB275" s="136"/>
      <c r="EC275" s="136"/>
      <c r="ED275" s="136"/>
      <c r="EE275" s="136"/>
      <c r="EF275" s="136"/>
      <c r="EG275" s="136"/>
      <c r="EH275" s="136"/>
      <c r="EI275" s="136"/>
      <c r="EJ275" s="136"/>
      <c r="EK275" s="136"/>
      <c r="EL275" s="136"/>
      <c r="EM275" s="136"/>
      <c r="EN275" s="136"/>
      <c r="EO275" s="136"/>
      <c r="EP275" s="136"/>
      <c r="EQ275" s="136"/>
      <c r="ER275" s="136"/>
      <c r="ES275" s="136"/>
      <c r="ET275" s="136"/>
      <c r="EU275" s="136"/>
      <c r="EV275" s="136"/>
      <c r="EW275" s="136"/>
      <c r="EX275" s="136"/>
      <c r="EY275" s="136"/>
      <c r="EZ275" s="136"/>
      <c r="FA275" s="136"/>
      <c r="FB275" s="136"/>
      <c r="FC275" s="136"/>
      <c r="FD275" s="136"/>
      <c r="FE275" s="136"/>
      <c r="FF275" s="136"/>
      <c r="FG275" s="136"/>
      <c r="FH275" s="136"/>
      <c r="FI275" s="136"/>
      <c r="FJ275" s="136"/>
      <c r="FK275" s="136"/>
      <c r="FL275" s="136"/>
      <c r="FM275" s="136"/>
      <c r="FN275" s="136"/>
      <c r="FO275" s="136"/>
      <c r="FP275" s="136"/>
      <c r="FQ275" s="136"/>
      <c r="FR275" s="136"/>
      <c r="FS275" s="136"/>
      <c r="FT275" s="136"/>
      <c r="FU275" s="136"/>
      <c r="FV275" s="136"/>
      <c r="FW275" s="136"/>
      <c r="FX275" s="136"/>
      <c r="FY275" s="136"/>
      <c r="FZ275" s="136"/>
      <c r="GA275" s="136"/>
      <c r="GB275" s="136"/>
      <c r="GC275" s="136"/>
      <c r="GD275" s="136"/>
      <c r="GE275" s="136"/>
      <c r="GF275" s="136"/>
      <c r="GG275" s="136"/>
      <c r="GH275" s="136"/>
      <c r="GI275" s="136"/>
      <c r="GJ275" s="136"/>
      <c r="GK275" s="136"/>
      <c r="GL275" s="136"/>
      <c r="GM275" s="136"/>
      <c r="GN275" s="136"/>
      <c r="GO275" s="136"/>
      <c r="GP275" s="136"/>
      <c r="GQ275" s="136"/>
      <c r="GR275" s="136"/>
      <c r="GS275" s="136"/>
      <c r="GT275" s="136"/>
      <c r="GU275" s="136"/>
      <c r="GV275" s="136"/>
      <c r="GW275" s="136"/>
      <c r="GX275" s="136"/>
      <c r="GY275" s="136"/>
      <c r="GZ275" s="136"/>
      <c r="HA275" s="136"/>
      <c r="HB275" s="136"/>
      <c r="HC275" s="136"/>
      <c r="HD275" s="136"/>
      <c r="HE275" s="136"/>
      <c r="HF275" s="136"/>
      <c r="HG275" s="136"/>
      <c r="HH275" s="136"/>
      <c r="HI275" s="136"/>
      <c r="HJ275" s="136"/>
      <c r="HK275" s="136"/>
      <c r="HL275" s="136"/>
      <c r="HM275" s="136"/>
      <c r="HN275" s="136"/>
      <c r="HO275" s="136"/>
      <c r="HP275" s="136"/>
      <c r="HQ275" s="136"/>
      <c r="HR275" s="136"/>
      <c r="HS275" s="136"/>
      <c r="HT275" s="136"/>
      <c r="HU275" s="136"/>
      <c r="HV275" s="136"/>
      <c r="HW275" s="136"/>
      <c r="HX275" s="136"/>
      <c r="HY275" s="136"/>
      <c r="HZ275" s="136"/>
      <c r="IA275" s="136"/>
      <c r="IB275" s="136"/>
      <c r="IC275" s="136"/>
      <c r="ID275" s="136"/>
      <c r="IE275" s="136"/>
      <c r="IF275" s="136"/>
      <c r="IG275" s="136"/>
      <c r="IH275" s="136"/>
      <c r="II275" s="136"/>
      <c r="IJ275" s="136"/>
      <c r="IK275" s="136"/>
      <c r="IL275" s="136"/>
      <c r="IM275" s="136"/>
      <c r="IN275" s="136"/>
      <c r="IO275" s="136"/>
      <c r="IP275" s="136"/>
      <c r="IQ275" s="136"/>
      <c r="IR275" s="136"/>
      <c r="IS275" s="136"/>
      <c r="IT275" s="136"/>
      <c r="IU275" s="136"/>
    </row>
    <row r="276" spans="1:255" ht="48" customHeight="1" x14ac:dyDescent="0.2">
      <c r="A276" s="242" t="str">
        <f>'HECVAT - Full'!A276</f>
        <v>HIPA-08</v>
      </c>
      <c r="B276" s="242" t="str">
        <f>VLOOKUP(A276,'HECVAT - Full'!A$24:B$312,2,FALSE)</f>
        <v>Have you identified areas of risks?</v>
      </c>
      <c r="C276" s="243" t="s">
        <v>611</v>
      </c>
      <c r="D276" s="253" t="s">
        <v>2978</v>
      </c>
      <c r="E276" s="13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6"/>
      <c r="AN276" s="136"/>
      <c r="AO276" s="136"/>
      <c r="AP276" s="136"/>
      <c r="AQ276" s="136"/>
      <c r="AR276" s="136"/>
      <c r="AS276" s="136"/>
      <c r="AT276" s="136"/>
      <c r="AU276" s="136"/>
      <c r="AV276" s="136"/>
      <c r="AW276" s="136"/>
      <c r="AX276" s="136"/>
      <c r="AY276" s="136"/>
      <c r="AZ276" s="136"/>
      <c r="BA276" s="136"/>
      <c r="BB276" s="136"/>
      <c r="BC276" s="136"/>
      <c r="BD276" s="136"/>
      <c r="BE276" s="136"/>
      <c r="BF276" s="136"/>
      <c r="BG276" s="136"/>
      <c r="BH276" s="136"/>
      <c r="BI276" s="136"/>
      <c r="BJ276" s="136"/>
      <c r="BK276" s="136"/>
      <c r="BL276" s="136"/>
      <c r="BM276" s="136"/>
      <c r="BN276" s="136"/>
      <c r="BO276" s="136"/>
      <c r="BP276" s="136"/>
      <c r="BQ276" s="136"/>
      <c r="BR276" s="136"/>
      <c r="BS276" s="136"/>
      <c r="BT276" s="136"/>
      <c r="BU276" s="136"/>
      <c r="BV276" s="136"/>
      <c r="BW276" s="136"/>
      <c r="BX276" s="136"/>
      <c r="BY276" s="136"/>
      <c r="BZ276" s="136"/>
      <c r="CA276" s="136"/>
      <c r="CB276" s="136"/>
      <c r="CC276" s="136"/>
      <c r="CD276" s="136"/>
      <c r="CE276" s="136"/>
      <c r="CF276" s="136"/>
      <c r="CG276" s="136"/>
      <c r="CH276" s="136"/>
      <c r="CI276" s="136"/>
      <c r="CJ276" s="136"/>
      <c r="CK276" s="136"/>
      <c r="CL276" s="136"/>
      <c r="CM276" s="136"/>
      <c r="CN276" s="136"/>
      <c r="CO276" s="136"/>
      <c r="CP276" s="136"/>
      <c r="CQ276" s="136"/>
      <c r="CR276" s="136"/>
      <c r="CS276" s="136"/>
      <c r="CT276" s="136"/>
      <c r="CU276" s="136"/>
      <c r="CV276" s="136"/>
      <c r="CW276" s="136"/>
      <c r="CX276" s="136"/>
      <c r="CY276" s="136"/>
      <c r="CZ276" s="136"/>
      <c r="DA276" s="136"/>
      <c r="DB276" s="136"/>
      <c r="DC276" s="136"/>
      <c r="DD276" s="136"/>
      <c r="DE276" s="136"/>
      <c r="DF276" s="136"/>
      <c r="DG276" s="136"/>
      <c r="DH276" s="136"/>
      <c r="DI276" s="136"/>
      <c r="DJ276" s="136"/>
      <c r="DK276" s="136"/>
      <c r="DL276" s="136"/>
      <c r="DM276" s="136"/>
      <c r="DN276" s="136"/>
      <c r="DO276" s="136"/>
      <c r="DP276" s="136"/>
      <c r="DQ276" s="136"/>
      <c r="DR276" s="136"/>
      <c r="DS276" s="136"/>
      <c r="DT276" s="136"/>
      <c r="DU276" s="136"/>
      <c r="DV276" s="136"/>
      <c r="DW276" s="136"/>
      <c r="DX276" s="136"/>
      <c r="DY276" s="136"/>
      <c r="DZ276" s="136"/>
      <c r="EA276" s="136"/>
      <c r="EB276" s="136"/>
      <c r="EC276" s="136"/>
      <c r="ED276" s="136"/>
      <c r="EE276" s="136"/>
      <c r="EF276" s="136"/>
      <c r="EG276" s="136"/>
      <c r="EH276" s="136"/>
      <c r="EI276" s="136"/>
      <c r="EJ276" s="136"/>
      <c r="EK276" s="136"/>
      <c r="EL276" s="136"/>
      <c r="EM276" s="136"/>
      <c r="EN276" s="136"/>
      <c r="EO276" s="136"/>
      <c r="EP276" s="136"/>
      <c r="EQ276" s="136"/>
      <c r="ER276" s="136"/>
      <c r="ES276" s="136"/>
      <c r="ET276" s="136"/>
      <c r="EU276" s="136"/>
      <c r="EV276" s="136"/>
      <c r="EW276" s="136"/>
      <c r="EX276" s="136"/>
      <c r="EY276" s="136"/>
      <c r="EZ276" s="136"/>
      <c r="FA276" s="136"/>
      <c r="FB276" s="136"/>
      <c r="FC276" s="136"/>
      <c r="FD276" s="136"/>
      <c r="FE276" s="136"/>
      <c r="FF276" s="136"/>
      <c r="FG276" s="136"/>
      <c r="FH276" s="136"/>
      <c r="FI276" s="136"/>
      <c r="FJ276" s="136"/>
      <c r="FK276" s="136"/>
      <c r="FL276" s="136"/>
      <c r="FM276" s="136"/>
      <c r="FN276" s="136"/>
      <c r="FO276" s="136"/>
      <c r="FP276" s="136"/>
      <c r="FQ276" s="136"/>
      <c r="FR276" s="136"/>
      <c r="FS276" s="136"/>
      <c r="FT276" s="136"/>
      <c r="FU276" s="136"/>
      <c r="FV276" s="136"/>
      <c r="FW276" s="136"/>
      <c r="FX276" s="136"/>
      <c r="FY276" s="136"/>
      <c r="FZ276" s="136"/>
      <c r="GA276" s="136"/>
      <c r="GB276" s="136"/>
      <c r="GC276" s="136"/>
      <c r="GD276" s="136"/>
      <c r="GE276" s="136"/>
      <c r="GF276" s="136"/>
      <c r="GG276" s="136"/>
      <c r="GH276" s="136"/>
      <c r="GI276" s="136"/>
      <c r="GJ276" s="136"/>
      <c r="GK276" s="136"/>
      <c r="GL276" s="136"/>
      <c r="GM276" s="136"/>
      <c r="GN276" s="136"/>
      <c r="GO276" s="136"/>
      <c r="GP276" s="136"/>
      <c r="GQ276" s="136"/>
      <c r="GR276" s="136"/>
      <c r="GS276" s="136"/>
      <c r="GT276" s="136"/>
      <c r="GU276" s="136"/>
      <c r="GV276" s="136"/>
      <c r="GW276" s="136"/>
      <c r="GX276" s="136"/>
      <c r="GY276" s="136"/>
      <c r="GZ276" s="136"/>
      <c r="HA276" s="136"/>
      <c r="HB276" s="136"/>
      <c r="HC276" s="136"/>
      <c r="HD276" s="136"/>
      <c r="HE276" s="136"/>
      <c r="HF276" s="136"/>
      <c r="HG276" s="136"/>
      <c r="HH276" s="136"/>
      <c r="HI276" s="136"/>
      <c r="HJ276" s="136"/>
      <c r="HK276" s="136"/>
      <c r="HL276" s="136"/>
      <c r="HM276" s="136"/>
      <c r="HN276" s="136"/>
      <c r="HO276" s="136"/>
      <c r="HP276" s="136"/>
      <c r="HQ276" s="136"/>
      <c r="HR276" s="136"/>
      <c r="HS276" s="136"/>
      <c r="HT276" s="136"/>
      <c r="HU276" s="136"/>
      <c r="HV276" s="136"/>
      <c r="HW276" s="136"/>
      <c r="HX276" s="136"/>
      <c r="HY276" s="136"/>
      <c r="HZ276" s="136"/>
      <c r="IA276" s="136"/>
      <c r="IB276" s="136"/>
      <c r="IC276" s="136"/>
      <c r="ID276" s="136"/>
      <c r="IE276" s="136"/>
      <c r="IF276" s="136"/>
      <c r="IG276" s="136"/>
      <c r="IH276" s="136"/>
      <c r="II276" s="136"/>
      <c r="IJ276" s="136"/>
      <c r="IK276" s="136"/>
      <c r="IL276" s="136"/>
      <c r="IM276" s="136"/>
      <c r="IN276" s="136"/>
      <c r="IO276" s="136"/>
      <c r="IP276" s="136"/>
      <c r="IQ276" s="136"/>
      <c r="IR276" s="136"/>
      <c r="IS276" s="136"/>
      <c r="IT276" s="136"/>
      <c r="IU276" s="136"/>
    </row>
    <row r="277" spans="1:255" ht="48" customHeight="1" x14ac:dyDescent="0.2">
      <c r="A277" s="242" t="str">
        <f>'HECVAT - Full'!A277</f>
        <v>HIPA-09</v>
      </c>
      <c r="B277" s="242" t="str">
        <f>VLOOKUP(A277,'HECVAT - Full'!A$24:B$312,2,FALSE)</f>
        <v>Have you taken actions to mitigate the identified risks?</v>
      </c>
      <c r="C277" s="243" t="s">
        <v>600</v>
      </c>
      <c r="D277" s="253" t="s">
        <v>2978</v>
      </c>
      <c r="E277" s="13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6"/>
      <c r="AN277" s="136"/>
      <c r="AO277" s="136"/>
      <c r="AP277" s="136"/>
      <c r="AQ277" s="136"/>
      <c r="AR277" s="136"/>
      <c r="AS277" s="136"/>
      <c r="AT277" s="136"/>
      <c r="AU277" s="136"/>
      <c r="AV277" s="136"/>
      <c r="AW277" s="136"/>
      <c r="AX277" s="136"/>
      <c r="AY277" s="136"/>
      <c r="AZ277" s="136"/>
      <c r="BA277" s="136"/>
      <c r="BB277" s="136"/>
      <c r="BC277" s="136"/>
      <c r="BD277" s="136"/>
      <c r="BE277" s="136"/>
      <c r="BF277" s="136"/>
      <c r="BG277" s="136"/>
      <c r="BH277" s="136"/>
      <c r="BI277" s="136"/>
      <c r="BJ277" s="136"/>
      <c r="BK277" s="136"/>
      <c r="BL277" s="136"/>
      <c r="BM277" s="136"/>
      <c r="BN277" s="136"/>
      <c r="BO277" s="136"/>
      <c r="BP277" s="136"/>
      <c r="BQ277" s="136"/>
      <c r="BR277" s="136"/>
      <c r="BS277" s="136"/>
      <c r="BT277" s="136"/>
      <c r="BU277" s="136"/>
      <c r="BV277" s="136"/>
      <c r="BW277" s="136"/>
      <c r="BX277" s="136"/>
      <c r="BY277" s="136"/>
      <c r="BZ277" s="136"/>
      <c r="CA277" s="136"/>
      <c r="CB277" s="136"/>
      <c r="CC277" s="136"/>
      <c r="CD277" s="136"/>
      <c r="CE277" s="136"/>
      <c r="CF277" s="136"/>
      <c r="CG277" s="136"/>
      <c r="CH277" s="136"/>
      <c r="CI277" s="136"/>
      <c r="CJ277" s="136"/>
      <c r="CK277" s="136"/>
      <c r="CL277" s="136"/>
      <c r="CM277" s="136"/>
      <c r="CN277" s="136"/>
      <c r="CO277" s="136"/>
      <c r="CP277" s="136"/>
      <c r="CQ277" s="136"/>
      <c r="CR277" s="136"/>
      <c r="CS277" s="136"/>
      <c r="CT277" s="136"/>
      <c r="CU277" s="136"/>
      <c r="CV277" s="136"/>
      <c r="CW277" s="136"/>
      <c r="CX277" s="136"/>
      <c r="CY277" s="136"/>
      <c r="CZ277" s="136"/>
      <c r="DA277" s="136"/>
      <c r="DB277" s="136"/>
      <c r="DC277" s="136"/>
      <c r="DD277" s="136"/>
      <c r="DE277" s="136"/>
      <c r="DF277" s="136"/>
      <c r="DG277" s="136"/>
      <c r="DH277" s="136"/>
      <c r="DI277" s="136"/>
      <c r="DJ277" s="136"/>
      <c r="DK277" s="136"/>
      <c r="DL277" s="136"/>
      <c r="DM277" s="136"/>
      <c r="DN277" s="136"/>
      <c r="DO277" s="136"/>
      <c r="DP277" s="136"/>
      <c r="DQ277" s="136"/>
      <c r="DR277" s="136"/>
      <c r="DS277" s="136"/>
      <c r="DT277" s="136"/>
      <c r="DU277" s="136"/>
      <c r="DV277" s="136"/>
      <c r="DW277" s="136"/>
      <c r="DX277" s="136"/>
      <c r="DY277" s="136"/>
      <c r="DZ277" s="136"/>
      <c r="EA277" s="136"/>
      <c r="EB277" s="136"/>
      <c r="EC277" s="136"/>
      <c r="ED277" s="136"/>
      <c r="EE277" s="136"/>
      <c r="EF277" s="136"/>
      <c r="EG277" s="136"/>
      <c r="EH277" s="136"/>
      <c r="EI277" s="136"/>
      <c r="EJ277" s="136"/>
      <c r="EK277" s="136"/>
      <c r="EL277" s="136"/>
      <c r="EM277" s="136"/>
      <c r="EN277" s="136"/>
      <c r="EO277" s="136"/>
      <c r="EP277" s="136"/>
      <c r="EQ277" s="136"/>
      <c r="ER277" s="136"/>
      <c r="ES277" s="136"/>
      <c r="ET277" s="136"/>
      <c r="EU277" s="136"/>
      <c r="EV277" s="136"/>
      <c r="EW277" s="136"/>
      <c r="EX277" s="136"/>
      <c r="EY277" s="136"/>
      <c r="EZ277" s="136"/>
      <c r="FA277" s="136"/>
      <c r="FB277" s="136"/>
      <c r="FC277" s="136"/>
      <c r="FD277" s="136"/>
      <c r="FE277" s="136"/>
      <c r="FF277" s="136"/>
      <c r="FG277" s="136"/>
      <c r="FH277" s="136"/>
      <c r="FI277" s="136"/>
      <c r="FJ277" s="136"/>
      <c r="FK277" s="136"/>
      <c r="FL277" s="136"/>
      <c r="FM277" s="136"/>
      <c r="FN277" s="136"/>
      <c r="FO277" s="136"/>
      <c r="FP277" s="136"/>
      <c r="FQ277" s="136"/>
      <c r="FR277" s="136"/>
      <c r="FS277" s="136"/>
      <c r="FT277" s="136"/>
      <c r="FU277" s="136"/>
      <c r="FV277" s="136"/>
      <c r="FW277" s="136"/>
      <c r="FX277" s="136"/>
      <c r="FY277" s="136"/>
      <c r="FZ277" s="136"/>
      <c r="GA277" s="136"/>
      <c r="GB277" s="136"/>
      <c r="GC277" s="136"/>
      <c r="GD277" s="136"/>
      <c r="GE277" s="136"/>
      <c r="GF277" s="136"/>
      <c r="GG277" s="136"/>
      <c r="GH277" s="136"/>
      <c r="GI277" s="136"/>
      <c r="GJ277" s="136"/>
      <c r="GK277" s="136"/>
      <c r="GL277" s="136"/>
      <c r="GM277" s="136"/>
      <c r="GN277" s="136"/>
      <c r="GO277" s="136"/>
      <c r="GP277" s="136"/>
      <c r="GQ277" s="136"/>
      <c r="GR277" s="136"/>
      <c r="GS277" s="136"/>
      <c r="GT277" s="136"/>
      <c r="GU277" s="136"/>
      <c r="GV277" s="136"/>
      <c r="GW277" s="136"/>
      <c r="GX277" s="136"/>
      <c r="GY277" s="136"/>
      <c r="GZ277" s="136"/>
      <c r="HA277" s="136"/>
      <c r="HB277" s="136"/>
      <c r="HC277" s="136"/>
      <c r="HD277" s="136"/>
      <c r="HE277" s="136"/>
      <c r="HF277" s="136"/>
      <c r="HG277" s="136"/>
      <c r="HH277" s="136"/>
      <c r="HI277" s="136"/>
      <c r="HJ277" s="136"/>
      <c r="HK277" s="136"/>
      <c r="HL277" s="136"/>
      <c r="HM277" s="136"/>
      <c r="HN277" s="136"/>
      <c r="HO277" s="136"/>
      <c r="HP277" s="136"/>
      <c r="HQ277" s="136"/>
      <c r="HR277" s="136"/>
      <c r="HS277" s="136"/>
      <c r="HT277" s="136"/>
      <c r="HU277" s="136"/>
      <c r="HV277" s="136"/>
      <c r="HW277" s="136"/>
      <c r="HX277" s="136"/>
      <c r="HY277" s="136"/>
      <c r="HZ277" s="136"/>
      <c r="IA277" s="136"/>
      <c r="IB277" s="136"/>
      <c r="IC277" s="136"/>
      <c r="ID277" s="136"/>
      <c r="IE277" s="136"/>
      <c r="IF277" s="136"/>
      <c r="IG277" s="136"/>
      <c r="IH277" s="136"/>
      <c r="II277" s="136"/>
      <c r="IJ277" s="136"/>
      <c r="IK277" s="136"/>
      <c r="IL277" s="136"/>
      <c r="IM277" s="136"/>
      <c r="IN277" s="136"/>
      <c r="IO277" s="136"/>
      <c r="IP277" s="136"/>
      <c r="IQ277" s="136"/>
      <c r="IR277" s="136"/>
      <c r="IS277" s="136"/>
      <c r="IT277" s="136"/>
      <c r="IU277" s="136"/>
    </row>
    <row r="278" spans="1:255" ht="48" customHeight="1" x14ac:dyDescent="0.2">
      <c r="A278" s="242" t="str">
        <f>'HECVAT - Full'!A278</f>
        <v>HIPA-10</v>
      </c>
      <c r="B278" s="242" t="str">
        <f>VLOOKUP(A278,'HECVAT - Full'!A$24:B$312,2,FALSE)</f>
        <v>Does your application require user and system administrator password changes at a frequency no greater than 90 days?</v>
      </c>
      <c r="C278" s="243" t="s">
        <v>605</v>
      </c>
      <c r="D278" s="253" t="s">
        <v>2978</v>
      </c>
      <c r="E278" s="13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6"/>
      <c r="AN278" s="136"/>
      <c r="AO278" s="136"/>
      <c r="AP278" s="136"/>
      <c r="AQ278" s="136"/>
      <c r="AR278" s="136"/>
      <c r="AS278" s="136"/>
      <c r="AT278" s="136"/>
      <c r="AU278" s="136"/>
      <c r="AV278" s="136"/>
      <c r="AW278" s="136"/>
      <c r="AX278" s="136"/>
      <c r="AY278" s="136"/>
      <c r="AZ278" s="136"/>
      <c r="BA278" s="136"/>
      <c r="BB278" s="136"/>
      <c r="BC278" s="136"/>
      <c r="BD278" s="136"/>
      <c r="BE278" s="136"/>
      <c r="BF278" s="136"/>
      <c r="BG278" s="136"/>
      <c r="BH278" s="136"/>
      <c r="BI278" s="136"/>
      <c r="BJ278" s="136"/>
      <c r="BK278" s="136"/>
      <c r="BL278" s="136"/>
      <c r="BM278" s="136"/>
      <c r="BN278" s="136"/>
      <c r="BO278" s="136"/>
      <c r="BP278" s="136"/>
      <c r="BQ278" s="136"/>
      <c r="BR278" s="136"/>
      <c r="BS278" s="136"/>
      <c r="BT278" s="136"/>
      <c r="BU278" s="136"/>
      <c r="BV278" s="136"/>
      <c r="BW278" s="136"/>
      <c r="BX278" s="136"/>
      <c r="BY278" s="136"/>
      <c r="BZ278" s="136"/>
      <c r="CA278" s="136"/>
      <c r="CB278" s="136"/>
      <c r="CC278" s="136"/>
      <c r="CD278" s="136"/>
      <c r="CE278" s="136"/>
      <c r="CF278" s="136"/>
      <c r="CG278" s="136"/>
      <c r="CH278" s="136"/>
      <c r="CI278" s="136"/>
      <c r="CJ278" s="136"/>
      <c r="CK278" s="136"/>
      <c r="CL278" s="136"/>
      <c r="CM278" s="136"/>
      <c r="CN278" s="136"/>
      <c r="CO278" s="136"/>
      <c r="CP278" s="136"/>
      <c r="CQ278" s="136"/>
      <c r="CR278" s="136"/>
      <c r="CS278" s="136"/>
      <c r="CT278" s="136"/>
      <c r="CU278" s="136"/>
      <c r="CV278" s="136"/>
      <c r="CW278" s="136"/>
      <c r="CX278" s="136"/>
      <c r="CY278" s="136"/>
      <c r="CZ278" s="136"/>
      <c r="DA278" s="136"/>
      <c r="DB278" s="136"/>
      <c r="DC278" s="136"/>
      <c r="DD278" s="136"/>
      <c r="DE278" s="136"/>
      <c r="DF278" s="136"/>
      <c r="DG278" s="136"/>
      <c r="DH278" s="136"/>
      <c r="DI278" s="136"/>
      <c r="DJ278" s="136"/>
      <c r="DK278" s="136"/>
      <c r="DL278" s="136"/>
      <c r="DM278" s="136"/>
      <c r="DN278" s="136"/>
      <c r="DO278" s="136"/>
      <c r="DP278" s="136"/>
      <c r="DQ278" s="136"/>
      <c r="DR278" s="136"/>
      <c r="DS278" s="136"/>
      <c r="DT278" s="136"/>
      <c r="DU278" s="136"/>
      <c r="DV278" s="136"/>
      <c r="DW278" s="136"/>
      <c r="DX278" s="136"/>
      <c r="DY278" s="136"/>
      <c r="DZ278" s="136"/>
      <c r="EA278" s="136"/>
      <c r="EB278" s="136"/>
      <c r="EC278" s="136"/>
      <c r="ED278" s="136"/>
      <c r="EE278" s="136"/>
      <c r="EF278" s="136"/>
      <c r="EG278" s="136"/>
      <c r="EH278" s="136"/>
      <c r="EI278" s="136"/>
      <c r="EJ278" s="136"/>
      <c r="EK278" s="136"/>
      <c r="EL278" s="136"/>
      <c r="EM278" s="136"/>
      <c r="EN278" s="136"/>
      <c r="EO278" s="136"/>
      <c r="EP278" s="136"/>
      <c r="EQ278" s="136"/>
      <c r="ER278" s="136"/>
      <c r="ES278" s="136"/>
      <c r="ET278" s="136"/>
      <c r="EU278" s="136"/>
      <c r="EV278" s="136"/>
      <c r="EW278" s="136"/>
      <c r="EX278" s="136"/>
      <c r="EY278" s="136"/>
      <c r="EZ278" s="136"/>
      <c r="FA278" s="136"/>
      <c r="FB278" s="136"/>
      <c r="FC278" s="136"/>
      <c r="FD278" s="136"/>
      <c r="FE278" s="136"/>
      <c r="FF278" s="136"/>
      <c r="FG278" s="136"/>
      <c r="FH278" s="136"/>
      <c r="FI278" s="136"/>
      <c r="FJ278" s="136"/>
      <c r="FK278" s="136"/>
      <c r="FL278" s="136"/>
      <c r="FM278" s="136"/>
      <c r="FN278" s="136"/>
      <c r="FO278" s="136"/>
      <c r="FP278" s="136"/>
      <c r="FQ278" s="136"/>
      <c r="FR278" s="136"/>
      <c r="FS278" s="136"/>
      <c r="FT278" s="136"/>
      <c r="FU278" s="136"/>
      <c r="FV278" s="136"/>
      <c r="FW278" s="136"/>
      <c r="FX278" s="136"/>
      <c r="FY278" s="136"/>
      <c r="FZ278" s="136"/>
      <c r="GA278" s="136"/>
      <c r="GB278" s="136"/>
      <c r="GC278" s="136"/>
      <c r="GD278" s="136"/>
      <c r="GE278" s="136"/>
      <c r="GF278" s="136"/>
      <c r="GG278" s="136"/>
      <c r="GH278" s="136"/>
      <c r="GI278" s="136"/>
      <c r="GJ278" s="136"/>
      <c r="GK278" s="136"/>
      <c r="GL278" s="136"/>
      <c r="GM278" s="136"/>
      <c r="GN278" s="136"/>
      <c r="GO278" s="136"/>
      <c r="GP278" s="136"/>
      <c r="GQ278" s="136"/>
      <c r="GR278" s="136"/>
      <c r="GS278" s="136"/>
      <c r="GT278" s="136"/>
      <c r="GU278" s="136"/>
      <c r="GV278" s="136"/>
      <c r="GW278" s="136"/>
      <c r="GX278" s="136"/>
      <c r="GY278" s="136"/>
      <c r="GZ278" s="136"/>
      <c r="HA278" s="136"/>
      <c r="HB278" s="136"/>
      <c r="HC278" s="136"/>
      <c r="HD278" s="136"/>
      <c r="HE278" s="136"/>
      <c r="HF278" s="136"/>
      <c r="HG278" s="136"/>
      <c r="HH278" s="136"/>
      <c r="HI278" s="136"/>
      <c r="HJ278" s="136"/>
      <c r="HK278" s="136"/>
      <c r="HL278" s="136"/>
      <c r="HM278" s="136"/>
      <c r="HN278" s="136"/>
      <c r="HO278" s="136"/>
      <c r="HP278" s="136"/>
      <c r="HQ278" s="136"/>
      <c r="HR278" s="136"/>
      <c r="HS278" s="136"/>
      <c r="HT278" s="136"/>
      <c r="HU278" s="136"/>
      <c r="HV278" s="136"/>
      <c r="HW278" s="136"/>
      <c r="HX278" s="136"/>
      <c r="HY278" s="136"/>
      <c r="HZ278" s="136"/>
      <c r="IA278" s="136"/>
      <c r="IB278" s="136"/>
      <c r="IC278" s="136"/>
      <c r="ID278" s="136"/>
      <c r="IE278" s="136"/>
      <c r="IF278" s="136"/>
      <c r="IG278" s="136"/>
      <c r="IH278" s="136"/>
      <c r="II278" s="136"/>
      <c r="IJ278" s="136"/>
      <c r="IK278" s="136"/>
      <c r="IL278" s="136"/>
      <c r="IM278" s="136"/>
      <c r="IN278" s="136"/>
      <c r="IO278" s="136"/>
      <c r="IP278" s="136"/>
      <c r="IQ278" s="136"/>
      <c r="IR278" s="136"/>
      <c r="IS278" s="136"/>
      <c r="IT278" s="136"/>
      <c r="IU278" s="136"/>
    </row>
    <row r="279" spans="1:255" ht="48" customHeight="1" x14ac:dyDescent="0.2">
      <c r="A279" s="242" t="str">
        <f>'HECVAT - Full'!A279</f>
        <v>HIPA-11</v>
      </c>
      <c r="B279" s="242" t="str">
        <f>VLOOKUP(A279,'HECVAT - Full'!A$24:B$312,2,FALSE)</f>
        <v>Does your application require a user to set their own password after an administrator reset or on first use of the account?</v>
      </c>
      <c r="C279" s="243" t="s">
        <v>605</v>
      </c>
      <c r="D279" s="253" t="s">
        <v>2978</v>
      </c>
      <c r="E279" s="13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6"/>
      <c r="AN279" s="136"/>
      <c r="AO279" s="136"/>
      <c r="AP279" s="136"/>
      <c r="AQ279" s="136"/>
      <c r="AR279" s="136"/>
      <c r="AS279" s="136"/>
      <c r="AT279" s="136"/>
      <c r="AU279" s="136"/>
      <c r="AV279" s="136"/>
      <c r="AW279" s="136"/>
      <c r="AX279" s="136"/>
      <c r="AY279" s="136"/>
      <c r="AZ279" s="136"/>
      <c r="BA279" s="136"/>
      <c r="BB279" s="136"/>
      <c r="BC279" s="136"/>
      <c r="BD279" s="136"/>
      <c r="BE279" s="136"/>
      <c r="BF279" s="136"/>
      <c r="BG279" s="136"/>
      <c r="BH279" s="136"/>
      <c r="BI279" s="136"/>
      <c r="BJ279" s="136"/>
      <c r="BK279" s="136"/>
      <c r="BL279" s="136"/>
      <c r="BM279" s="136"/>
      <c r="BN279" s="136"/>
      <c r="BO279" s="136"/>
      <c r="BP279" s="136"/>
      <c r="BQ279" s="136"/>
      <c r="BR279" s="136"/>
      <c r="BS279" s="136"/>
      <c r="BT279" s="136"/>
      <c r="BU279" s="136"/>
      <c r="BV279" s="136"/>
      <c r="BW279" s="136"/>
      <c r="BX279" s="136"/>
      <c r="BY279" s="136"/>
      <c r="BZ279" s="136"/>
      <c r="CA279" s="136"/>
      <c r="CB279" s="136"/>
      <c r="CC279" s="136"/>
      <c r="CD279" s="136"/>
      <c r="CE279" s="136"/>
      <c r="CF279" s="136"/>
      <c r="CG279" s="136"/>
      <c r="CH279" s="136"/>
      <c r="CI279" s="136"/>
      <c r="CJ279" s="136"/>
      <c r="CK279" s="136"/>
      <c r="CL279" s="136"/>
      <c r="CM279" s="136"/>
      <c r="CN279" s="136"/>
      <c r="CO279" s="136"/>
      <c r="CP279" s="136"/>
      <c r="CQ279" s="136"/>
      <c r="CR279" s="136"/>
      <c r="CS279" s="136"/>
      <c r="CT279" s="136"/>
      <c r="CU279" s="136"/>
      <c r="CV279" s="136"/>
      <c r="CW279" s="136"/>
      <c r="CX279" s="136"/>
      <c r="CY279" s="136"/>
      <c r="CZ279" s="136"/>
      <c r="DA279" s="136"/>
      <c r="DB279" s="136"/>
      <c r="DC279" s="136"/>
      <c r="DD279" s="136"/>
      <c r="DE279" s="136"/>
      <c r="DF279" s="136"/>
      <c r="DG279" s="136"/>
      <c r="DH279" s="136"/>
      <c r="DI279" s="136"/>
      <c r="DJ279" s="136"/>
      <c r="DK279" s="136"/>
      <c r="DL279" s="136"/>
      <c r="DM279" s="136"/>
      <c r="DN279" s="136"/>
      <c r="DO279" s="136"/>
      <c r="DP279" s="136"/>
      <c r="DQ279" s="136"/>
      <c r="DR279" s="136"/>
      <c r="DS279" s="136"/>
      <c r="DT279" s="136"/>
      <c r="DU279" s="136"/>
      <c r="DV279" s="136"/>
      <c r="DW279" s="136"/>
      <c r="DX279" s="136"/>
      <c r="DY279" s="136"/>
      <c r="DZ279" s="136"/>
      <c r="EA279" s="136"/>
      <c r="EB279" s="136"/>
      <c r="EC279" s="136"/>
      <c r="ED279" s="136"/>
      <c r="EE279" s="136"/>
      <c r="EF279" s="136"/>
      <c r="EG279" s="136"/>
      <c r="EH279" s="136"/>
      <c r="EI279" s="136"/>
      <c r="EJ279" s="136"/>
      <c r="EK279" s="136"/>
      <c r="EL279" s="136"/>
      <c r="EM279" s="136"/>
      <c r="EN279" s="136"/>
      <c r="EO279" s="136"/>
      <c r="EP279" s="136"/>
      <c r="EQ279" s="136"/>
      <c r="ER279" s="136"/>
      <c r="ES279" s="136"/>
      <c r="ET279" s="136"/>
      <c r="EU279" s="136"/>
      <c r="EV279" s="136"/>
      <c r="EW279" s="136"/>
      <c r="EX279" s="136"/>
      <c r="EY279" s="136"/>
      <c r="EZ279" s="136"/>
      <c r="FA279" s="136"/>
      <c r="FB279" s="136"/>
      <c r="FC279" s="136"/>
      <c r="FD279" s="136"/>
      <c r="FE279" s="136"/>
      <c r="FF279" s="136"/>
      <c r="FG279" s="136"/>
      <c r="FH279" s="136"/>
      <c r="FI279" s="136"/>
      <c r="FJ279" s="136"/>
      <c r="FK279" s="136"/>
      <c r="FL279" s="136"/>
      <c r="FM279" s="136"/>
      <c r="FN279" s="136"/>
      <c r="FO279" s="136"/>
      <c r="FP279" s="136"/>
      <c r="FQ279" s="136"/>
      <c r="FR279" s="136"/>
      <c r="FS279" s="136"/>
      <c r="FT279" s="136"/>
      <c r="FU279" s="136"/>
      <c r="FV279" s="136"/>
      <c r="FW279" s="136"/>
      <c r="FX279" s="136"/>
      <c r="FY279" s="136"/>
      <c r="FZ279" s="136"/>
      <c r="GA279" s="136"/>
      <c r="GB279" s="136"/>
      <c r="GC279" s="136"/>
      <c r="GD279" s="136"/>
      <c r="GE279" s="136"/>
      <c r="GF279" s="136"/>
      <c r="GG279" s="136"/>
      <c r="GH279" s="136"/>
      <c r="GI279" s="136"/>
      <c r="GJ279" s="136"/>
      <c r="GK279" s="136"/>
      <c r="GL279" s="136"/>
      <c r="GM279" s="136"/>
      <c r="GN279" s="136"/>
      <c r="GO279" s="136"/>
      <c r="GP279" s="136"/>
      <c r="GQ279" s="136"/>
      <c r="GR279" s="136"/>
      <c r="GS279" s="136"/>
      <c r="GT279" s="136"/>
      <c r="GU279" s="136"/>
      <c r="GV279" s="136"/>
      <c r="GW279" s="136"/>
      <c r="GX279" s="136"/>
      <c r="GY279" s="136"/>
      <c r="GZ279" s="136"/>
      <c r="HA279" s="136"/>
      <c r="HB279" s="136"/>
      <c r="HC279" s="136"/>
      <c r="HD279" s="136"/>
      <c r="HE279" s="136"/>
      <c r="HF279" s="136"/>
      <c r="HG279" s="136"/>
      <c r="HH279" s="136"/>
      <c r="HI279" s="136"/>
      <c r="HJ279" s="136"/>
      <c r="HK279" s="136"/>
      <c r="HL279" s="136"/>
      <c r="HM279" s="136"/>
      <c r="HN279" s="136"/>
      <c r="HO279" s="136"/>
      <c r="HP279" s="136"/>
      <c r="HQ279" s="136"/>
      <c r="HR279" s="136"/>
      <c r="HS279" s="136"/>
      <c r="HT279" s="136"/>
      <c r="HU279" s="136"/>
      <c r="HV279" s="136"/>
      <c r="HW279" s="136"/>
      <c r="HX279" s="136"/>
      <c r="HY279" s="136"/>
      <c r="HZ279" s="136"/>
      <c r="IA279" s="136"/>
      <c r="IB279" s="136"/>
      <c r="IC279" s="136"/>
      <c r="ID279" s="136"/>
      <c r="IE279" s="136"/>
      <c r="IF279" s="136"/>
      <c r="IG279" s="136"/>
      <c r="IH279" s="136"/>
      <c r="II279" s="136"/>
      <c r="IJ279" s="136"/>
      <c r="IK279" s="136"/>
      <c r="IL279" s="136"/>
      <c r="IM279" s="136"/>
      <c r="IN279" s="136"/>
      <c r="IO279" s="136"/>
      <c r="IP279" s="136"/>
      <c r="IQ279" s="136"/>
      <c r="IR279" s="136"/>
      <c r="IS279" s="136"/>
      <c r="IT279" s="136"/>
      <c r="IU279" s="136"/>
    </row>
    <row r="280" spans="1:255" ht="48" customHeight="1" x14ac:dyDescent="0.2">
      <c r="A280" s="242" t="str">
        <f>'HECVAT - Full'!A280</f>
        <v>HIPA-12</v>
      </c>
      <c r="B280" s="242" t="str">
        <f>VLOOKUP(A280,'HECVAT - Full'!A$24:B$312,2,FALSE)</f>
        <v xml:space="preserve">Does your application lock-out an account after a number of failed login attempts? </v>
      </c>
      <c r="C280" s="243" t="s">
        <v>612</v>
      </c>
      <c r="D280" s="253" t="s">
        <v>2978</v>
      </c>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6"/>
      <c r="AN280" s="136"/>
      <c r="AO280" s="136"/>
      <c r="AP280" s="136"/>
      <c r="AQ280" s="136"/>
      <c r="AR280" s="136"/>
      <c r="AS280" s="136"/>
      <c r="AT280" s="136"/>
      <c r="AU280" s="136"/>
      <c r="AV280" s="136"/>
      <c r="AW280" s="136"/>
      <c r="AX280" s="136"/>
      <c r="AY280" s="136"/>
      <c r="AZ280" s="136"/>
      <c r="BA280" s="136"/>
      <c r="BB280" s="136"/>
      <c r="BC280" s="136"/>
      <c r="BD280" s="136"/>
      <c r="BE280" s="136"/>
      <c r="BF280" s="136"/>
      <c r="BG280" s="136"/>
      <c r="BH280" s="136"/>
      <c r="BI280" s="136"/>
      <c r="BJ280" s="136"/>
      <c r="BK280" s="136"/>
      <c r="BL280" s="136"/>
      <c r="BM280" s="136"/>
      <c r="BN280" s="136"/>
      <c r="BO280" s="136"/>
      <c r="BP280" s="136"/>
      <c r="BQ280" s="136"/>
      <c r="BR280" s="136"/>
      <c r="BS280" s="136"/>
      <c r="BT280" s="136"/>
      <c r="BU280" s="136"/>
      <c r="BV280" s="136"/>
      <c r="BW280" s="136"/>
      <c r="BX280" s="136"/>
      <c r="BY280" s="136"/>
      <c r="BZ280" s="136"/>
      <c r="CA280" s="136"/>
      <c r="CB280" s="136"/>
      <c r="CC280" s="136"/>
      <c r="CD280" s="136"/>
      <c r="CE280" s="136"/>
      <c r="CF280" s="136"/>
      <c r="CG280" s="136"/>
      <c r="CH280" s="136"/>
      <c r="CI280" s="136"/>
      <c r="CJ280" s="136"/>
      <c r="CK280" s="136"/>
      <c r="CL280" s="136"/>
      <c r="CM280" s="136"/>
      <c r="CN280" s="136"/>
      <c r="CO280" s="136"/>
      <c r="CP280" s="136"/>
      <c r="CQ280" s="136"/>
      <c r="CR280" s="136"/>
      <c r="CS280" s="136"/>
      <c r="CT280" s="136"/>
      <c r="CU280" s="136"/>
      <c r="CV280" s="136"/>
      <c r="CW280" s="136"/>
      <c r="CX280" s="136"/>
      <c r="CY280" s="136"/>
      <c r="CZ280" s="136"/>
      <c r="DA280" s="136"/>
      <c r="DB280" s="136"/>
      <c r="DC280" s="136"/>
      <c r="DD280" s="136"/>
      <c r="DE280" s="136"/>
      <c r="DF280" s="136"/>
      <c r="DG280" s="136"/>
      <c r="DH280" s="136"/>
      <c r="DI280" s="136"/>
      <c r="DJ280" s="136"/>
      <c r="DK280" s="136"/>
      <c r="DL280" s="136"/>
      <c r="DM280" s="136"/>
      <c r="DN280" s="136"/>
      <c r="DO280" s="136"/>
      <c r="DP280" s="136"/>
      <c r="DQ280" s="136"/>
      <c r="DR280" s="136"/>
      <c r="DS280" s="136"/>
      <c r="DT280" s="136"/>
      <c r="DU280" s="136"/>
      <c r="DV280" s="136"/>
      <c r="DW280" s="136"/>
      <c r="DX280" s="136"/>
      <c r="DY280" s="136"/>
      <c r="DZ280" s="136"/>
      <c r="EA280" s="136"/>
      <c r="EB280" s="136"/>
      <c r="EC280" s="136"/>
      <c r="ED280" s="136"/>
      <c r="EE280" s="136"/>
      <c r="EF280" s="136"/>
      <c r="EG280" s="136"/>
      <c r="EH280" s="136"/>
      <c r="EI280" s="136"/>
      <c r="EJ280" s="136"/>
      <c r="EK280" s="136"/>
      <c r="EL280" s="136"/>
      <c r="EM280" s="136"/>
      <c r="EN280" s="136"/>
      <c r="EO280" s="136"/>
      <c r="EP280" s="136"/>
      <c r="EQ280" s="136"/>
      <c r="ER280" s="136"/>
      <c r="ES280" s="136"/>
      <c r="ET280" s="136"/>
      <c r="EU280" s="136"/>
      <c r="EV280" s="136"/>
      <c r="EW280" s="136"/>
      <c r="EX280" s="136"/>
      <c r="EY280" s="136"/>
      <c r="EZ280" s="136"/>
      <c r="FA280" s="136"/>
      <c r="FB280" s="136"/>
      <c r="FC280" s="136"/>
      <c r="FD280" s="136"/>
      <c r="FE280" s="136"/>
      <c r="FF280" s="136"/>
      <c r="FG280" s="136"/>
      <c r="FH280" s="136"/>
      <c r="FI280" s="136"/>
      <c r="FJ280" s="136"/>
      <c r="FK280" s="136"/>
      <c r="FL280" s="136"/>
      <c r="FM280" s="136"/>
      <c r="FN280" s="136"/>
      <c r="FO280" s="136"/>
      <c r="FP280" s="136"/>
      <c r="FQ280" s="136"/>
      <c r="FR280" s="136"/>
      <c r="FS280" s="136"/>
      <c r="FT280" s="136"/>
      <c r="FU280" s="136"/>
      <c r="FV280" s="136"/>
      <c r="FW280" s="136"/>
      <c r="FX280" s="136"/>
      <c r="FY280" s="136"/>
      <c r="FZ280" s="136"/>
      <c r="GA280" s="136"/>
      <c r="GB280" s="136"/>
      <c r="GC280" s="136"/>
      <c r="GD280" s="136"/>
      <c r="GE280" s="136"/>
      <c r="GF280" s="136"/>
      <c r="GG280" s="136"/>
      <c r="GH280" s="136"/>
      <c r="GI280" s="136"/>
      <c r="GJ280" s="136"/>
      <c r="GK280" s="136"/>
      <c r="GL280" s="136"/>
      <c r="GM280" s="136"/>
      <c r="GN280" s="136"/>
      <c r="GO280" s="136"/>
      <c r="GP280" s="136"/>
      <c r="GQ280" s="136"/>
      <c r="GR280" s="136"/>
      <c r="GS280" s="136"/>
      <c r="GT280" s="136"/>
      <c r="GU280" s="136"/>
      <c r="GV280" s="136"/>
      <c r="GW280" s="136"/>
      <c r="GX280" s="136"/>
      <c r="GY280" s="136"/>
      <c r="GZ280" s="136"/>
      <c r="HA280" s="136"/>
      <c r="HB280" s="136"/>
      <c r="HC280" s="136"/>
      <c r="HD280" s="136"/>
      <c r="HE280" s="136"/>
      <c r="HF280" s="136"/>
      <c r="HG280" s="136"/>
      <c r="HH280" s="136"/>
      <c r="HI280" s="136"/>
      <c r="HJ280" s="136"/>
      <c r="HK280" s="136"/>
      <c r="HL280" s="136"/>
      <c r="HM280" s="136"/>
      <c r="HN280" s="136"/>
      <c r="HO280" s="136"/>
      <c r="HP280" s="136"/>
      <c r="HQ280" s="136"/>
      <c r="HR280" s="136"/>
      <c r="HS280" s="136"/>
      <c r="HT280" s="136"/>
      <c r="HU280" s="136"/>
      <c r="HV280" s="136"/>
      <c r="HW280" s="136"/>
      <c r="HX280" s="136"/>
      <c r="HY280" s="136"/>
      <c r="HZ280" s="136"/>
      <c r="IA280" s="136"/>
      <c r="IB280" s="136"/>
      <c r="IC280" s="136"/>
      <c r="ID280" s="136"/>
      <c r="IE280" s="136"/>
      <c r="IF280" s="136"/>
      <c r="IG280" s="136"/>
      <c r="IH280" s="136"/>
      <c r="II280" s="136"/>
      <c r="IJ280" s="136"/>
      <c r="IK280" s="136"/>
      <c r="IL280" s="136"/>
      <c r="IM280" s="136"/>
      <c r="IN280" s="136"/>
      <c r="IO280" s="136"/>
      <c r="IP280" s="136"/>
      <c r="IQ280" s="136"/>
      <c r="IR280" s="136"/>
      <c r="IS280" s="136"/>
      <c r="IT280" s="136"/>
      <c r="IU280" s="136"/>
    </row>
    <row r="281" spans="1:255" ht="48" customHeight="1" x14ac:dyDescent="0.2">
      <c r="A281" s="242" t="str">
        <f>'HECVAT - Full'!A281</f>
        <v>HIPA-13</v>
      </c>
      <c r="B281" s="242" t="str">
        <f>VLOOKUP(A281,'HECVAT - Full'!A$24:B$312,2,FALSE)</f>
        <v>Does your application automatically lock or log-out an account after a period of inactivity?</v>
      </c>
      <c r="C281" s="243" t="s">
        <v>613</v>
      </c>
      <c r="D281" s="253" t="s">
        <v>2978</v>
      </c>
      <c r="E281" s="13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6"/>
      <c r="AN281" s="136"/>
      <c r="AO281" s="136"/>
      <c r="AP281" s="136"/>
      <c r="AQ281" s="136"/>
      <c r="AR281" s="136"/>
      <c r="AS281" s="136"/>
      <c r="AT281" s="136"/>
      <c r="AU281" s="136"/>
      <c r="AV281" s="136"/>
      <c r="AW281" s="136"/>
      <c r="AX281" s="136"/>
      <c r="AY281" s="136"/>
      <c r="AZ281" s="136"/>
      <c r="BA281" s="136"/>
      <c r="BB281" s="136"/>
      <c r="BC281" s="136"/>
      <c r="BD281" s="136"/>
      <c r="BE281" s="136"/>
      <c r="BF281" s="136"/>
      <c r="BG281" s="136"/>
      <c r="BH281" s="136"/>
      <c r="BI281" s="136"/>
      <c r="BJ281" s="136"/>
      <c r="BK281" s="136"/>
      <c r="BL281" s="136"/>
      <c r="BM281" s="136"/>
      <c r="BN281" s="136"/>
      <c r="BO281" s="136"/>
      <c r="BP281" s="136"/>
      <c r="BQ281" s="136"/>
      <c r="BR281" s="136"/>
      <c r="BS281" s="136"/>
      <c r="BT281" s="136"/>
      <c r="BU281" s="136"/>
      <c r="BV281" s="136"/>
      <c r="BW281" s="136"/>
      <c r="BX281" s="136"/>
      <c r="BY281" s="136"/>
      <c r="BZ281" s="136"/>
      <c r="CA281" s="136"/>
      <c r="CB281" s="136"/>
      <c r="CC281" s="136"/>
      <c r="CD281" s="136"/>
      <c r="CE281" s="136"/>
      <c r="CF281" s="136"/>
      <c r="CG281" s="136"/>
      <c r="CH281" s="136"/>
      <c r="CI281" s="136"/>
      <c r="CJ281" s="136"/>
      <c r="CK281" s="136"/>
      <c r="CL281" s="136"/>
      <c r="CM281" s="136"/>
      <c r="CN281" s="136"/>
      <c r="CO281" s="136"/>
      <c r="CP281" s="136"/>
      <c r="CQ281" s="136"/>
      <c r="CR281" s="136"/>
      <c r="CS281" s="136"/>
      <c r="CT281" s="136"/>
      <c r="CU281" s="136"/>
      <c r="CV281" s="136"/>
      <c r="CW281" s="136"/>
      <c r="CX281" s="136"/>
      <c r="CY281" s="136"/>
      <c r="CZ281" s="136"/>
      <c r="DA281" s="136"/>
      <c r="DB281" s="136"/>
      <c r="DC281" s="136"/>
      <c r="DD281" s="136"/>
      <c r="DE281" s="136"/>
      <c r="DF281" s="136"/>
      <c r="DG281" s="136"/>
      <c r="DH281" s="136"/>
      <c r="DI281" s="136"/>
      <c r="DJ281" s="136"/>
      <c r="DK281" s="136"/>
      <c r="DL281" s="136"/>
      <c r="DM281" s="136"/>
      <c r="DN281" s="136"/>
      <c r="DO281" s="136"/>
      <c r="DP281" s="136"/>
      <c r="DQ281" s="136"/>
      <c r="DR281" s="136"/>
      <c r="DS281" s="136"/>
      <c r="DT281" s="136"/>
      <c r="DU281" s="136"/>
      <c r="DV281" s="136"/>
      <c r="DW281" s="136"/>
      <c r="DX281" s="136"/>
      <c r="DY281" s="136"/>
      <c r="DZ281" s="136"/>
      <c r="EA281" s="136"/>
      <c r="EB281" s="136"/>
      <c r="EC281" s="136"/>
      <c r="ED281" s="136"/>
      <c r="EE281" s="136"/>
      <c r="EF281" s="136"/>
      <c r="EG281" s="136"/>
      <c r="EH281" s="136"/>
      <c r="EI281" s="136"/>
      <c r="EJ281" s="136"/>
      <c r="EK281" s="136"/>
      <c r="EL281" s="136"/>
      <c r="EM281" s="136"/>
      <c r="EN281" s="136"/>
      <c r="EO281" s="136"/>
      <c r="EP281" s="136"/>
      <c r="EQ281" s="136"/>
      <c r="ER281" s="136"/>
      <c r="ES281" s="136"/>
      <c r="ET281" s="136"/>
      <c r="EU281" s="136"/>
      <c r="EV281" s="136"/>
      <c r="EW281" s="136"/>
      <c r="EX281" s="136"/>
      <c r="EY281" s="136"/>
      <c r="EZ281" s="136"/>
      <c r="FA281" s="136"/>
      <c r="FB281" s="136"/>
      <c r="FC281" s="136"/>
      <c r="FD281" s="136"/>
      <c r="FE281" s="136"/>
      <c r="FF281" s="136"/>
      <c r="FG281" s="136"/>
      <c r="FH281" s="136"/>
      <c r="FI281" s="136"/>
      <c r="FJ281" s="136"/>
      <c r="FK281" s="136"/>
      <c r="FL281" s="136"/>
      <c r="FM281" s="136"/>
      <c r="FN281" s="136"/>
      <c r="FO281" s="136"/>
      <c r="FP281" s="136"/>
      <c r="FQ281" s="136"/>
      <c r="FR281" s="136"/>
      <c r="FS281" s="136"/>
      <c r="FT281" s="136"/>
      <c r="FU281" s="136"/>
      <c r="FV281" s="136"/>
      <c r="FW281" s="136"/>
      <c r="FX281" s="136"/>
      <c r="FY281" s="136"/>
      <c r="FZ281" s="136"/>
      <c r="GA281" s="136"/>
      <c r="GB281" s="136"/>
      <c r="GC281" s="136"/>
      <c r="GD281" s="136"/>
      <c r="GE281" s="136"/>
      <c r="GF281" s="136"/>
      <c r="GG281" s="136"/>
      <c r="GH281" s="136"/>
      <c r="GI281" s="136"/>
      <c r="GJ281" s="136"/>
      <c r="GK281" s="136"/>
      <c r="GL281" s="136"/>
      <c r="GM281" s="136"/>
      <c r="GN281" s="136"/>
      <c r="GO281" s="136"/>
      <c r="GP281" s="136"/>
      <c r="GQ281" s="136"/>
      <c r="GR281" s="136"/>
      <c r="GS281" s="136"/>
      <c r="GT281" s="136"/>
      <c r="GU281" s="136"/>
      <c r="GV281" s="136"/>
      <c r="GW281" s="136"/>
      <c r="GX281" s="136"/>
      <c r="GY281" s="136"/>
      <c r="GZ281" s="136"/>
      <c r="HA281" s="136"/>
      <c r="HB281" s="136"/>
      <c r="HC281" s="136"/>
      <c r="HD281" s="136"/>
      <c r="HE281" s="136"/>
      <c r="HF281" s="136"/>
      <c r="HG281" s="136"/>
      <c r="HH281" s="136"/>
      <c r="HI281" s="136"/>
      <c r="HJ281" s="136"/>
      <c r="HK281" s="136"/>
      <c r="HL281" s="136"/>
      <c r="HM281" s="136"/>
      <c r="HN281" s="136"/>
      <c r="HO281" s="136"/>
      <c r="HP281" s="136"/>
      <c r="HQ281" s="136"/>
      <c r="HR281" s="136"/>
      <c r="HS281" s="136"/>
      <c r="HT281" s="136"/>
      <c r="HU281" s="136"/>
      <c r="HV281" s="136"/>
      <c r="HW281" s="136"/>
      <c r="HX281" s="136"/>
      <c r="HY281" s="136"/>
      <c r="HZ281" s="136"/>
      <c r="IA281" s="136"/>
      <c r="IB281" s="136"/>
      <c r="IC281" s="136"/>
      <c r="ID281" s="136"/>
      <c r="IE281" s="136"/>
      <c r="IF281" s="136"/>
      <c r="IG281" s="136"/>
      <c r="IH281" s="136"/>
      <c r="II281" s="136"/>
      <c r="IJ281" s="136"/>
      <c r="IK281" s="136"/>
      <c r="IL281" s="136"/>
      <c r="IM281" s="136"/>
      <c r="IN281" s="136"/>
      <c r="IO281" s="136"/>
      <c r="IP281" s="136"/>
      <c r="IQ281" s="136"/>
      <c r="IR281" s="136"/>
      <c r="IS281" s="136"/>
      <c r="IT281" s="136"/>
      <c r="IU281" s="136"/>
    </row>
    <row r="282" spans="1:255" ht="48" customHeight="1" x14ac:dyDescent="0.2">
      <c r="A282" s="242" t="str">
        <f>'HECVAT - Full'!A282</f>
        <v>HIPA-14</v>
      </c>
      <c r="B282" s="242" t="str">
        <f>VLOOKUP(A282,'HECVAT - Full'!A$24:B$312,2,FALSE)</f>
        <v>Are passwords visible in plain text, whether when stored or entered, including service level accounts (i.e. database accounts, etc.)?</v>
      </c>
      <c r="C282" s="243" t="s">
        <v>696</v>
      </c>
      <c r="D282" s="253" t="s">
        <v>2978</v>
      </c>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36"/>
      <c r="AW282" s="136"/>
      <c r="AX282" s="136"/>
      <c r="AY282" s="136"/>
      <c r="AZ282" s="136"/>
      <c r="BA282" s="136"/>
      <c r="BB282" s="136"/>
      <c r="BC282" s="136"/>
      <c r="BD282" s="136"/>
      <c r="BE282" s="136"/>
      <c r="BF282" s="136"/>
      <c r="BG282" s="136"/>
      <c r="BH282" s="136"/>
      <c r="BI282" s="136"/>
      <c r="BJ282" s="136"/>
      <c r="BK282" s="136"/>
      <c r="BL282" s="136"/>
      <c r="BM282" s="136"/>
      <c r="BN282" s="136"/>
      <c r="BO282" s="136"/>
      <c r="BP282" s="136"/>
      <c r="BQ282" s="136"/>
      <c r="BR282" s="136"/>
      <c r="BS282" s="136"/>
      <c r="BT282" s="136"/>
      <c r="BU282" s="136"/>
      <c r="BV282" s="136"/>
      <c r="BW282" s="136"/>
      <c r="BX282" s="136"/>
      <c r="BY282" s="136"/>
      <c r="BZ282" s="136"/>
      <c r="CA282" s="136"/>
      <c r="CB282" s="136"/>
      <c r="CC282" s="136"/>
      <c r="CD282" s="136"/>
      <c r="CE282" s="136"/>
      <c r="CF282" s="136"/>
      <c r="CG282" s="136"/>
      <c r="CH282" s="136"/>
      <c r="CI282" s="136"/>
      <c r="CJ282" s="136"/>
      <c r="CK282" s="136"/>
      <c r="CL282" s="136"/>
      <c r="CM282" s="136"/>
      <c r="CN282" s="136"/>
      <c r="CO282" s="136"/>
      <c r="CP282" s="136"/>
      <c r="CQ282" s="136"/>
      <c r="CR282" s="136"/>
      <c r="CS282" s="136"/>
      <c r="CT282" s="136"/>
      <c r="CU282" s="136"/>
      <c r="CV282" s="136"/>
      <c r="CW282" s="136"/>
      <c r="CX282" s="136"/>
      <c r="CY282" s="136"/>
      <c r="CZ282" s="136"/>
      <c r="DA282" s="136"/>
      <c r="DB282" s="136"/>
      <c r="DC282" s="136"/>
      <c r="DD282" s="136"/>
      <c r="DE282" s="136"/>
      <c r="DF282" s="136"/>
      <c r="DG282" s="136"/>
      <c r="DH282" s="136"/>
      <c r="DI282" s="136"/>
      <c r="DJ282" s="136"/>
      <c r="DK282" s="136"/>
      <c r="DL282" s="136"/>
      <c r="DM282" s="136"/>
      <c r="DN282" s="136"/>
      <c r="DO282" s="136"/>
      <c r="DP282" s="136"/>
      <c r="DQ282" s="136"/>
      <c r="DR282" s="136"/>
      <c r="DS282" s="136"/>
      <c r="DT282" s="136"/>
      <c r="DU282" s="136"/>
      <c r="DV282" s="136"/>
      <c r="DW282" s="136"/>
      <c r="DX282" s="136"/>
      <c r="DY282" s="136"/>
      <c r="DZ282" s="136"/>
      <c r="EA282" s="136"/>
      <c r="EB282" s="136"/>
      <c r="EC282" s="136"/>
      <c r="ED282" s="136"/>
      <c r="EE282" s="136"/>
      <c r="EF282" s="136"/>
      <c r="EG282" s="136"/>
      <c r="EH282" s="136"/>
      <c r="EI282" s="136"/>
      <c r="EJ282" s="136"/>
      <c r="EK282" s="136"/>
      <c r="EL282" s="136"/>
      <c r="EM282" s="136"/>
      <c r="EN282" s="136"/>
      <c r="EO282" s="136"/>
      <c r="EP282" s="136"/>
      <c r="EQ282" s="136"/>
      <c r="ER282" s="136"/>
      <c r="ES282" s="136"/>
      <c r="ET282" s="136"/>
      <c r="EU282" s="136"/>
      <c r="EV282" s="136"/>
      <c r="EW282" s="136"/>
      <c r="EX282" s="136"/>
      <c r="EY282" s="136"/>
      <c r="EZ282" s="136"/>
      <c r="FA282" s="136"/>
      <c r="FB282" s="136"/>
      <c r="FC282" s="136"/>
      <c r="FD282" s="136"/>
      <c r="FE282" s="136"/>
      <c r="FF282" s="136"/>
      <c r="FG282" s="136"/>
      <c r="FH282" s="136"/>
      <c r="FI282" s="136"/>
      <c r="FJ282" s="136"/>
      <c r="FK282" s="136"/>
      <c r="FL282" s="136"/>
      <c r="FM282" s="136"/>
      <c r="FN282" s="136"/>
      <c r="FO282" s="136"/>
      <c r="FP282" s="136"/>
      <c r="FQ282" s="136"/>
      <c r="FR282" s="136"/>
      <c r="FS282" s="136"/>
      <c r="FT282" s="136"/>
      <c r="FU282" s="136"/>
      <c r="FV282" s="136"/>
      <c r="FW282" s="136"/>
      <c r="FX282" s="136"/>
      <c r="FY282" s="136"/>
      <c r="FZ282" s="136"/>
      <c r="GA282" s="136"/>
      <c r="GB282" s="136"/>
      <c r="GC282" s="136"/>
      <c r="GD282" s="136"/>
      <c r="GE282" s="136"/>
      <c r="GF282" s="136"/>
      <c r="GG282" s="136"/>
      <c r="GH282" s="136"/>
      <c r="GI282" s="136"/>
      <c r="GJ282" s="136"/>
      <c r="GK282" s="136"/>
      <c r="GL282" s="136"/>
      <c r="GM282" s="136"/>
      <c r="GN282" s="136"/>
      <c r="GO282" s="136"/>
      <c r="GP282" s="136"/>
      <c r="GQ282" s="136"/>
      <c r="GR282" s="136"/>
      <c r="GS282" s="136"/>
      <c r="GT282" s="136"/>
      <c r="GU282" s="136"/>
      <c r="GV282" s="136"/>
      <c r="GW282" s="136"/>
      <c r="GX282" s="136"/>
      <c r="GY282" s="136"/>
      <c r="GZ282" s="136"/>
      <c r="HA282" s="136"/>
      <c r="HB282" s="136"/>
      <c r="HC282" s="136"/>
      <c r="HD282" s="136"/>
      <c r="HE282" s="136"/>
      <c r="HF282" s="136"/>
      <c r="HG282" s="136"/>
      <c r="HH282" s="136"/>
      <c r="HI282" s="136"/>
      <c r="HJ282" s="136"/>
      <c r="HK282" s="136"/>
      <c r="HL282" s="136"/>
      <c r="HM282" s="136"/>
      <c r="HN282" s="136"/>
      <c r="HO282" s="136"/>
      <c r="HP282" s="136"/>
      <c r="HQ282" s="136"/>
      <c r="HR282" s="136"/>
      <c r="HS282" s="136"/>
      <c r="HT282" s="136"/>
      <c r="HU282" s="136"/>
      <c r="HV282" s="136"/>
      <c r="HW282" s="136"/>
      <c r="HX282" s="136"/>
      <c r="HY282" s="136"/>
      <c r="HZ282" s="136"/>
      <c r="IA282" s="136"/>
      <c r="IB282" s="136"/>
      <c r="IC282" s="136"/>
      <c r="ID282" s="136"/>
      <c r="IE282" s="136"/>
      <c r="IF282" s="136"/>
      <c r="IG282" s="136"/>
      <c r="IH282" s="136"/>
      <c r="II282" s="136"/>
      <c r="IJ282" s="136"/>
      <c r="IK282" s="136"/>
      <c r="IL282" s="136"/>
      <c r="IM282" s="136"/>
      <c r="IN282" s="136"/>
      <c r="IO282" s="136"/>
      <c r="IP282" s="136"/>
      <c r="IQ282" s="136"/>
      <c r="IR282" s="136"/>
      <c r="IS282" s="136"/>
      <c r="IT282" s="136"/>
      <c r="IU282" s="136"/>
    </row>
    <row r="283" spans="1:255" ht="48" customHeight="1" x14ac:dyDescent="0.2">
      <c r="A283" s="242" t="str">
        <f>'HECVAT - Full'!A283</f>
        <v>HIPA-15</v>
      </c>
      <c r="B283" s="242" t="str">
        <f>VLOOKUP(A283,'HECVAT - Full'!A$24:B$312,2,FALSE)</f>
        <v>If the application is institution-hosted, can all service level and administrative account passwords be changed by the institution?</v>
      </c>
      <c r="C283" s="243" t="s">
        <v>696</v>
      </c>
      <c r="D283" s="253" t="s">
        <v>2978</v>
      </c>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6"/>
      <c r="AN283" s="136"/>
      <c r="AO283" s="136"/>
      <c r="AP283" s="136"/>
      <c r="AQ283" s="136"/>
      <c r="AR283" s="136"/>
      <c r="AS283" s="136"/>
      <c r="AT283" s="136"/>
      <c r="AU283" s="136"/>
      <c r="AV283" s="136"/>
      <c r="AW283" s="136"/>
      <c r="AX283" s="136"/>
      <c r="AY283" s="136"/>
      <c r="AZ283" s="136"/>
      <c r="BA283" s="136"/>
      <c r="BB283" s="136"/>
      <c r="BC283" s="136"/>
      <c r="BD283" s="136"/>
      <c r="BE283" s="136"/>
      <c r="BF283" s="136"/>
      <c r="BG283" s="136"/>
      <c r="BH283" s="136"/>
      <c r="BI283" s="136"/>
      <c r="BJ283" s="136"/>
      <c r="BK283" s="136"/>
      <c r="BL283" s="136"/>
      <c r="BM283" s="136"/>
      <c r="BN283" s="136"/>
      <c r="BO283" s="136"/>
      <c r="BP283" s="136"/>
      <c r="BQ283" s="136"/>
      <c r="BR283" s="136"/>
      <c r="BS283" s="136"/>
      <c r="BT283" s="136"/>
      <c r="BU283" s="136"/>
      <c r="BV283" s="136"/>
      <c r="BW283" s="136"/>
      <c r="BX283" s="136"/>
      <c r="BY283" s="136"/>
      <c r="BZ283" s="136"/>
      <c r="CA283" s="136"/>
      <c r="CB283" s="136"/>
      <c r="CC283" s="136"/>
      <c r="CD283" s="136"/>
      <c r="CE283" s="136"/>
      <c r="CF283" s="136"/>
      <c r="CG283" s="136"/>
      <c r="CH283" s="136"/>
      <c r="CI283" s="136"/>
      <c r="CJ283" s="136"/>
      <c r="CK283" s="136"/>
      <c r="CL283" s="136"/>
      <c r="CM283" s="136"/>
      <c r="CN283" s="136"/>
      <c r="CO283" s="136"/>
      <c r="CP283" s="136"/>
      <c r="CQ283" s="136"/>
      <c r="CR283" s="136"/>
      <c r="CS283" s="136"/>
      <c r="CT283" s="136"/>
      <c r="CU283" s="136"/>
      <c r="CV283" s="136"/>
      <c r="CW283" s="136"/>
      <c r="CX283" s="136"/>
      <c r="CY283" s="136"/>
      <c r="CZ283" s="136"/>
      <c r="DA283" s="136"/>
      <c r="DB283" s="136"/>
      <c r="DC283" s="136"/>
      <c r="DD283" s="136"/>
      <c r="DE283" s="136"/>
      <c r="DF283" s="136"/>
      <c r="DG283" s="136"/>
      <c r="DH283" s="136"/>
      <c r="DI283" s="136"/>
      <c r="DJ283" s="136"/>
      <c r="DK283" s="136"/>
      <c r="DL283" s="136"/>
      <c r="DM283" s="136"/>
      <c r="DN283" s="136"/>
      <c r="DO283" s="136"/>
      <c r="DP283" s="136"/>
      <c r="DQ283" s="136"/>
      <c r="DR283" s="136"/>
      <c r="DS283" s="136"/>
      <c r="DT283" s="136"/>
      <c r="DU283" s="136"/>
      <c r="DV283" s="136"/>
      <c r="DW283" s="136"/>
      <c r="DX283" s="136"/>
      <c r="DY283" s="136"/>
      <c r="DZ283" s="136"/>
      <c r="EA283" s="136"/>
      <c r="EB283" s="136"/>
      <c r="EC283" s="136"/>
      <c r="ED283" s="136"/>
      <c r="EE283" s="136"/>
      <c r="EF283" s="136"/>
      <c r="EG283" s="136"/>
      <c r="EH283" s="136"/>
      <c r="EI283" s="136"/>
      <c r="EJ283" s="136"/>
      <c r="EK283" s="136"/>
      <c r="EL283" s="136"/>
      <c r="EM283" s="136"/>
      <c r="EN283" s="136"/>
      <c r="EO283" s="136"/>
      <c r="EP283" s="136"/>
      <c r="EQ283" s="136"/>
      <c r="ER283" s="136"/>
      <c r="ES283" s="136"/>
      <c r="ET283" s="136"/>
      <c r="EU283" s="136"/>
      <c r="EV283" s="136"/>
      <c r="EW283" s="136"/>
      <c r="EX283" s="136"/>
      <c r="EY283" s="136"/>
      <c r="EZ283" s="136"/>
      <c r="FA283" s="136"/>
      <c r="FB283" s="136"/>
      <c r="FC283" s="136"/>
      <c r="FD283" s="136"/>
      <c r="FE283" s="136"/>
      <c r="FF283" s="136"/>
      <c r="FG283" s="136"/>
      <c r="FH283" s="136"/>
      <c r="FI283" s="136"/>
      <c r="FJ283" s="136"/>
      <c r="FK283" s="136"/>
      <c r="FL283" s="136"/>
      <c r="FM283" s="136"/>
      <c r="FN283" s="136"/>
      <c r="FO283" s="136"/>
      <c r="FP283" s="136"/>
      <c r="FQ283" s="136"/>
      <c r="FR283" s="136"/>
      <c r="FS283" s="136"/>
      <c r="FT283" s="136"/>
      <c r="FU283" s="136"/>
      <c r="FV283" s="136"/>
      <c r="FW283" s="136"/>
      <c r="FX283" s="136"/>
      <c r="FY283" s="136"/>
      <c r="FZ283" s="136"/>
      <c r="GA283" s="136"/>
      <c r="GB283" s="136"/>
      <c r="GC283" s="136"/>
      <c r="GD283" s="136"/>
      <c r="GE283" s="136"/>
      <c r="GF283" s="136"/>
      <c r="GG283" s="136"/>
      <c r="GH283" s="136"/>
      <c r="GI283" s="136"/>
      <c r="GJ283" s="136"/>
      <c r="GK283" s="136"/>
      <c r="GL283" s="136"/>
      <c r="GM283" s="136"/>
      <c r="GN283" s="136"/>
      <c r="GO283" s="136"/>
      <c r="GP283" s="136"/>
      <c r="GQ283" s="136"/>
      <c r="GR283" s="136"/>
      <c r="GS283" s="136"/>
      <c r="GT283" s="136"/>
      <c r="GU283" s="136"/>
      <c r="GV283" s="136"/>
      <c r="GW283" s="136"/>
      <c r="GX283" s="136"/>
      <c r="GY283" s="136"/>
      <c r="GZ283" s="136"/>
      <c r="HA283" s="136"/>
      <c r="HB283" s="136"/>
      <c r="HC283" s="136"/>
      <c r="HD283" s="136"/>
      <c r="HE283" s="136"/>
      <c r="HF283" s="136"/>
      <c r="HG283" s="136"/>
      <c r="HH283" s="136"/>
      <c r="HI283" s="136"/>
      <c r="HJ283" s="136"/>
      <c r="HK283" s="136"/>
      <c r="HL283" s="136"/>
      <c r="HM283" s="136"/>
      <c r="HN283" s="136"/>
      <c r="HO283" s="136"/>
      <c r="HP283" s="136"/>
      <c r="HQ283" s="136"/>
      <c r="HR283" s="136"/>
      <c r="HS283" s="136"/>
      <c r="HT283" s="136"/>
      <c r="HU283" s="136"/>
      <c r="HV283" s="136"/>
      <c r="HW283" s="136"/>
      <c r="HX283" s="136"/>
      <c r="HY283" s="136"/>
      <c r="HZ283" s="136"/>
      <c r="IA283" s="136"/>
      <c r="IB283" s="136"/>
      <c r="IC283" s="136"/>
      <c r="ID283" s="136"/>
      <c r="IE283" s="136"/>
      <c r="IF283" s="136"/>
      <c r="IG283" s="136"/>
      <c r="IH283" s="136"/>
      <c r="II283" s="136"/>
      <c r="IJ283" s="136"/>
      <c r="IK283" s="136"/>
      <c r="IL283" s="136"/>
      <c r="IM283" s="136"/>
      <c r="IN283" s="136"/>
      <c r="IO283" s="136"/>
      <c r="IP283" s="136"/>
      <c r="IQ283" s="136"/>
      <c r="IR283" s="136"/>
      <c r="IS283" s="136"/>
      <c r="IT283" s="136"/>
      <c r="IU283" s="136"/>
    </row>
    <row r="284" spans="1:255" ht="48" customHeight="1" x14ac:dyDescent="0.2">
      <c r="A284" s="242" t="str">
        <f>'HECVAT - Full'!A284</f>
        <v>HIPA-16</v>
      </c>
      <c r="B284" s="242" t="str">
        <f>VLOOKUP(A284,'HECVAT - Full'!A$24:B$312,2,FALSE)</f>
        <v>Does your application provide the ability to define user access levels?</v>
      </c>
      <c r="C284" s="243" t="s">
        <v>693</v>
      </c>
      <c r="D284" s="253" t="s">
        <v>2978</v>
      </c>
      <c r="E284" s="13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6"/>
      <c r="AN284" s="136"/>
      <c r="AO284" s="136"/>
      <c r="AP284" s="136"/>
      <c r="AQ284" s="136"/>
      <c r="AR284" s="136"/>
      <c r="AS284" s="136"/>
      <c r="AT284" s="136"/>
      <c r="AU284" s="136"/>
      <c r="AV284" s="136"/>
      <c r="AW284" s="136"/>
      <c r="AX284" s="136"/>
      <c r="AY284" s="136"/>
      <c r="AZ284" s="136"/>
      <c r="BA284" s="136"/>
      <c r="BB284" s="136"/>
      <c r="BC284" s="136"/>
      <c r="BD284" s="136"/>
      <c r="BE284" s="136"/>
      <c r="BF284" s="136"/>
      <c r="BG284" s="136"/>
      <c r="BH284" s="136"/>
      <c r="BI284" s="136"/>
      <c r="BJ284" s="136"/>
      <c r="BK284" s="136"/>
      <c r="BL284" s="136"/>
      <c r="BM284" s="136"/>
      <c r="BN284" s="136"/>
      <c r="BO284" s="136"/>
      <c r="BP284" s="136"/>
      <c r="BQ284" s="136"/>
      <c r="BR284" s="136"/>
      <c r="BS284" s="136"/>
      <c r="BT284" s="136"/>
      <c r="BU284" s="136"/>
      <c r="BV284" s="136"/>
      <c r="BW284" s="136"/>
      <c r="BX284" s="136"/>
      <c r="BY284" s="136"/>
      <c r="BZ284" s="136"/>
      <c r="CA284" s="136"/>
      <c r="CB284" s="136"/>
      <c r="CC284" s="136"/>
      <c r="CD284" s="136"/>
      <c r="CE284" s="136"/>
      <c r="CF284" s="136"/>
      <c r="CG284" s="136"/>
      <c r="CH284" s="136"/>
      <c r="CI284" s="136"/>
      <c r="CJ284" s="136"/>
      <c r="CK284" s="136"/>
      <c r="CL284" s="136"/>
      <c r="CM284" s="136"/>
      <c r="CN284" s="136"/>
      <c r="CO284" s="136"/>
      <c r="CP284" s="136"/>
      <c r="CQ284" s="136"/>
      <c r="CR284" s="136"/>
      <c r="CS284" s="136"/>
      <c r="CT284" s="136"/>
      <c r="CU284" s="136"/>
      <c r="CV284" s="136"/>
      <c r="CW284" s="136"/>
      <c r="CX284" s="136"/>
      <c r="CY284" s="136"/>
      <c r="CZ284" s="136"/>
      <c r="DA284" s="136"/>
      <c r="DB284" s="136"/>
      <c r="DC284" s="136"/>
      <c r="DD284" s="136"/>
      <c r="DE284" s="136"/>
      <c r="DF284" s="136"/>
      <c r="DG284" s="136"/>
      <c r="DH284" s="136"/>
      <c r="DI284" s="136"/>
      <c r="DJ284" s="136"/>
      <c r="DK284" s="136"/>
      <c r="DL284" s="136"/>
      <c r="DM284" s="136"/>
      <c r="DN284" s="136"/>
      <c r="DO284" s="136"/>
      <c r="DP284" s="136"/>
      <c r="DQ284" s="136"/>
      <c r="DR284" s="136"/>
      <c r="DS284" s="136"/>
      <c r="DT284" s="136"/>
      <c r="DU284" s="136"/>
      <c r="DV284" s="136"/>
      <c r="DW284" s="136"/>
      <c r="DX284" s="136"/>
      <c r="DY284" s="136"/>
      <c r="DZ284" s="136"/>
      <c r="EA284" s="136"/>
      <c r="EB284" s="136"/>
      <c r="EC284" s="136"/>
      <c r="ED284" s="136"/>
      <c r="EE284" s="136"/>
      <c r="EF284" s="136"/>
      <c r="EG284" s="136"/>
      <c r="EH284" s="136"/>
      <c r="EI284" s="136"/>
      <c r="EJ284" s="136"/>
      <c r="EK284" s="136"/>
      <c r="EL284" s="136"/>
      <c r="EM284" s="136"/>
      <c r="EN284" s="136"/>
      <c r="EO284" s="136"/>
      <c r="EP284" s="136"/>
      <c r="EQ284" s="136"/>
      <c r="ER284" s="136"/>
      <c r="ES284" s="136"/>
      <c r="ET284" s="136"/>
      <c r="EU284" s="136"/>
      <c r="EV284" s="136"/>
      <c r="EW284" s="136"/>
      <c r="EX284" s="136"/>
      <c r="EY284" s="136"/>
      <c r="EZ284" s="136"/>
      <c r="FA284" s="136"/>
      <c r="FB284" s="136"/>
      <c r="FC284" s="136"/>
      <c r="FD284" s="136"/>
      <c r="FE284" s="136"/>
      <c r="FF284" s="136"/>
      <c r="FG284" s="136"/>
      <c r="FH284" s="136"/>
      <c r="FI284" s="136"/>
      <c r="FJ284" s="136"/>
      <c r="FK284" s="136"/>
      <c r="FL284" s="136"/>
      <c r="FM284" s="136"/>
      <c r="FN284" s="136"/>
      <c r="FO284" s="136"/>
      <c r="FP284" s="136"/>
      <c r="FQ284" s="136"/>
      <c r="FR284" s="136"/>
      <c r="FS284" s="136"/>
      <c r="FT284" s="136"/>
      <c r="FU284" s="136"/>
      <c r="FV284" s="136"/>
      <c r="FW284" s="136"/>
      <c r="FX284" s="136"/>
      <c r="FY284" s="136"/>
      <c r="FZ284" s="136"/>
      <c r="GA284" s="136"/>
      <c r="GB284" s="136"/>
      <c r="GC284" s="136"/>
      <c r="GD284" s="136"/>
      <c r="GE284" s="136"/>
      <c r="GF284" s="136"/>
      <c r="GG284" s="136"/>
      <c r="GH284" s="136"/>
      <c r="GI284" s="136"/>
      <c r="GJ284" s="136"/>
      <c r="GK284" s="136"/>
      <c r="GL284" s="136"/>
      <c r="GM284" s="136"/>
      <c r="GN284" s="136"/>
      <c r="GO284" s="136"/>
      <c r="GP284" s="136"/>
      <c r="GQ284" s="136"/>
      <c r="GR284" s="136"/>
      <c r="GS284" s="136"/>
      <c r="GT284" s="136"/>
      <c r="GU284" s="136"/>
      <c r="GV284" s="136"/>
      <c r="GW284" s="136"/>
      <c r="GX284" s="136"/>
      <c r="GY284" s="136"/>
      <c r="GZ284" s="136"/>
      <c r="HA284" s="136"/>
      <c r="HB284" s="136"/>
      <c r="HC284" s="136"/>
      <c r="HD284" s="136"/>
      <c r="HE284" s="136"/>
      <c r="HF284" s="136"/>
      <c r="HG284" s="136"/>
      <c r="HH284" s="136"/>
      <c r="HI284" s="136"/>
      <c r="HJ284" s="136"/>
      <c r="HK284" s="136"/>
      <c r="HL284" s="136"/>
      <c r="HM284" s="136"/>
      <c r="HN284" s="136"/>
      <c r="HO284" s="136"/>
      <c r="HP284" s="136"/>
      <c r="HQ284" s="136"/>
      <c r="HR284" s="136"/>
      <c r="HS284" s="136"/>
      <c r="HT284" s="136"/>
      <c r="HU284" s="136"/>
      <c r="HV284" s="136"/>
      <c r="HW284" s="136"/>
      <c r="HX284" s="136"/>
      <c r="HY284" s="136"/>
      <c r="HZ284" s="136"/>
      <c r="IA284" s="136"/>
      <c r="IB284" s="136"/>
      <c r="IC284" s="136"/>
      <c r="ID284" s="136"/>
      <c r="IE284" s="136"/>
      <c r="IF284" s="136"/>
      <c r="IG284" s="136"/>
      <c r="IH284" s="136"/>
      <c r="II284" s="136"/>
      <c r="IJ284" s="136"/>
      <c r="IK284" s="136"/>
      <c r="IL284" s="136"/>
      <c r="IM284" s="136"/>
      <c r="IN284" s="136"/>
      <c r="IO284" s="136"/>
      <c r="IP284" s="136"/>
      <c r="IQ284" s="136"/>
      <c r="IR284" s="136"/>
      <c r="IS284" s="136"/>
      <c r="IT284" s="136"/>
      <c r="IU284" s="136"/>
    </row>
    <row r="285" spans="1:255" ht="48" customHeight="1" x14ac:dyDescent="0.2">
      <c r="A285" s="242" t="str">
        <f>'HECVAT - Full'!A285</f>
        <v>HIPA-17</v>
      </c>
      <c r="B285" s="242" t="str">
        <f>VLOOKUP(A285,'HECVAT - Full'!A$24:B$312,2,FALSE)</f>
        <v>Does your application support varying levels of access to administrative tasks defined individually per user?</v>
      </c>
      <c r="C285" s="243" t="s">
        <v>691</v>
      </c>
      <c r="D285" s="253" t="s">
        <v>2978</v>
      </c>
      <c r="E285" s="13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6"/>
      <c r="AN285" s="136"/>
      <c r="AO285" s="136"/>
      <c r="AP285" s="136"/>
      <c r="AQ285" s="136"/>
      <c r="AR285" s="136"/>
      <c r="AS285" s="136"/>
      <c r="AT285" s="136"/>
      <c r="AU285" s="136"/>
      <c r="AV285" s="136"/>
      <c r="AW285" s="136"/>
      <c r="AX285" s="136"/>
      <c r="AY285" s="136"/>
      <c r="AZ285" s="136"/>
      <c r="BA285" s="136"/>
      <c r="BB285" s="136"/>
      <c r="BC285" s="136"/>
      <c r="BD285" s="136"/>
      <c r="BE285" s="136"/>
      <c r="BF285" s="136"/>
      <c r="BG285" s="136"/>
      <c r="BH285" s="136"/>
      <c r="BI285" s="136"/>
      <c r="BJ285" s="136"/>
      <c r="BK285" s="136"/>
      <c r="BL285" s="136"/>
      <c r="BM285" s="136"/>
      <c r="BN285" s="136"/>
      <c r="BO285" s="136"/>
      <c r="BP285" s="136"/>
      <c r="BQ285" s="136"/>
      <c r="BR285" s="136"/>
      <c r="BS285" s="136"/>
      <c r="BT285" s="136"/>
      <c r="BU285" s="136"/>
      <c r="BV285" s="136"/>
      <c r="BW285" s="136"/>
      <c r="BX285" s="136"/>
      <c r="BY285" s="136"/>
      <c r="BZ285" s="136"/>
      <c r="CA285" s="136"/>
      <c r="CB285" s="136"/>
      <c r="CC285" s="136"/>
      <c r="CD285" s="136"/>
      <c r="CE285" s="136"/>
      <c r="CF285" s="136"/>
      <c r="CG285" s="136"/>
      <c r="CH285" s="136"/>
      <c r="CI285" s="136"/>
      <c r="CJ285" s="136"/>
      <c r="CK285" s="136"/>
      <c r="CL285" s="136"/>
      <c r="CM285" s="136"/>
      <c r="CN285" s="136"/>
      <c r="CO285" s="136"/>
      <c r="CP285" s="136"/>
      <c r="CQ285" s="136"/>
      <c r="CR285" s="136"/>
      <c r="CS285" s="136"/>
      <c r="CT285" s="136"/>
      <c r="CU285" s="136"/>
      <c r="CV285" s="136"/>
      <c r="CW285" s="136"/>
      <c r="CX285" s="136"/>
      <c r="CY285" s="136"/>
      <c r="CZ285" s="136"/>
      <c r="DA285" s="136"/>
      <c r="DB285" s="136"/>
      <c r="DC285" s="136"/>
      <c r="DD285" s="136"/>
      <c r="DE285" s="136"/>
      <c r="DF285" s="136"/>
      <c r="DG285" s="136"/>
      <c r="DH285" s="136"/>
      <c r="DI285" s="136"/>
      <c r="DJ285" s="136"/>
      <c r="DK285" s="136"/>
      <c r="DL285" s="136"/>
      <c r="DM285" s="136"/>
      <c r="DN285" s="136"/>
      <c r="DO285" s="136"/>
      <c r="DP285" s="136"/>
      <c r="DQ285" s="136"/>
      <c r="DR285" s="136"/>
      <c r="DS285" s="136"/>
      <c r="DT285" s="136"/>
      <c r="DU285" s="136"/>
      <c r="DV285" s="136"/>
      <c r="DW285" s="136"/>
      <c r="DX285" s="136"/>
      <c r="DY285" s="136"/>
      <c r="DZ285" s="136"/>
      <c r="EA285" s="136"/>
      <c r="EB285" s="136"/>
      <c r="EC285" s="136"/>
      <c r="ED285" s="136"/>
      <c r="EE285" s="136"/>
      <c r="EF285" s="136"/>
      <c r="EG285" s="136"/>
      <c r="EH285" s="136"/>
      <c r="EI285" s="136"/>
      <c r="EJ285" s="136"/>
      <c r="EK285" s="136"/>
      <c r="EL285" s="136"/>
      <c r="EM285" s="136"/>
      <c r="EN285" s="136"/>
      <c r="EO285" s="136"/>
      <c r="EP285" s="136"/>
      <c r="EQ285" s="136"/>
      <c r="ER285" s="136"/>
      <c r="ES285" s="136"/>
      <c r="ET285" s="136"/>
      <c r="EU285" s="136"/>
      <c r="EV285" s="136"/>
      <c r="EW285" s="136"/>
      <c r="EX285" s="136"/>
      <c r="EY285" s="136"/>
      <c r="EZ285" s="136"/>
      <c r="FA285" s="136"/>
      <c r="FB285" s="136"/>
      <c r="FC285" s="136"/>
      <c r="FD285" s="136"/>
      <c r="FE285" s="136"/>
      <c r="FF285" s="136"/>
      <c r="FG285" s="136"/>
      <c r="FH285" s="136"/>
      <c r="FI285" s="136"/>
      <c r="FJ285" s="136"/>
      <c r="FK285" s="136"/>
      <c r="FL285" s="136"/>
      <c r="FM285" s="136"/>
      <c r="FN285" s="136"/>
      <c r="FO285" s="136"/>
      <c r="FP285" s="136"/>
      <c r="FQ285" s="136"/>
      <c r="FR285" s="136"/>
      <c r="FS285" s="136"/>
      <c r="FT285" s="136"/>
      <c r="FU285" s="136"/>
      <c r="FV285" s="136"/>
      <c r="FW285" s="136"/>
      <c r="FX285" s="136"/>
      <c r="FY285" s="136"/>
      <c r="FZ285" s="136"/>
      <c r="GA285" s="136"/>
      <c r="GB285" s="136"/>
      <c r="GC285" s="136"/>
      <c r="GD285" s="136"/>
      <c r="GE285" s="136"/>
      <c r="GF285" s="136"/>
      <c r="GG285" s="136"/>
      <c r="GH285" s="136"/>
      <c r="GI285" s="136"/>
      <c r="GJ285" s="136"/>
      <c r="GK285" s="136"/>
      <c r="GL285" s="136"/>
      <c r="GM285" s="136"/>
      <c r="GN285" s="136"/>
      <c r="GO285" s="136"/>
      <c r="GP285" s="136"/>
      <c r="GQ285" s="136"/>
      <c r="GR285" s="136"/>
      <c r="GS285" s="136"/>
      <c r="GT285" s="136"/>
      <c r="GU285" s="136"/>
      <c r="GV285" s="136"/>
      <c r="GW285" s="136"/>
      <c r="GX285" s="136"/>
      <c r="GY285" s="136"/>
      <c r="GZ285" s="136"/>
      <c r="HA285" s="136"/>
      <c r="HB285" s="136"/>
      <c r="HC285" s="136"/>
      <c r="HD285" s="136"/>
      <c r="HE285" s="136"/>
      <c r="HF285" s="136"/>
      <c r="HG285" s="136"/>
      <c r="HH285" s="136"/>
      <c r="HI285" s="136"/>
      <c r="HJ285" s="136"/>
      <c r="HK285" s="136"/>
      <c r="HL285" s="136"/>
      <c r="HM285" s="136"/>
      <c r="HN285" s="136"/>
      <c r="HO285" s="136"/>
      <c r="HP285" s="136"/>
      <c r="HQ285" s="136"/>
      <c r="HR285" s="136"/>
      <c r="HS285" s="136"/>
      <c r="HT285" s="136"/>
      <c r="HU285" s="136"/>
      <c r="HV285" s="136"/>
      <c r="HW285" s="136"/>
      <c r="HX285" s="136"/>
      <c r="HY285" s="136"/>
      <c r="HZ285" s="136"/>
      <c r="IA285" s="136"/>
      <c r="IB285" s="136"/>
      <c r="IC285" s="136"/>
      <c r="ID285" s="136"/>
      <c r="IE285" s="136"/>
      <c r="IF285" s="136"/>
      <c r="IG285" s="136"/>
      <c r="IH285" s="136"/>
      <c r="II285" s="136"/>
      <c r="IJ285" s="136"/>
      <c r="IK285" s="136"/>
      <c r="IL285" s="136"/>
      <c r="IM285" s="136"/>
      <c r="IN285" s="136"/>
      <c r="IO285" s="136"/>
      <c r="IP285" s="136"/>
      <c r="IQ285" s="136"/>
      <c r="IR285" s="136"/>
      <c r="IS285" s="136"/>
      <c r="IT285" s="136"/>
      <c r="IU285" s="136"/>
    </row>
    <row r="286" spans="1:255" ht="48" customHeight="1" x14ac:dyDescent="0.2">
      <c r="A286" s="242" t="str">
        <f>'HECVAT - Full'!A286</f>
        <v>HIPA-18</v>
      </c>
      <c r="B286" s="242" t="str">
        <f>VLOOKUP(A286,'HECVAT - Full'!A$24:B$312,2,FALSE)</f>
        <v>Does your application support varying levels of access to records based on user ID?</v>
      </c>
      <c r="C286" s="243" t="s">
        <v>692</v>
      </c>
      <c r="D286" s="253" t="s">
        <v>2978</v>
      </c>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6"/>
      <c r="AN286" s="136"/>
      <c r="AO286" s="136"/>
      <c r="AP286" s="136"/>
      <c r="AQ286" s="136"/>
      <c r="AR286" s="136"/>
      <c r="AS286" s="136"/>
      <c r="AT286" s="136"/>
      <c r="AU286" s="136"/>
      <c r="AV286" s="136"/>
      <c r="AW286" s="136"/>
      <c r="AX286" s="136"/>
      <c r="AY286" s="136"/>
      <c r="AZ286" s="136"/>
      <c r="BA286" s="136"/>
      <c r="BB286" s="136"/>
      <c r="BC286" s="136"/>
      <c r="BD286" s="136"/>
      <c r="BE286" s="136"/>
      <c r="BF286" s="136"/>
      <c r="BG286" s="136"/>
      <c r="BH286" s="136"/>
      <c r="BI286" s="136"/>
      <c r="BJ286" s="136"/>
      <c r="BK286" s="136"/>
      <c r="BL286" s="136"/>
      <c r="BM286" s="136"/>
      <c r="BN286" s="136"/>
      <c r="BO286" s="136"/>
      <c r="BP286" s="136"/>
      <c r="BQ286" s="136"/>
      <c r="BR286" s="136"/>
      <c r="BS286" s="136"/>
      <c r="BT286" s="136"/>
      <c r="BU286" s="136"/>
      <c r="BV286" s="136"/>
      <c r="BW286" s="136"/>
      <c r="BX286" s="136"/>
      <c r="BY286" s="136"/>
      <c r="BZ286" s="136"/>
      <c r="CA286" s="136"/>
      <c r="CB286" s="136"/>
      <c r="CC286" s="136"/>
      <c r="CD286" s="136"/>
      <c r="CE286" s="136"/>
      <c r="CF286" s="136"/>
      <c r="CG286" s="136"/>
      <c r="CH286" s="136"/>
      <c r="CI286" s="136"/>
      <c r="CJ286" s="136"/>
      <c r="CK286" s="136"/>
      <c r="CL286" s="136"/>
      <c r="CM286" s="136"/>
      <c r="CN286" s="136"/>
      <c r="CO286" s="136"/>
      <c r="CP286" s="136"/>
      <c r="CQ286" s="136"/>
      <c r="CR286" s="136"/>
      <c r="CS286" s="136"/>
      <c r="CT286" s="136"/>
      <c r="CU286" s="136"/>
      <c r="CV286" s="136"/>
      <c r="CW286" s="136"/>
      <c r="CX286" s="136"/>
      <c r="CY286" s="136"/>
      <c r="CZ286" s="136"/>
      <c r="DA286" s="136"/>
      <c r="DB286" s="136"/>
      <c r="DC286" s="136"/>
      <c r="DD286" s="136"/>
      <c r="DE286" s="136"/>
      <c r="DF286" s="136"/>
      <c r="DG286" s="136"/>
      <c r="DH286" s="136"/>
      <c r="DI286" s="136"/>
      <c r="DJ286" s="136"/>
      <c r="DK286" s="136"/>
      <c r="DL286" s="136"/>
      <c r="DM286" s="136"/>
      <c r="DN286" s="136"/>
      <c r="DO286" s="136"/>
      <c r="DP286" s="136"/>
      <c r="DQ286" s="136"/>
      <c r="DR286" s="136"/>
      <c r="DS286" s="136"/>
      <c r="DT286" s="136"/>
      <c r="DU286" s="136"/>
      <c r="DV286" s="136"/>
      <c r="DW286" s="136"/>
      <c r="DX286" s="136"/>
      <c r="DY286" s="136"/>
      <c r="DZ286" s="136"/>
      <c r="EA286" s="136"/>
      <c r="EB286" s="136"/>
      <c r="EC286" s="136"/>
      <c r="ED286" s="136"/>
      <c r="EE286" s="136"/>
      <c r="EF286" s="136"/>
      <c r="EG286" s="136"/>
      <c r="EH286" s="136"/>
      <c r="EI286" s="136"/>
      <c r="EJ286" s="136"/>
      <c r="EK286" s="136"/>
      <c r="EL286" s="136"/>
      <c r="EM286" s="136"/>
      <c r="EN286" s="136"/>
      <c r="EO286" s="136"/>
      <c r="EP286" s="136"/>
      <c r="EQ286" s="136"/>
      <c r="ER286" s="136"/>
      <c r="ES286" s="136"/>
      <c r="ET286" s="136"/>
      <c r="EU286" s="136"/>
      <c r="EV286" s="136"/>
      <c r="EW286" s="136"/>
      <c r="EX286" s="136"/>
      <c r="EY286" s="136"/>
      <c r="EZ286" s="136"/>
      <c r="FA286" s="136"/>
      <c r="FB286" s="136"/>
      <c r="FC286" s="136"/>
      <c r="FD286" s="136"/>
      <c r="FE286" s="136"/>
      <c r="FF286" s="136"/>
      <c r="FG286" s="136"/>
      <c r="FH286" s="136"/>
      <c r="FI286" s="136"/>
      <c r="FJ286" s="136"/>
      <c r="FK286" s="136"/>
      <c r="FL286" s="136"/>
      <c r="FM286" s="136"/>
      <c r="FN286" s="136"/>
      <c r="FO286" s="136"/>
      <c r="FP286" s="136"/>
      <c r="FQ286" s="136"/>
      <c r="FR286" s="136"/>
      <c r="FS286" s="136"/>
      <c r="FT286" s="136"/>
      <c r="FU286" s="136"/>
      <c r="FV286" s="136"/>
      <c r="FW286" s="136"/>
      <c r="FX286" s="136"/>
      <c r="FY286" s="136"/>
      <c r="FZ286" s="136"/>
      <c r="GA286" s="136"/>
      <c r="GB286" s="136"/>
      <c r="GC286" s="136"/>
      <c r="GD286" s="136"/>
      <c r="GE286" s="136"/>
      <c r="GF286" s="136"/>
      <c r="GG286" s="136"/>
      <c r="GH286" s="136"/>
      <c r="GI286" s="136"/>
      <c r="GJ286" s="136"/>
      <c r="GK286" s="136"/>
      <c r="GL286" s="136"/>
      <c r="GM286" s="136"/>
      <c r="GN286" s="136"/>
      <c r="GO286" s="136"/>
      <c r="GP286" s="136"/>
      <c r="GQ286" s="136"/>
      <c r="GR286" s="136"/>
      <c r="GS286" s="136"/>
      <c r="GT286" s="136"/>
      <c r="GU286" s="136"/>
      <c r="GV286" s="136"/>
      <c r="GW286" s="136"/>
      <c r="GX286" s="136"/>
      <c r="GY286" s="136"/>
      <c r="GZ286" s="136"/>
      <c r="HA286" s="136"/>
      <c r="HB286" s="136"/>
      <c r="HC286" s="136"/>
      <c r="HD286" s="136"/>
      <c r="HE286" s="136"/>
      <c r="HF286" s="136"/>
      <c r="HG286" s="136"/>
      <c r="HH286" s="136"/>
      <c r="HI286" s="136"/>
      <c r="HJ286" s="136"/>
      <c r="HK286" s="136"/>
      <c r="HL286" s="136"/>
      <c r="HM286" s="136"/>
      <c r="HN286" s="136"/>
      <c r="HO286" s="136"/>
      <c r="HP286" s="136"/>
      <c r="HQ286" s="136"/>
      <c r="HR286" s="136"/>
      <c r="HS286" s="136"/>
      <c r="HT286" s="136"/>
      <c r="HU286" s="136"/>
      <c r="HV286" s="136"/>
      <c r="HW286" s="136"/>
      <c r="HX286" s="136"/>
      <c r="HY286" s="136"/>
      <c r="HZ286" s="136"/>
      <c r="IA286" s="136"/>
      <c r="IB286" s="136"/>
      <c r="IC286" s="136"/>
      <c r="ID286" s="136"/>
      <c r="IE286" s="136"/>
      <c r="IF286" s="136"/>
      <c r="IG286" s="136"/>
      <c r="IH286" s="136"/>
      <c r="II286" s="136"/>
      <c r="IJ286" s="136"/>
      <c r="IK286" s="136"/>
      <c r="IL286" s="136"/>
      <c r="IM286" s="136"/>
      <c r="IN286" s="136"/>
      <c r="IO286" s="136"/>
      <c r="IP286" s="136"/>
      <c r="IQ286" s="136"/>
      <c r="IR286" s="136"/>
      <c r="IS286" s="136"/>
      <c r="IT286" s="136"/>
      <c r="IU286" s="136"/>
    </row>
    <row r="287" spans="1:255" ht="47.1" customHeight="1" x14ac:dyDescent="0.2">
      <c r="A287" s="242" t="str">
        <f>'HECVAT - Full'!A287</f>
        <v>HIPA-19</v>
      </c>
      <c r="B287" s="242" t="str">
        <f>VLOOKUP(A287,'HECVAT - Full'!A$24:B$312,2,FALSE)</f>
        <v>Is there a limit to the number of groups a user can be assigned?</v>
      </c>
      <c r="C287" s="243" t="s">
        <v>695</v>
      </c>
      <c r="D287" s="253" t="s">
        <v>2978</v>
      </c>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6"/>
      <c r="AN287" s="136"/>
      <c r="AO287" s="136"/>
      <c r="AP287" s="136"/>
      <c r="AQ287" s="136"/>
      <c r="AR287" s="136"/>
      <c r="AS287" s="136"/>
      <c r="AT287" s="136"/>
      <c r="AU287" s="136"/>
      <c r="AV287" s="136"/>
      <c r="AW287" s="136"/>
      <c r="AX287" s="136"/>
      <c r="AY287" s="136"/>
      <c r="AZ287" s="136"/>
      <c r="BA287" s="136"/>
      <c r="BB287" s="136"/>
      <c r="BC287" s="136"/>
      <c r="BD287" s="136"/>
      <c r="BE287" s="136"/>
      <c r="BF287" s="136"/>
      <c r="BG287" s="136"/>
      <c r="BH287" s="136"/>
      <c r="BI287" s="136"/>
      <c r="BJ287" s="136"/>
      <c r="BK287" s="136"/>
      <c r="BL287" s="136"/>
      <c r="BM287" s="136"/>
      <c r="BN287" s="136"/>
      <c r="BO287" s="136"/>
      <c r="BP287" s="136"/>
      <c r="BQ287" s="136"/>
      <c r="BR287" s="136"/>
      <c r="BS287" s="136"/>
      <c r="BT287" s="136"/>
      <c r="BU287" s="136"/>
      <c r="BV287" s="136"/>
      <c r="BW287" s="136"/>
      <c r="BX287" s="136"/>
      <c r="BY287" s="136"/>
      <c r="BZ287" s="136"/>
      <c r="CA287" s="136"/>
      <c r="CB287" s="136"/>
      <c r="CC287" s="136"/>
      <c r="CD287" s="136"/>
      <c r="CE287" s="136"/>
      <c r="CF287" s="136"/>
      <c r="CG287" s="136"/>
      <c r="CH287" s="136"/>
      <c r="CI287" s="136"/>
      <c r="CJ287" s="136"/>
      <c r="CK287" s="136"/>
      <c r="CL287" s="136"/>
      <c r="CM287" s="136"/>
      <c r="CN287" s="136"/>
      <c r="CO287" s="136"/>
      <c r="CP287" s="136"/>
      <c r="CQ287" s="136"/>
      <c r="CR287" s="136"/>
      <c r="CS287" s="136"/>
      <c r="CT287" s="136"/>
      <c r="CU287" s="136"/>
      <c r="CV287" s="136"/>
      <c r="CW287" s="136"/>
      <c r="CX287" s="136"/>
      <c r="CY287" s="136"/>
      <c r="CZ287" s="136"/>
      <c r="DA287" s="136"/>
      <c r="DB287" s="136"/>
      <c r="DC287" s="136"/>
      <c r="DD287" s="136"/>
      <c r="DE287" s="136"/>
      <c r="DF287" s="136"/>
      <c r="DG287" s="136"/>
      <c r="DH287" s="136"/>
      <c r="DI287" s="136"/>
      <c r="DJ287" s="136"/>
      <c r="DK287" s="136"/>
      <c r="DL287" s="136"/>
      <c r="DM287" s="136"/>
      <c r="DN287" s="136"/>
      <c r="DO287" s="136"/>
      <c r="DP287" s="136"/>
      <c r="DQ287" s="136"/>
      <c r="DR287" s="136"/>
      <c r="DS287" s="136"/>
      <c r="DT287" s="136"/>
      <c r="DU287" s="136"/>
      <c r="DV287" s="136"/>
      <c r="DW287" s="136"/>
      <c r="DX287" s="136"/>
      <c r="DY287" s="136"/>
      <c r="DZ287" s="136"/>
      <c r="EA287" s="136"/>
      <c r="EB287" s="136"/>
      <c r="EC287" s="136"/>
      <c r="ED287" s="136"/>
      <c r="EE287" s="136"/>
      <c r="EF287" s="136"/>
      <c r="EG287" s="136"/>
      <c r="EH287" s="136"/>
      <c r="EI287" s="136"/>
      <c r="EJ287" s="136"/>
      <c r="EK287" s="136"/>
      <c r="EL287" s="136"/>
      <c r="EM287" s="136"/>
      <c r="EN287" s="136"/>
      <c r="EO287" s="136"/>
      <c r="EP287" s="136"/>
      <c r="EQ287" s="136"/>
      <c r="ER287" s="136"/>
      <c r="ES287" s="136"/>
      <c r="ET287" s="136"/>
      <c r="EU287" s="136"/>
      <c r="EV287" s="136"/>
      <c r="EW287" s="136"/>
      <c r="EX287" s="136"/>
      <c r="EY287" s="136"/>
      <c r="EZ287" s="136"/>
      <c r="FA287" s="136"/>
      <c r="FB287" s="136"/>
      <c r="FC287" s="136"/>
      <c r="FD287" s="136"/>
      <c r="FE287" s="136"/>
      <c r="FF287" s="136"/>
      <c r="FG287" s="136"/>
      <c r="FH287" s="136"/>
      <c r="FI287" s="136"/>
      <c r="FJ287" s="136"/>
      <c r="FK287" s="136"/>
      <c r="FL287" s="136"/>
      <c r="FM287" s="136"/>
      <c r="FN287" s="136"/>
      <c r="FO287" s="136"/>
      <c r="FP287" s="136"/>
      <c r="FQ287" s="136"/>
      <c r="FR287" s="136"/>
      <c r="FS287" s="136"/>
      <c r="FT287" s="136"/>
      <c r="FU287" s="136"/>
      <c r="FV287" s="136"/>
      <c r="FW287" s="136"/>
      <c r="FX287" s="136"/>
      <c r="FY287" s="136"/>
      <c r="FZ287" s="136"/>
      <c r="GA287" s="136"/>
      <c r="GB287" s="136"/>
      <c r="GC287" s="136"/>
      <c r="GD287" s="136"/>
      <c r="GE287" s="136"/>
      <c r="GF287" s="136"/>
      <c r="GG287" s="136"/>
      <c r="GH287" s="136"/>
      <c r="GI287" s="136"/>
      <c r="GJ287" s="136"/>
      <c r="GK287" s="136"/>
      <c r="GL287" s="136"/>
      <c r="GM287" s="136"/>
      <c r="GN287" s="136"/>
      <c r="GO287" s="136"/>
      <c r="GP287" s="136"/>
      <c r="GQ287" s="136"/>
      <c r="GR287" s="136"/>
      <c r="GS287" s="136"/>
      <c r="GT287" s="136"/>
      <c r="GU287" s="136"/>
      <c r="GV287" s="136"/>
      <c r="GW287" s="136"/>
      <c r="GX287" s="136"/>
      <c r="GY287" s="136"/>
      <c r="GZ287" s="136"/>
      <c r="HA287" s="136"/>
      <c r="HB287" s="136"/>
      <c r="HC287" s="136"/>
      <c r="HD287" s="136"/>
      <c r="HE287" s="136"/>
      <c r="HF287" s="136"/>
      <c r="HG287" s="136"/>
      <c r="HH287" s="136"/>
      <c r="HI287" s="136"/>
      <c r="HJ287" s="136"/>
      <c r="HK287" s="136"/>
      <c r="HL287" s="136"/>
      <c r="HM287" s="136"/>
      <c r="HN287" s="136"/>
      <c r="HO287" s="136"/>
      <c r="HP287" s="136"/>
      <c r="HQ287" s="136"/>
      <c r="HR287" s="136"/>
      <c r="HS287" s="136"/>
      <c r="HT287" s="136"/>
      <c r="HU287" s="136"/>
      <c r="HV287" s="136"/>
      <c r="HW287" s="136"/>
      <c r="HX287" s="136"/>
      <c r="HY287" s="136"/>
      <c r="HZ287" s="136"/>
      <c r="IA287" s="136"/>
      <c r="IB287" s="136"/>
      <c r="IC287" s="136"/>
      <c r="ID287" s="136"/>
      <c r="IE287" s="136"/>
      <c r="IF287" s="136"/>
      <c r="IG287" s="136"/>
      <c r="IH287" s="136"/>
      <c r="II287" s="136"/>
      <c r="IJ287" s="136"/>
      <c r="IK287" s="136"/>
      <c r="IL287" s="136"/>
      <c r="IM287" s="136"/>
      <c r="IN287" s="136"/>
      <c r="IO287" s="136"/>
      <c r="IP287" s="136"/>
      <c r="IQ287" s="136"/>
      <c r="IR287" s="136"/>
      <c r="IS287" s="136"/>
      <c r="IT287" s="136"/>
      <c r="IU287" s="136"/>
    </row>
    <row r="288" spans="1:255" ht="47.1" customHeight="1" x14ac:dyDescent="0.2">
      <c r="A288" s="242" t="str">
        <f>'HECVAT - Full'!A288</f>
        <v>HIPA-20</v>
      </c>
      <c r="B288" s="242" t="str">
        <f>VLOOKUP(A288,'HECVAT - Full'!A$24:B$312,2,FALSE)</f>
        <v>Do accounts used for vendor supplied remote support abide by the same authentication policies and access logging as the rest of the system?</v>
      </c>
      <c r="C288" s="243" t="s">
        <v>695</v>
      </c>
      <c r="D288" s="253" t="s">
        <v>2978</v>
      </c>
      <c r="E288" s="13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6"/>
      <c r="AN288" s="136"/>
      <c r="AO288" s="136"/>
      <c r="AP288" s="136"/>
      <c r="AQ288" s="136"/>
      <c r="AR288" s="136"/>
      <c r="AS288" s="136"/>
      <c r="AT288" s="136"/>
      <c r="AU288" s="136"/>
      <c r="AV288" s="136"/>
      <c r="AW288" s="136"/>
      <c r="AX288" s="136"/>
      <c r="AY288" s="136"/>
      <c r="AZ288" s="136"/>
      <c r="BA288" s="136"/>
      <c r="BB288" s="136"/>
      <c r="BC288" s="136"/>
      <c r="BD288" s="136"/>
      <c r="BE288" s="136"/>
      <c r="BF288" s="136"/>
      <c r="BG288" s="136"/>
      <c r="BH288" s="136"/>
      <c r="BI288" s="136"/>
      <c r="BJ288" s="136"/>
      <c r="BK288" s="136"/>
      <c r="BL288" s="136"/>
      <c r="BM288" s="136"/>
      <c r="BN288" s="136"/>
      <c r="BO288" s="136"/>
      <c r="BP288" s="136"/>
      <c r="BQ288" s="136"/>
      <c r="BR288" s="136"/>
      <c r="BS288" s="136"/>
      <c r="BT288" s="136"/>
      <c r="BU288" s="136"/>
      <c r="BV288" s="136"/>
      <c r="BW288" s="136"/>
      <c r="BX288" s="136"/>
      <c r="BY288" s="136"/>
      <c r="BZ288" s="136"/>
      <c r="CA288" s="136"/>
      <c r="CB288" s="136"/>
      <c r="CC288" s="136"/>
      <c r="CD288" s="136"/>
      <c r="CE288" s="136"/>
      <c r="CF288" s="136"/>
      <c r="CG288" s="136"/>
      <c r="CH288" s="136"/>
      <c r="CI288" s="136"/>
      <c r="CJ288" s="136"/>
      <c r="CK288" s="136"/>
      <c r="CL288" s="136"/>
      <c r="CM288" s="136"/>
      <c r="CN288" s="136"/>
      <c r="CO288" s="136"/>
      <c r="CP288" s="136"/>
      <c r="CQ288" s="136"/>
      <c r="CR288" s="136"/>
      <c r="CS288" s="136"/>
      <c r="CT288" s="136"/>
      <c r="CU288" s="136"/>
      <c r="CV288" s="136"/>
      <c r="CW288" s="136"/>
      <c r="CX288" s="136"/>
      <c r="CY288" s="136"/>
      <c r="CZ288" s="136"/>
      <c r="DA288" s="136"/>
      <c r="DB288" s="136"/>
      <c r="DC288" s="136"/>
      <c r="DD288" s="136"/>
      <c r="DE288" s="136"/>
      <c r="DF288" s="136"/>
      <c r="DG288" s="136"/>
      <c r="DH288" s="136"/>
      <c r="DI288" s="136"/>
      <c r="DJ288" s="136"/>
      <c r="DK288" s="136"/>
      <c r="DL288" s="136"/>
      <c r="DM288" s="136"/>
      <c r="DN288" s="136"/>
      <c r="DO288" s="136"/>
      <c r="DP288" s="136"/>
      <c r="DQ288" s="136"/>
      <c r="DR288" s="136"/>
      <c r="DS288" s="136"/>
      <c r="DT288" s="136"/>
      <c r="DU288" s="136"/>
      <c r="DV288" s="136"/>
      <c r="DW288" s="136"/>
      <c r="DX288" s="136"/>
      <c r="DY288" s="136"/>
      <c r="DZ288" s="136"/>
      <c r="EA288" s="136"/>
      <c r="EB288" s="136"/>
      <c r="EC288" s="136"/>
      <c r="ED288" s="136"/>
      <c r="EE288" s="136"/>
      <c r="EF288" s="136"/>
      <c r="EG288" s="136"/>
      <c r="EH288" s="136"/>
      <c r="EI288" s="136"/>
      <c r="EJ288" s="136"/>
      <c r="EK288" s="136"/>
      <c r="EL288" s="136"/>
      <c r="EM288" s="136"/>
      <c r="EN288" s="136"/>
      <c r="EO288" s="136"/>
      <c r="EP288" s="136"/>
      <c r="EQ288" s="136"/>
      <c r="ER288" s="136"/>
      <c r="ES288" s="136"/>
      <c r="ET288" s="136"/>
      <c r="EU288" s="136"/>
      <c r="EV288" s="136"/>
      <c r="EW288" s="136"/>
      <c r="EX288" s="136"/>
      <c r="EY288" s="136"/>
      <c r="EZ288" s="136"/>
      <c r="FA288" s="136"/>
      <c r="FB288" s="136"/>
      <c r="FC288" s="136"/>
      <c r="FD288" s="136"/>
      <c r="FE288" s="136"/>
      <c r="FF288" s="136"/>
      <c r="FG288" s="136"/>
      <c r="FH288" s="136"/>
      <c r="FI288" s="136"/>
      <c r="FJ288" s="136"/>
      <c r="FK288" s="136"/>
      <c r="FL288" s="136"/>
      <c r="FM288" s="136"/>
      <c r="FN288" s="136"/>
      <c r="FO288" s="136"/>
      <c r="FP288" s="136"/>
      <c r="FQ288" s="136"/>
      <c r="FR288" s="136"/>
      <c r="FS288" s="136"/>
      <c r="FT288" s="136"/>
      <c r="FU288" s="136"/>
      <c r="FV288" s="136"/>
      <c r="FW288" s="136"/>
      <c r="FX288" s="136"/>
      <c r="FY288" s="136"/>
      <c r="FZ288" s="136"/>
      <c r="GA288" s="136"/>
      <c r="GB288" s="136"/>
      <c r="GC288" s="136"/>
      <c r="GD288" s="136"/>
      <c r="GE288" s="136"/>
      <c r="GF288" s="136"/>
      <c r="GG288" s="136"/>
      <c r="GH288" s="136"/>
      <c r="GI288" s="136"/>
      <c r="GJ288" s="136"/>
      <c r="GK288" s="136"/>
      <c r="GL288" s="136"/>
      <c r="GM288" s="136"/>
      <c r="GN288" s="136"/>
      <c r="GO288" s="136"/>
      <c r="GP288" s="136"/>
      <c r="GQ288" s="136"/>
      <c r="GR288" s="136"/>
      <c r="GS288" s="136"/>
      <c r="GT288" s="136"/>
      <c r="GU288" s="136"/>
      <c r="GV288" s="136"/>
      <c r="GW288" s="136"/>
      <c r="GX288" s="136"/>
      <c r="GY288" s="136"/>
      <c r="GZ288" s="136"/>
      <c r="HA288" s="136"/>
      <c r="HB288" s="136"/>
      <c r="HC288" s="136"/>
      <c r="HD288" s="136"/>
      <c r="HE288" s="136"/>
      <c r="HF288" s="136"/>
      <c r="HG288" s="136"/>
      <c r="HH288" s="136"/>
      <c r="HI288" s="136"/>
      <c r="HJ288" s="136"/>
      <c r="HK288" s="136"/>
      <c r="HL288" s="136"/>
      <c r="HM288" s="136"/>
      <c r="HN288" s="136"/>
      <c r="HO288" s="136"/>
      <c r="HP288" s="136"/>
      <c r="HQ288" s="136"/>
      <c r="HR288" s="136"/>
      <c r="HS288" s="136"/>
      <c r="HT288" s="136"/>
      <c r="HU288" s="136"/>
      <c r="HV288" s="136"/>
      <c r="HW288" s="136"/>
      <c r="HX288" s="136"/>
      <c r="HY288" s="136"/>
      <c r="HZ288" s="136"/>
      <c r="IA288" s="136"/>
      <c r="IB288" s="136"/>
      <c r="IC288" s="136"/>
      <c r="ID288" s="136"/>
      <c r="IE288" s="136"/>
      <c r="IF288" s="136"/>
      <c r="IG288" s="136"/>
      <c r="IH288" s="136"/>
      <c r="II288" s="136"/>
      <c r="IJ288" s="136"/>
      <c r="IK288" s="136"/>
      <c r="IL288" s="136"/>
      <c r="IM288" s="136"/>
      <c r="IN288" s="136"/>
      <c r="IO288" s="136"/>
      <c r="IP288" s="136"/>
      <c r="IQ288" s="136"/>
      <c r="IR288" s="136"/>
      <c r="IS288" s="136"/>
      <c r="IT288" s="136"/>
      <c r="IU288" s="136"/>
    </row>
    <row r="289" spans="1:255" ht="48" customHeight="1" x14ac:dyDescent="0.2">
      <c r="A289" s="242" t="str">
        <f>'HECVAT - Full'!A289</f>
        <v>HIPA-21</v>
      </c>
      <c r="B289" s="242" t="str">
        <f>VLOOKUP(A289,'HECVAT - Full'!A$24:B$312,2,FALSE)</f>
        <v xml:space="preserve">Does the application log record access including specific user, date/time of access, and originating IP or device? </v>
      </c>
      <c r="C289" s="243" t="s">
        <v>2980</v>
      </c>
      <c r="D289" s="253" t="s">
        <v>2978</v>
      </c>
      <c r="E289" s="13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6"/>
      <c r="AN289" s="136"/>
      <c r="AO289" s="136"/>
      <c r="AP289" s="136"/>
      <c r="AQ289" s="136"/>
      <c r="AR289" s="136"/>
      <c r="AS289" s="136"/>
      <c r="AT289" s="136"/>
      <c r="AU289" s="136"/>
      <c r="AV289" s="136"/>
      <c r="AW289" s="136"/>
      <c r="AX289" s="136"/>
      <c r="AY289" s="136"/>
      <c r="AZ289" s="136"/>
      <c r="BA289" s="136"/>
      <c r="BB289" s="136"/>
      <c r="BC289" s="136"/>
      <c r="BD289" s="136"/>
      <c r="BE289" s="136"/>
      <c r="BF289" s="136"/>
      <c r="BG289" s="136"/>
      <c r="BH289" s="136"/>
      <c r="BI289" s="136"/>
      <c r="BJ289" s="136"/>
      <c r="BK289" s="136"/>
      <c r="BL289" s="136"/>
      <c r="BM289" s="136"/>
      <c r="BN289" s="136"/>
      <c r="BO289" s="136"/>
      <c r="BP289" s="136"/>
      <c r="BQ289" s="136"/>
      <c r="BR289" s="136"/>
      <c r="BS289" s="136"/>
      <c r="BT289" s="136"/>
      <c r="BU289" s="136"/>
      <c r="BV289" s="136"/>
      <c r="BW289" s="136"/>
      <c r="BX289" s="136"/>
      <c r="BY289" s="136"/>
      <c r="BZ289" s="136"/>
      <c r="CA289" s="136"/>
      <c r="CB289" s="136"/>
      <c r="CC289" s="136"/>
      <c r="CD289" s="136"/>
      <c r="CE289" s="136"/>
      <c r="CF289" s="136"/>
      <c r="CG289" s="136"/>
      <c r="CH289" s="136"/>
      <c r="CI289" s="136"/>
      <c r="CJ289" s="136"/>
      <c r="CK289" s="136"/>
      <c r="CL289" s="136"/>
      <c r="CM289" s="136"/>
      <c r="CN289" s="136"/>
      <c r="CO289" s="136"/>
      <c r="CP289" s="136"/>
      <c r="CQ289" s="136"/>
      <c r="CR289" s="136"/>
      <c r="CS289" s="136"/>
      <c r="CT289" s="136"/>
      <c r="CU289" s="136"/>
      <c r="CV289" s="136"/>
      <c r="CW289" s="136"/>
      <c r="CX289" s="136"/>
      <c r="CY289" s="136"/>
      <c r="CZ289" s="136"/>
      <c r="DA289" s="136"/>
      <c r="DB289" s="136"/>
      <c r="DC289" s="136"/>
      <c r="DD289" s="136"/>
      <c r="DE289" s="136"/>
      <c r="DF289" s="136"/>
      <c r="DG289" s="136"/>
      <c r="DH289" s="136"/>
      <c r="DI289" s="136"/>
      <c r="DJ289" s="136"/>
      <c r="DK289" s="136"/>
      <c r="DL289" s="136"/>
      <c r="DM289" s="136"/>
      <c r="DN289" s="136"/>
      <c r="DO289" s="136"/>
      <c r="DP289" s="136"/>
      <c r="DQ289" s="136"/>
      <c r="DR289" s="136"/>
      <c r="DS289" s="136"/>
      <c r="DT289" s="136"/>
      <c r="DU289" s="136"/>
      <c r="DV289" s="136"/>
      <c r="DW289" s="136"/>
      <c r="DX289" s="136"/>
      <c r="DY289" s="136"/>
      <c r="DZ289" s="136"/>
      <c r="EA289" s="136"/>
      <c r="EB289" s="136"/>
      <c r="EC289" s="136"/>
      <c r="ED289" s="136"/>
      <c r="EE289" s="136"/>
      <c r="EF289" s="136"/>
      <c r="EG289" s="136"/>
      <c r="EH289" s="136"/>
      <c r="EI289" s="136"/>
      <c r="EJ289" s="136"/>
      <c r="EK289" s="136"/>
      <c r="EL289" s="136"/>
      <c r="EM289" s="136"/>
      <c r="EN289" s="136"/>
      <c r="EO289" s="136"/>
      <c r="EP289" s="136"/>
      <c r="EQ289" s="136"/>
      <c r="ER289" s="136"/>
      <c r="ES289" s="136"/>
      <c r="ET289" s="136"/>
      <c r="EU289" s="136"/>
      <c r="EV289" s="136"/>
      <c r="EW289" s="136"/>
      <c r="EX289" s="136"/>
      <c r="EY289" s="136"/>
      <c r="EZ289" s="136"/>
      <c r="FA289" s="136"/>
      <c r="FB289" s="136"/>
      <c r="FC289" s="136"/>
      <c r="FD289" s="136"/>
      <c r="FE289" s="136"/>
      <c r="FF289" s="136"/>
      <c r="FG289" s="136"/>
      <c r="FH289" s="136"/>
      <c r="FI289" s="136"/>
      <c r="FJ289" s="136"/>
      <c r="FK289" s="136"/>
      <c r="FL289" s="136"/>
      <c r="FM289" s="136"/>
      <c r="FN289" s="136"/>
      <c r="FO289" s="136"/>
      <c r="FP289" s="136"/>
      <c r="FQ289" s="136"/>
      <c r="FR289" s="136"/>
      <c r="FS289" s="136"/>
      <c r="FT289" s="136"/>
      <c r="FU289" s="136"/>
      <c r="FV289" s="136"/>
      <c r="FW289" s="136"/>
      <c r="FX289" s="136"/>
      <c r="FY289" s="136"/>
      <c r="FZ289" s="136"/>
      <c r="GA289" s="136"/>
      <c r="GB289" s="136"/>
      <c r="GC289" s="136"/>
      <c r="GD289" s="136"/>
      <c r="GE289" s="136"/>
      <c r="GF289" s="136"/>
      <c r="GG289" s="136"/>
      <c r="GH289" s="136"/>
      <c r="GI289" s="136"/>
      <c r="GJ289" s="136"/>
      <c r="GK289" s="136"/>
      <c r="GL289" s="136"/>
      <c r="GM289" s="136"/>
      <c r="GN289" s="136"/>
      <c r="GO289" s="136"/>
      <c r="GP289" s="136"/>
      <c r="GQ289" s="136"/>
      <c r="GR289" s="136"/>
      <c r="GS289" s="136"/>
      <c r="GT289" s="136"/>
      <c r="GU289" s="136"/>
      <c r="GV289" s="136"/>
      <c r="GW289" s="136"/>
      <c r="GX289" s="136"/>
      <c r="GY289" s="136"/>
      <c r="GZ289" s="136"/>
      <c r="HA289" s="136"/>
      <c r="HB289" s="136"/>
      <c r="HC289" s="136"/>
      <c r="HD289" s="136"/>
      <c r="HE289" s="136"/>
      <c r="HF289" s="136"/>
      <c r="HG289" s="136"/>
      <c r="HH289" s="136"/>
      <c r="HI289" s="136"/>
      <c r="HJ289" s="136"/>
      <c r="HK289" s="136"/>
      <c r="HL289" s="136"/>
      <c r="HM289" s="136"/>
      <c r="HN289" s="136"/>
      <c r="HO289" s="136"/>
      <c r="HP289" s="136"/>
      <c r="HQ289" s="136"/>
      <c r="HR289" s="136"/>
      <c r="HS289" s="136"/>
      <c r="HT289" s="136"/>
      <c r="HU289" s="136"/>
      <c r="HV289" s="136"/>
      <c r="HW289" s="136"/>
      <c r="HX289" s="136"/>
      <c r="HY289" s="136"/>
      <c r="HZ289" s="136"/>
      <c r="IA289" s="136"/>
      <c r="IB289" s="136"/>
      <c r="IC289" s="136"/>
      <c r="ID289" s="136"/>
      <c r="IE289" s="136"/>
      <c r="IF289" s="136"/>
      <c r="IG289" s="136"/>
      <c r="IH289" s="136"/>
      <c r="II289" s="136"/>
      <c r="IJ289" s="136"/>
      <c r="IK289" s="136"/>
      <c r="IL289" s="136"/>
      <c r="IM289" s="136"/>
      <c r="IN289" s="136"/>
      <c r="IO289" s="136"/>
      <c r="IP289" s="136"/>
      <c r="IQ289" s="136"/>
      <c r="IR289" s="136"/>
      <c r="IS289" s="136"/>
      <c r="IT289" s="136"/>
      <c r="IU289" s="136"/>
    </row>
    <row r="290" spans="1:255" ht="65.099999999999994" customHeight="1" x14ac:dyDescent="0.2">
      <c r="A290" s="242" t="str">
        <f>'HECVAT - Full'!A290</f>
        <v>HIPA-22</v>
      </c>
      <c r="B290" s="242" t="str">
        <f>VLOOKUP(A290,'HECVAT - Full'!A$24:B$312,2,FALSE)</f>
        <v>Does the application log administrative activity, such user account access changes and password changes, including specific user, date/time of changes, and originating IP or device?</v>
      </c>
      <c r="C290" s="243" t="s">
        <v>607</v>
      </c>
      <c r="D290" s="253" t="s">
        <v>2978</v>
      </c>
      <c r="E290" s="13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6"/>
      <c r="AN290" s="136"/>
      <c r="AO290" s="136"/>
      <c r="AP290" s="136"/>
      <c r="AQ290" s="136"/>
      <c r="AR290" s="136"/>
      <c r="AS290" s="136"/>
      <c r="AT290" s="136"/>
      <c r="AU290" s="136"/>
      <c r="AV290" s="136"/>
      <c r="AW290" s="136"/>
      <c r="AX290" s="136"/>
      <c r="AY290" s="136"/>
      <c r="AZ290" s="136"/>
      <c r="BA290" s="136"/>
      <c r="BB290" s="136"/>
      <c r="BC290" s="136"/>
      <c r="BD290" s="136"/>
      <c r="BE290" s="136"/>
      <c r="BF290" s="136"/>
      <c r="BG290" s="136"/>
      <c r="BH290" s="136"/>
      <c r="BI290" s="136"/>
      <c r="BJ290" s="136"/>
      <c r="BK290" s="136"/>
      <c r="BL290" s="136"/>
      <c r="BM290" s="136"/>
      <c r="BN290" s="136"/>
      <c r="BO290" s="136"/>
      <c r="BP290" s="136"/>
      <c r="BQ290" s="136"/>
      <c r="BR290" s="136"/>
      <c r="BS290" s="136"/>
      <c r="BT290" s="136"/>
      <c r="BU290" s="136"/>
      <c r="BV290" s="136"/>
      <c r="BW290" s="136"/>
      <c r="BX290" s="136"/>
      <c r="BY290" s="136"/>
      <c r="BZ290" s="136"/>
      <c r="CA290" s="136"/>
      <c r="CB290" s="136"/>
      <c r="CC290" s="136"/>
      <c r="CD290" s="136"/>
      <c r="CE290" s="136"/>
      <c r="CF290" s="136"/>
      <c r="CG290" s="136"/>
      <c r="CH290" s="136"/>
      <c r="CI290" s="136"/>
      <c r="CJ290" s="136"/>
      <c r="CK290" s="136"/>
      <c r="CL290" s="136"/>
      <c r="CM290" s="136"/>
      <c r="CN290" s="136"/>
      <c r="CO290" s="136"/>
      <c r="CP290" s="136"/>
      <c r="CQ290" s="136"/>
      <c r="CR290" s="136"/>
      <c r="CS290" s="136"/>
      <c r="CT290" s="136"/>
      <c r="CU290" s="136"/>
      <c r="CV290" s="136"/>
      <c r="CW290" s="136"/>
      <c r="CX290" s="136"/>
      <c r="CY290" s="136"/>
      <c r="CZ290" s="136"/>
      <c r="DA290" s="136"/>
      <c r="DB290" s="136"/>
      <c r="DC290" s="136"/>
      <c r="DD290" s="136"/>
      <c r="DE290" s="136"/>
      <c r="DF290" s="136"/>
      <c r="DG290" s="136"/>
      <c r="DH290" s="136"/>
      <c r="DI290" s="136"/>
      <c r="DJ290" s="136"/>
      <c r="DK290" s="136"/>
      <c r="DL290" s="136"/>
      <c r="DM290" s="136"/>
      <c r="DN290" s="136"/>
      <c r="DO290" s="136"/>
      <c r="DP290" s="136"/>
      <c r="DQ290" s="136"/>
      <c r="DR290" s="136"/>
      <c r="DS290" s="136"/>
      <c r="DT290" s="136"/>
      <c r="DU290" s="136"/>
      <c r="DV290" s="136"/>
      <c r="DW290" s="136"/>
      <c r="DX290" s="136"/>
      <c r="DY290" s="136"/>
      <c r="DZ290" s="136"/>
      <c r="EA290" s="136"/>
      <c r="EB290" s="136"/>
      <c r="EC290" s="136"/>
      <c r="ED290" s="136"/>
      <c r="EE290" s="136"/>
      <c r="EF290" s="136"/>
      <c r="EG290" s="136"/>
      <c r="EH290" s="136"/>
      <c r="EI290" s="136"/>
      <c r="EJ290" s="136"/>
      <c r="EK290" s="136"/>
      <c r="EL290" s="136"/>
      <c r="EM290" s="136"/>
      <c r="EN290" s="136"/>
      <c r="EO290" s="136"/>
      <c r="EP290" s="136"/>
      <c r="EQ290" s="136"/>
      <c r="ER290" s="136"/>
      <c r="ES290" s="136"/>
      <c r="ET290" s="136"/>
      <c r="EU290" s="136"/>
      <c r="EV290" s="136"/>
      <c r="EW290" s="136"/>
      <c r="EX290" s="136"/>
      <c r="EY290" s="136"/>
      <c r="EZ290" s="136"/>
      <c r="FA290" s="136"/>
      <c r="FB290" s="136"/>
      <c r="FC290" s="136"/>
      <c r="FD290" s="136"/>
      <c r="FE290" s="136"/>
      <c r="FF290" s="136"/>
      <c r="FG290" s="136"/>
      <c r="FH290" s="136"/>
      <c r="FI290" s="136"/>
      <c r="FJ290" s="136"/>
      <c r="FK290" s="136"/>
      <c r="FL290" s="136"/>
      <c r="FM290" s="136"/>
      <c r="FN290" s="136"/>
      <c r="FO290" s="136"/>
      <c r="FP290" s="136"/>
      <c r="FQ290" s="136"/>
      <c r="FR290" s="136"/>
      <c r="FS290" s="136"/>
      <c r="FT290" s="136"/>
      <c r="FU290" s="136"/>
      <c r="FV290" s="136"/>
      <c r="FW290" s="136"/>
      <c r="FX290" s="136"/>
      <c r="FY290" s="136"/>
      <c r="FZ290" s="136"/>
      <c r="GA290" s="136"/>
      <c r="GB290" s="136"/>
      <c r="GC290" s="136"/>
      <c r="GD290" s="136"/>
      <c r="GE290" s="136"/>
      <c r="GF290" s="136"/>
      <c r="GG290" s="136"/>
      <c r="GH290" s="136"/>
      <c r="GI290" s="136"/>
      <c r="GJ290" s="136"/>
      <c r="GK290" s="136"/>
      <c r="GL290" s="136"/>
      <c r="GM290" s="136"/>
      <c r="GN290" s="136"/>
      <c r="GO290" s="136"/>
      <c r="GP290" s="136"/>
      <c r="GQ290" s="136"/>
      <c r="GR290" s="136"/>
      <c r="GS290" s="136"/>
      <c r="GT290" s="136"/>
      <c r="GU290" s="136"/>
      <c r="GV290" s="136"/>
      <c r="GW290" s="136"/>
      <c r="GX290" s="136"/>
      <c r="GY290" s="136"/>
      <c r="GZ290" s="136"/>
      <c r="HA290" s="136"/>
      <c r="HB290" s="136"/>
      <c r="HC290" s="136"/>
      <c r="HD290" s="136"/>
      <c r="HE290" s="136"/>
      <c r="HF290" s="136"/>
      <c r="HG290" s="136"/>
      <c r="HH290" s="136"/>
      <c r="HI290" s="136"/>
      <c r="HJ290" s="136"/>
      <c r="HK290" s="136"/>
      <c r="HL290" s="136"/>
      <c r="HM290" s="136"/>
      <c r="HN290" s="136"/>
      <c r="HO290" s="136"/>
      <c r="HP290" s="136"/>
      <c r="HQ290" s="136"/>
      <c r="HR290" s="136"/>
      <c r="HS290" s="136"/>
      <c r="HT290" s="136"/>
      <c r="HU290" s="136"/>
      <c r="HV290" s="136"/>
      <c r="HW290" s="136"/>
      <c r="HX290" s="136"/>
      <c r="HY290" s="136"/>
      <c r="HZ290" s="136"/>
      <c r="IA290" s="136"/>
      <c r="IB290" s="136"/>
      <c r="IC290" s="136"/>
      <c r="ID290" s="136"/>
      <c r="IE290" s="136"/>
      <c r="IF290" s="136"/>
      <c r="IG290" s="136"/>
      <c r="IH290" s="136"/>
      <c r="II290" s="136"/>
      <c r="IJ290" s="136"/>
      <c r="IK290" s="136"/>
      <c r="IL290" s="136"/>
      <c r="IM290" s="136"/>
      <c r="IN290" s="136"/>
      <c r="IO290" s="136"/>
      <c r="IP290" s="136"/>
      <c r="IQ290" s="136"/>
      <c r="IR290" s="136"/>
      <c r="IS290" s="136"/>
      <c r="IT290" s="136"/>
      <c r="IU290" s="136"/>
    </row>
    <row r="291" spans="1:255" ht="48" customHeight="1" x14ac:dyDescent="0.2">
      <c r="A291" s="242" t="str">
        <f>'HECVAT - Full'!A291</f>
        <v>HIPA-23</v>
      </c>
      <c r="B291" s="242" t="str">
        <f>VLOOKUP(A291,'HECVAT - Full'!A$24:B$312,2,FALSE)</f>
        <v>How long does the application keep access/change logs?</v>
      </c>
      <c r="C291" s="243" t="s">
        <v>607</v>
      </c>
      <c r="D291" s="253" t="s">
        <v>2978</v>
      </c>
      <c r="E291" s="13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6"/>
      <c r="AN291" s="136"/>
      <c r="AO291" s="136"/>
      <c r="AP291" s="136"/>
      <c r="AQ291" s="136"/>
      <c r="AR291" s="136"/>
      <c r="AS291" s="136"/>
      <c r="AT291" s="136"/>
      <c r="AU291" s="136"/>
      <c r="AV291" s="136"/>
      <c r="AW291" s="136"/>
      <c r="AX291" s="136"/>
      <c r="AY291" s="136"/>
      <c r="AZ291" s="136"/>
      <c r="BA291" s="136"/>
      <c r="BB291" s="136"/>
      <c r="BC291" s="136"/>
      <c r="BD291" s="136"/>
      <c r="BE291" s="136"/>
      <c r="BF291" s="136"/>
      <c r="BG291" s="136"/>
      <c r="BH291" s="136"/>
      <c r="BI291" s="136"/>
      <c r="BJ291" s="136"/>
      <c r="BK291" s="136"/>
      <c r="BL291" s="136"/>
      <c r="BM291" s="136"/>
      <c r="BN291" s="136"/>
      <c r="BO291" s="136"/>
      <c r="BP291" s="136"/>
      <c r="BQ291" s="136"/>
      <c r="BR291" s="136"/>
      <c r="BS291" s="136"/>
      <c r="BT291" s="136"/>
      <c r="BU291" s="136"/>
      <c r="BV291" s="136"/>
      <c r="BW291" s="136"/>
      <c r="BX291" s="136"/>
      <c r="BY291" s="136"/>
      <c r="BZ291" s="136"/>
      <c r="CA291" s="136"/>
      <c r="CB291" s="136"/>
      <c r="CC291" s="136"/>
      <c r="CD291" s="136"/>
      <c r="CE291" s="136"/>
      <c r="CF291" s="136"/>
      <c r="CG291" s="136"/>
      <c r="CH291" s="136"/>
      <c r="CI291" s="136"/>
      <c r="CJ291" s="136"/>
      <c r="CK291" s="136"/>
      <c r="CL291" s="136"/>
      <c r="CM291" s="136"/>
      <c r="CN291" s="136"/>
      <c r="CO291" s="136"/>
      <c r="CP291" s="136"/>
      <c r="CQ291" s="136"/>
      <c r="CR291" s="136"/>
      <c r="CS291" s="136"/>
      <c r="CT291" s="136"/>
      <c r="CU291" s="136"/>
      <c r="CV291" s="136"/>
      <c r="CW291" s="136"/>
      <c r="CX291" s="136"/>
      <c r="CY291" s="136"/>
      <c r="CZ291" s="136"/>
      <c r="DA291" s="136"/>
      <c r="DB291" s="136"/>
      <c r="DC291" s="136"/>
      <c r="DD291" s="136"/>
      <c r="DE291" s="136"/>
      <c r="DF291" s="136"/>
      <c r="DG291" s="136"/>
      <c r="DH291" s="136"/>
      <c r="DI291" s="136"/>
      <c r="DJ291" s="136"/>
      <c r="DK291" s="136"/>
      <c r="DL291" s="136"/>
      <c r="DM291" s="136"/>
      <c r="DN291" s="136"/>
      <c r="DO291" s="136"/>
      <c r="DP291" s="136"/>
      <c r="DQ291" s="136"/>
      <c r="DR291" s="136"/>
      <c r="DS291" s="136"/>
      <c r="DT291" s="136"/>
      <c r="DU291" s="136"/>
      <c r="DV291" s="136"/>
      <c r="DW291" s="136"/>
      <c r="DX291" s="136"/>
      <c r="DY291" s="136"/>
      <c r="DZ291" s="136"/>
      <c r="EA291" s="136"/>
      <c r="EB291" s="136"/>
      <c r="EC291" s="136"/>
      <c r="ED291" s="136"/>
      <c r="EE291" s="136"/>
      <c r="EF291" s="136"/>
      <c r="EG291" s="136"/>
      <c r="EH291" s="136"/>
      <c r="EI291" s="136"/>
      <c r="EJ291" s="136"/>
      <c r="EK291" s="136"/>
      <c r="EL291" s="136"/>
      <c r="EM291" s="136"/>
      <c r="EN291" s="136"/>
      <c r="EO291" s="136"/>
      <c r="EP291" s="136"/>
      <c r="EQ291" s="136"/>
      <c r="ER291" s="136"/>
      <c r="ES291" s="136"/>
      <c r="ET291" s="136"/>
      <c r="EU291" s="136"/>
      <c r="EV291" s="136"/>
      <c r="EW291" s="136"/>
      <c r="EX291" s="136"/>
      <c r="EY291" s="136"/>
      <c r="EZ291" s="136"/>
      <c r="FA291" s="136"/>
      <c r="FB291" s="136"/>
      <c r="FC291" s="136"/>
      <c r="FD291" s="136"/>
      <c r="FE291" s="136"/>
      <c r="FF291" s="136"/>
      <c r="FG291" s="136"/>
      <c r="FH291" s="136"/>
      <c r="FI291" s="136"/>
      <c r="FJ291" s="136"/>
      <c r="FK291" s="136"/>
      <c r="FL291" s="136"/>
      <c r="FM291" s="136"/>
      <c r="FN291" s="136"/>
      <c r="FO291" s="136"/>
      <c r="FP291" s="136"/>
      <c r="FQ291" s="136"/>
      <c r="FR291" s="136"/>
      <c r="FS291" s="136"/>
      <c r="FT291" s="136"/>
      <c r="FU291" s="136"/>
      <c r="FV291" s="136"/>
      <c r="FW291" s="136"/>
      <c r="FX291" s="136"/>
      <c r="FY291" s="136"/>
      <c r="FZ291" s="136"/>
      <c r="GA291" s="136"/>
      <c r="GB291" s="136"/>
      <c r="GC291" s="136"/>
      <c r="GD291" s="136"/>
      <c r="GE291" s="136"/>
      <c r="GF291" s="136"/>
      <c r="GG291" s="136"/>
      <c r="GH291" s="136"/>
      <c r="GI291" s="136"/>
      <c r="GJ291" s="136"/>
      <c r="GK291" s="136"/>
      <c r="GL291" s="136"/>
      <c r="GM291" s="136"/>
      <c r="GN291" s="136"/>
      <c r="GO291" s="136"/>
      <c r="GP291" s="136"/>
      <c r="GQ291" s="136"/>
      <c r="GR291" s="136"/>
      <c r="GS291" s="136"/>
      <c r="GT291" s="136"/>
      <c r="GU291" s="136"/>
      <c r="GV291" s="136"/>
      <c r="GW291" s="136"/>
      <c r="GX291" s="136"/>
      <c r="GY291" s="136"/>
      <c r="GZ291" s="136"/>
      <c r="HA291" s="136"/>
      <c r="HB291" s="136"/>
      <c r="HC291" s="136"/>
      <c r="HD291" s="136"/>
      <c r="HE291" s="136"/>
      <c r="HF291" s="136"/>
      <c r="HG291" s="136"/>
      <c r="HH291" s="136"/>
      <c r="HI291" s="136"/>
      <c r="HJ291" s="136"/>
      <c r="HK291" s="136"/>
      <c r="HL291" s="136"/>
      <c r="HM291" s="136"/>
      <c r="HN291" s="136"/>
      <c r="HO291" s="136"/>
      <c r="HP291" s="136"/>
      <c r="HQ291" s="136"/>
      <c r="HR291" s="136"/>
      <c r="HS291" s="136"/>
      <c r="HT291" s="136"/>
      <c r="HU291" s="136"/>
      <c r="HV291" s="136"/>
      <c r="HW291" s="136"/>
      <c r="HX291" s="136"/>
      <c r="HY291" s="136"/>
      <c r="HZ291" s="136"/>
      <c r="IA291" s="136"/>
      <c r="IB291" s="136"/>
      <c r="IC291" s="136"/>
      <c r="ID291" s="136"/>
      <c r="IE291" s="136"/>
      <c r="IF291" s="136"/>
      <c r="IG291" s="136"/>
      <c r="IH291" s="136"/>
      <c r="II291" s="136"/>
      <c r="IJ291" s="136"/>
      <c r="IK291" s="136"/>
      <c r="IL291" s="136"/>
      <c r="IM291" s="136"/>
      <c r="IN291" s="136"/>
      <c r="IO291" s="136"/>
      <c r="IP291" s="136"/>
      <c r="IQ291" s="136"/>
      <c r="IR291" s="136"/>
      <c r="IS291" s="136"/>
      <c r="IT291" s="136"/>
      <c r="IU291" s="136"/>
    </row>
    <row r="292" spans="1:255" ht="48" customHeight="1" x14ac:dyDescent="0.2">
      <c r="A292" s="242" t="str">
        <f>'HECVAT - Full'!A292</f>
        <v>HIPA-24</v>
      </c>
      <c r="B292" s="242" t="str">
        <f>VLOOKUP(A292,'HECVAT - Full'!A$24:B$312,2,FALSE)</f>
        <v xml:space="preserve">Can the application logs be archived? </v>
      </c>
      <c r="C292" s="243" t="s">
        <v>607</v>
      </c>
      <c r="D292" s="253" t="s">
        <v>2978</v>
      </c>
      <c r="E292" s="13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6"/>
      <c r="AN292" s="136"/>
      <c r="AO292" s="136"/>
      <c r="AP292" s="136"/>
      <c r="AQ292" s="136"/>
      <c r="AR292" s="136"/>
      <c r="AS292" s="136"/>
      <c r="AT292" s="136"/>
      <c r="AU292" s="136"/>
      <c r="AV292" s="136"/>
      <c r="AW292" s="136"/>
      <c r="AX292" s="136"/>
      <c r="AY292" s="136"/>
      <c r="AZ292" s="136"/>
      <c r="BA292" s="136"/>
      <c r="BB292" s="136"/>
      <c r="BC292" s="136"/>
      <c r="BD292" s="136"/>
      <c r="BE292" s="136"/>
      <c r="BF292" s="136"/>
      <c r="BG292" s="136"/>
      <c r="BH292" s="136"/>
      <c r="BI292" s="136"/>
      <c r="BJ292" s="136"/>
      <c r="BK292" s="136"/>
      <c r="BL292" s="136"/>
      <c r="BM292" s="136"/>
      <c r="BN292" s="136"/>
      <c r="BO292" s="136"/>
      <c r="BP292" s="136"/>
      <c r="BQ292" s="136"/>
      <c r="BR292" s="136"/>
      <c r="BS292" s="136"/>
      <c r="BT292" s="136"/>
      <c r="BU292" s="136"/>
      <c r="BV292" s="136"/>
      <c r="BW292" s="136"/>
      <c r="BX292" s="136"/>
      <c r="BY292" s="136"/>
      <c r="BZ292" s="136"/>
      <c r="CA292" s="136"/>
      <c r="CB292" s="136"/>
      <c r="CC292" s="136"/>
      <c r="CD292" s="136"/>
      <c r="CE292" s="136"/>
      <c r="CF292" s="136"/>
      <c r="CG292" s="136"/>
      <c r="CH292" s="136"/>
      <c r="CI292" s="136"/>
      <c r="CJ292" s="136"/>
      <c r="CK292" s="136"/>
      <c r="CL292" s="136"/>
      <c r="CM292" s="136"/>
      <c r="CN292" s="136"/>
      <c r="CO292" s="136"/>
      <c r="CP292" s="136"/>
      <c r="CQ292" s="136"/>
      <c r="CR292" s="136"/>
      <c r="CS292" s="136"/>
      <c r="CT292" s="136"/>
      <c r="CU292" s="136"/>
      <c r="CV292" s="136"/>
      <c r="CW292" s="136"/>
      <c r="CX292" s="136"/>
      <c r="CY292" s="136"/>
      <c r="CZ292" s="136"/>
      <c r="DA292" s="136"/>
      <c r="DB292" s="136"/>
      <c r="DC292" s="136"/>
      <c r="DD292" s="136"/>
      <c r="DE292" s="136"/>
      <c r="DF292" s="136"/>
      <c r="DG292" s="136"/>
      <c r="DH292" s="136"/>
      <c r="DI292" s="136"/>
      <c r="DJ292" s="136"/>
      <c r="DK292" s="136"/>
      <c r="DL292" s="136"/>
      <c r="DM292" s="136"/>
      <c r="DN292" s="136"/>
      <c r="DO292" s="136"/>
      <c r="DP292" s="136"/>
      <c r="DQ292" s="136"/>
      <c r="DR292" s="136"/>
      <c r="DS292" s="136"/>
      <c r="DT292" s="136"/>
      <c r="DU292" s="136"/>
      <c r="DV292" s="136"/>
      <c r="DW292" s="136"/>
      <c r="DX292" s="136"/>
      <c r="DY292" s="136"/>
      <c r="DZ292" s="136"/>
      <c r="EA292" s="136"/>
      <c r="EB292" s="136"/>
      <c r="EC292" s="136"/>
      <c r="ED292" s="136"/>
      <c r="EE292" s="136"/>
      <c r="EF292" s="136"/>
      <c r="EG292" s="136"/>
      <c r="EH292" s="136"/>
      <c r="EI292" s="136"/>
      <c r="EJ292" s="136"/>
      <c r="EK292" s="136"/>
      <c r="EL292" s="136"/>
      <c r="EM292" s="136"/>
      <c r="EN292" s="136"/>
      <c r="EO292" s="136"/>
      <c r="EP292" s="136"/>
      <c r="EQ292" s="136"/>
      <c r="ER292" s="136"/>
      <c r="ES292" s="136"/>
      <c r="ET292" s="136"/>
      <c r="EU292" s="136"/>
      <c r="EV292" s="136"/>
      <c r="EW292" s="136"/>
      <c r="EX292" s="136"/>
      <c r="EY292" s="136"/>
      <c r="EZ292" s="136"/>
      <c r="FA292" s="136"/>
      <c r="FB292" s="136"/>
      <c r="FC292" s="136"/>
      <c r="FD292" s="136"/>
      <c r="FE292" s="136"/>
      <c r="FF292" s="136"/>
      <c r="FG292" s="136"/>
      <c r="FH292" s="136"/>
      <c r="FI292" s="136"/>
      <c r="FJ292" s="136"/>
      <c r="FK292" s="136"/>
      <c r="FL292" s="136"/>
      <c r="FM292" s="136"/>
      <c r="FN292" s="136"/>
      <c r="FO292" s="136"/>
      <c r="FP292" s="136"/>
      <c r="FQ292" s="136"/>
      <c r="FR292" s="136"/>
      <c r="FS292" s="136"/>
      <c r="FT292" s="136"/>
      <c r="FU292" s="136"/>
      <c r="FV292" s="136"/>
      <c r="FW292" s="136"/>
      <c r="FX292" s="136"/>
      <c r="FY292" s="136"/>
      <c r="FZ292" s="136"/>
      <c r="GA292" s="136"/>
      <c r="GB292" s="136"/>
      <c r="GC292" s="136"/>
      <c r="GD292" s="136"/>
      <c r="GE292" s="136"/>
      <c r="GF292" s="136"/>
      <c r="GG292" s="136"/>
      <c r="GH292" s="136"/>
      <c r="GI292" s="136"/>
      <c r="GJ292" s="136"/>
      <c r="GK292" s="136"/>
      <c r="GL292" s="136"/>
      <c r="GM292" s="136"/>
      <c r="GN292" s="136"/>
      <c r="GO292" s="136"/>
      <c r="GP292" s="136"/>
      <c r="GQ292" s="136"/>
      <c r="GR292" s="136"/>
      <c r="GS292" s="136"/>
      <c r="GT292" s="136"/>
      <c r="GU292" s="136"/>
      <c r="GV292" s="136"/>
      <c r="GW292" s="136"/>
      <c r="GX292" s="136"/>
      <c r="GY292" s="136"/>
      <c r="GZ292" s="136"/>
      <c r="HA292" s="136"/>
      <c r="HB292" s="136"/>
      <c r="HC292" s="136"/>
      <c r="HD292" s="136"/>
      <c r="HE292" s="136"/>
      <c r="HF292" s="136"/>
      <c r="HG292" s="136"/>
      <c r="HH292" s="136"/>
      <c r="HI292" s="136"/>
      <c r="HJ292" s="136"/>
      <c r="HK292" s="136"/>
      <c r="HL292" s="136"/>
      <c r="HM292" s="136"/>
      <c r="HN292" s="136"/>
      <c r="HO292" s="136"/>
      <c r="HP292" s="136"/>
      <c r="HQ292" s="136"/>
      <c r="HR292" s="136"/>
      <c r="HS292" s="136"/>
      <c r="HT292" s="136"/>
      <c r="HU292" s="136"/>
      <c r="HV292" s="136"/>
      <c r="HW292" s="136"/>
      <c r="HX292" s="136"/>
      <c r="HY292" s="136"/>
      <c r="HZ292" s="136"/>
      <c r="IA292" s="136"/>
      <c r="IB292" s="136"/>
      <c r="IC292" s="136"/>
      <c r="ID292" s="136"/>
      <c r="IE292" s="136"/>
      <c r="IF292" s="136"/>
      <c r="IG292" s="136"/>
      <c r="IH292" s="136"/>
      <c r="II292" s="136"/>
      <c r="IJ292" s="136"/>
      <c r="IK292" s="136"/>
      <c r="IL292" s="136"/>
      <c r="IM292" s="136"/>
      <c r="IN292" s="136"/>
      <c r="IO292" s="136"/>
      <c r="IP292" s="136"/>
      <c r="IQ292" s="136"/>
      <c r="IR292" s="136"/>
      <c r="IS292" s="136"/>
      <c r="IT292" s="136"/>
      <c r="IU292" s="136"/>
    </row>
    <row r="293" spans="1:255" ht="48" customHeight="1" x14ac:dyDescent="0.2">
      <c r="A293" s="242" t="str">
        <f>'HECVAT - Full'!A293</f>
        <v>HIPA-25</v>
      </c>
      <c r="B293" s="242" t="str">
        <f>VLOOKUP(A293,'HECVAT - Full'!A$24:B$312,2,FALSE)</f>
        <v xml:space="preserve">Can the application logs be saved externally? </v>
      </c>
      <c r="C293" s="243" t="s">
        <v>607</v>
      </c>
      <c r="D293" s="253" t="s">
        <v>2978</v>
      </c>
      <c r="E293" s="13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6"/>
      <c r="AN293" s="136"/>
      <c r="AO293" s="136"/>
      <c r="AP293" s="136"/>
      <c r="AQ293" s="136"/>
      <c r="AR293" s="136"/>
      <c r="AS293" s="136"/>
      <c r="AT293" s="136"/>
      <c r="AU293" s="136"/>
      <c r="AV293" s="136"/>
      <c r="AW293" s="136"/>
      <c r="AX293" s="136"/>
      <c r="AY293" s="136"/>
      <c r="AZ293" s="136"/>
      <c r="BA293" s="136"/>
      <c r="BB293" s="136"/>
      <c r="BC293" s="136"/>
      <c r="BD293" s="136"/>
      <c r="BE293" s="136"/>
      <c r="BF293" s="136"/>
      <c r="BG293" s="136"/>
      <c r="BH293" s="136"/>
      <c r="BI293" s="136"/>
      <c r="BJ293" s="136"/>
      <c r="BK293" s="136"/>
      <c r="BL293" s="136"/>
      <c r="BM293" s="136"/>
      <c r="BN293" s="136"/>
      <c r="BO293" s="136"/>
      <c r="BP293" s="136"/>
      <c r="BQ293" s="136"/>
      <c r="BR293" s="136"/>
      <c r="BS293" s="136"/>
      <c r="BT293" s="136"/>
      <c r="BU293" s="136"/>
      <c r="BV293" s="136"/>
      <c r="BW293" s="136"/>
      <c r="BX293" s="136"/>
      <c r="BY293" s="136"/>
      <c r="BZ293" s="136"/>
      <c r="CA293" s="136"/>
      <c r="CB293" s="136"/>
      <c r="CC293" s="136"/>
      <c r="CD293" s="136"/>
      <c r="CE293" s="136"/>
      <c r="CF293" s="136"/>
      <c r="CG293" s="136"/>
      <c r="CH293" s="136"/>
      <c r="CI293" s="136"/>
      <c r="CJ293" s="136"/>
      <c r="CK293" s="136"/>
      <c r="CL293" s="136"/>
      <c r="CM293" s="136"/>
      <c r="CN293" s="136"/>
      <c r="CO293" s="136"/>
      <c r="CP293" s="136"/>
      <c r="CQ293" s="136"/>
      <c r="CR293" s="136"/>
      <c r="CS293" s="136"/>
      <c r="CT293" s="136"/>
      <c r="CU293" s="136"/>
      <c r="CV293" s="136"/>
      <c r="CW293" s="136"/>
      <c r="CX293" s="136"/>
      <c r="CY293" s="136"/>
      <c r="CZ293" s="136"/>
      <c r="DA293" s="136"/>
      <c r="DB293" s="136"/>
      <c r="DC293" s="136"/>
      <c r="DD293" s="136"/>
      <c r="DE293" s="136"/>
      <c r="DF293" s="136"/>
      <c r="DG293" s="136"/>
      <c r="DH293" s="136"/>
      <c r="DI293" s="136"/>
      <c r="DJ293" s="136"/>
      <c r="DK293" s="136"/>
      <c r="DL293" s="136"/>
      <c r="DM293" s="136"/>
      <c r="DN293" s="136"/>
      <c r="DO293" s="136"/>
      <c r="DP293" s="136"/>
      <c r="DQ293" s="136"/>
      <c r="DR293" s="136"/>
      <c r="DS293" s="136"/>
      <c r="DT293" s="136"/>
      <c r="DU293" s="136"/>
      <c r="DV293" s="136"/>
      <c r="DW293" s="136"/>
      <c r="DX293" s="136"/>
      <c r="DY293" s="136"/>
      <c r="DZ293" s="136"/>
      <c r="EA293" s="136"/>
      <c r="EB293" s="136"/>
      <c r="EC293" s="136"/>
      <c r="ED293" s="136"/>
      <c r="EE293" s="136"/>
      <c r="EF293" s="136"/>
      <c r="EG293" s="136"/>
      <c r="EH293" s="136"/>
      <c r="EI293" s="136"/>
      <c r="EJ293" s="136"/>
      <c r="EK293" s="136"/>
      <c r="EL293" s="136"/>
      <c r="EM293" s="136"/>
      <c r="EN293" s="136"/>
      <c r="EO293" s="136"/>
      <c r="EP293" s="136"/>
      <c r="EQ293" s="136"/>
      <c r="ER293" s="136"/>
      <c r="ES293" s="136"/>
      <c r="ET293" s="136"/>
      <c r="EU293" s="136"/>
      <c r="EV293" s="136"/>
      <c r="EW293" s="136"/>
      <c r="EX293" s="136"/>
      <c r="EY293" s="136"/>
      <c r="EZ293" s="136"/>
      <c r="FA293" s="136"/>
      <c r="FB293" s="136"/>
      <c r="FC293" s="136"/>
      <c r="FD293" s="136"/>
      <c r="FE293" s="136"/>
      <c r="FF293" s="136"/>
      <c r="FG293" s="136"/>
      <c r="FH293" s="136"/>
      <c r="FI293" s="136"/>
      <c r="FJ293" s="136"/>
      <c r="FK293" s="136"/>
      <c r="FL293" s="136"/>
      <c r="FM293" s="136"/>
      <c r="FN293" s="136"/>
      <c r="FO293" s="136"/>
      <c r="FP293" s="136"/>
      <c r="FQ293" s="136"/>
      <c r="FR293" s="136"/>
      <c r="FS293" s="136"/>
      <c r="FT293" s="136"/>
      <c r="FU293" s="136"/>
      <c r="FV293" s="136"/>
      <c r="FW293" s="136"/>
      <c r="FX293" s="136"/>
      <c r="FY293" s="136"/>
      <c r="FZ293" s="136"/>
      <c r="GA293" s="136"/>
      <c r="GB293" s="136"/>
      <c r="GC293" s="136"/>
      <c r="GD293" s="136"/>
      <c r="GE293" s="136"/>
      <c r="GF293" s="136"/>
      <c r="GG293" s="136"/>
      <c r="GH293" s="136"/>
      <c r="GI293" s="136"/>
      <c r="GJ293" s="136"/>
      <c r="GK293" s="136"/>
      <c r="GL293" s="136"/>
      <c r="GM293" s="136"/>
      <c r="GN293" s="136"/>
      <c r="GO293" s="136"/>
      <c r="GP293" s="136"/>
      <c r="GQ293" s="136"/>
      <c r="GR293" s="136"/>
      <c r="GS293" s="136"/>
      <c r="GT293" s="136"/>
      <c r="GU293" s="136"/>
      <c r="GV293" s="136"/>
      <c r="GW293" s="136"/>
      <c r="GX293" s="136"/>
      <c r="GY293" s="136"/>
      <c r="GZ293" s="136"/>
      <c r="HA293" s="136"/>
      <c r="HB293" s="136"/>
      <c r="HC293" s="136"/>
      <c r="HD293" s="136"/>
      <c r="HE293" s="136"/>
      <c r="HF293" s="136"/>
      <c r="HG293" s="136"/>
      <c r="HH293" s="136"/>
      <c r="HI293" s="136"/>
      <c r="HJ293" s="136"/>
      <c r="HK293" s="136"/>
      <c r="HL293" s="136"/>
      <c r="HM293" s="136"/>
      <c r="HN293" s="136"/>
      <c r="HO293" s="136"/>
      <c r="HP293" s="136"/>
      <c r="HQ293" s="136"/>
      <c r="HR293" s="136"/>
      <c r="HS293" s="136"/>
      <c r="HT293" s="136"/>
      <c r="HU293" s="136"/>
      <c r="HV293" s="136"/>
      <c r="HW293" s="136"/>
      <c r="HX293" s="136"/>
      <c r="HY293" s="136"/>
      <c r="HZ293" s="136"/>
      <c r="IA293" s="136"/>
      <c r="IB293" s="136"/>
      <c r="IC293" s="136"/>
      <c r="ID293" s="136"/>
      <c r="IE293" s="136"/>
      <c r="IF293" s="136"/>
      <c r="IG293" s="136"/>
      <c r="IH293" s="136"/>
      <c r="II293" s="136"/>
      <c r="IJ293" s="136"/>
      <c r="IK293" s="136"/>
      <c r="IL293" s="136"/>
      <c r="IM293" s="136"/>
      <c r="IN293" s="136"/>
      <c r="IO293" s="136"/>
      <c r="IP293" s="136"/>
      <c r="IQ293" s="136"/>
      <c r="IR293" s="136"/>
      <c r="IS293" s="136"/>
      <c r="IT293" s="136"/>
      <c r="IU293" s="136"/>
    </row>
    <row r="294" spans="1:255" ht="48" customHeight="1" x14ac:dyDescent="0.2">
      <c r="A294" s="242" t="str">
        <f>'HECVAT - Full'!A294</f>
        <v>HIPA-26</v>
      </c>
      <c r="B294" s="242" t="str">
        <f>VLOOKUP(A294,'HECVAT - Full'!A$24:B$312,2,FALSE)</f>
        <v>Does your data backup and retention policies and practices meet HIPAA requirements?</v>
      </c>
      <c r="C294" s="243" t="s">
        <v>608</v>
      </c>
      <c r="D294" s="253" t="s">
        <v>2978</v>
      </c>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6"/>
      <c r="AN294" s="136"/>
      <c r="AO294" s="136"/>
      <c r="AP294" s="136"/>
      <c r="AQ294" s="136"/>
      <c r="AR294" s="136"/>
      <c r="AS294" s="136"/>
      <c r="AT294" s="136"/>
      <c r="AU294" s="136"/>
      <c r="AV294" s="136"/>
      <c r="AW294" s="136"/>
      <c r="AX294" s="136"/>
      <c r="AY294" s="136"/>
      <c r="AZ294" s="136"/>
      <c r="BA294" s="136"/>
      <c r="BB294" s="136"/>
      <c r="BC294" s="136"/>
      <c r="BD294" s="136"/>
      <c r="BE294" s="136"/>
      <c r="BF294" s="136"/>
      <c r="BG294" s="136"/>
      <c r="BH294" s="136"/>
      <c r="BI294" s="136"/>
      <c r="BJ294" s="136"/>
      <c r="BK294" s="136"/>
      <c r="BL294" s="136"/>
      <c r="BM294" s="136"/>
      <c r="BN294" s="136"/>
      <c r="BO294" s="136"/>
      <c r="BP294" s="136"/>
      <c r="BQ294" s="136"/>
      <c r="BR294" s="136"/>
      <c r="BS294" s="136"/>
      <c r="BT294" s="136"/>
      <c r="BU294" s="136"/>
      <c r="BV294" s="136"/>
      <c r="BW294" s="136"/>
      <c r="BX294" s="136"/>
      <c r="BY294" s="136"/>
      <c r="BZ294" s="136"/>
      <c r="CA294" s="136"/>
      <c r="CB294" s="136"/>
      <c r="CC294" s="136"/>
      <c r="CD294" s="136"/>
      <c r="CE294" s="136"/>
      <c r="CF294" s="136"/>
      <c r="CG294" s="136"/>
      <c r="CH294" s="136"/>
      <c r="CI294" s="136"/>
      <c r="CJ294" s="136"/>
      <c r="CK294" s="136"/>
      <c r="CL294" s="136"/>
      <c r="CM294" s="136"/>
      <c r="CN294" s="136"/>
      <c r="CO294" s="136"/>
      <c r="CP294" s="136"/>
      <c r="CQ294" s="136"/>
      <c r="CR294" s="136"/>
      <c r="CS294" s="136"/>
      <c r="CT294" s="136"/>
      <c r="CU294" s="136"/>
      <c r="CV294" s="136"/>
      <c r="CW294" s="136"/>
      <c r="CX294" s="136"/>
      <c r="CY294" s="136"/>
      <c r="CZ294" s="136"/>
      <c r="DA294" s="136"/>
      <c r="DB294" s="136"/>
      <c r="DC294" s="136"/>
      <c r="DD294" s="136"/>
      <c r="DE294" s="136"/>
      <c r="DF294" s="136"/>
      <c r="DG294" s="136"/>
      <c r="DH294" s="136"/>
      <c r="DI294" s="136"/>
      <c r="DJ294" s="136"/>
      <c r="DK294" s="136"/>
      <c r="DL294" s="136"/>
      <c r="DM294" s="136"/>
      <c r="DN294" s="136"/>
      <c r="DO294" s="136"/>
      <c r="DP294" s="136"/>
      <c r="DQ294" s="136"/>
      <c r="DR294" s="136"/>
      <c r="DS294" s="136"/>
      <c r="DT294" s="136"/>
      <c r="DU294" s="136"/>
      <c r="DV294" s="136"/>
      <c r="DW294" s="136"/>
      <c r="DX294" s="136"/>
      <c r="DY294" s="136"/>
      <c r="DZ294" s="136"/>
      <c r="EA294" s="136"/>
      <c r="EB294" s="136"/>
      <c r="EC294" s="136"/>
      <c r="ED294" s="136"/>
      <c r="EE294" s="136"/>
      <c r="EF294" s="136"/>
      <c r="EG294" s="136"/>
      <c r="EH294" s="136"/>
      <c r="EI294" s="136"/>
      <c r="EJ294" s="136"/>
      <c r="EK294" s="136"/>
      <c r="EL294" s="136"/>
      <c r="EM294" s="136"/>
      <c r="EN294" s="136"/>
      <c r="EO294" s="136"/>
      <c r="EP294" s="136"/>
      <c r="EQ294" s="136"/>
      <c r="ER294" s="136"/>
      <c r="ES294" s="136"/>
      <c r="ET294" s="136"/>
      <c r="EU294" s="136"/>
      <c r="EV294" s="136"/>
      <c r="EW294" s="136"/>
      <c r="EX294" s="136"/>
      <c r="EY294" s="136"/>
      <c r="EZ294" s="136"/>
      <c r="FA294" s="136"/>
      <c r="FB294" s="136"/>
      <c r="FC294" s="136"/>
      <c r="FD294" s="136"/>
      <c r="FE294" s="136"/>
      <c r="FF294" s="136"/>
      <c r="FG294" s="136"/>
      <c r="FH294" s="136"/>
      <c r="FI294" s="136"/>
      <c r="FJ294" s="136"/>
      <c r="FK294" s="136"/>
      <c r="FL294" s="136"/>
      <c r="FM294" s="136"/>
      <c r="FN294" s="136"/>
      <c r="FO294" s="136"/>
      <c r="FP294" s="136"/>
      <c r="FQ294" s="136"/>
      <c r="FR294" s="136"/>
      <c r="FS294" s="136"/>
      <c r="FT294" s="136"/>
      <c r="FU294" s="136"/>
      <c r="FV294" s="136"/>
      <c r="FW294" s="136"/>
      <c r="FX294" s="136"/>
      <c r="FY294" s="136"/>
      <c r="FZ294" s="136"/>
      <c r="GA294" s="136"/>
      <c r="GB294" s="136"/>
      <c r="GC294" s="136"/>
      <c r="GD294" s="136"/>
      <c r="GE294" s="136"/>
      <c r="GF294" s="136"/>
      <c r="GG294" s="136"/>
      <c r="GH294" s="136"/>
      <c r="GI294" s="136"/>
      <c r="GJ294" s="136"/>
      <c r="GK294" s="136"/>
      <c r="GL294" s="136"/>
      <c r="GM294" s="136"/>
      <c r="GN294" s="136"/>
      <c r="GO294" s="136"/>
      <c r="GP294" s="136"/>
      <c r="GQ294" s="136"/>
      <c r="GR294" s="136"/>
      <c r="GS294" s="136"/>
      <c r="GT294" s="136"/>
      <c r="GU294" s="136"/>
      <c r="GV294" s="136"/>
      <c r="GW294" s="136"/>
      <c r="GX294" s="136"/>
      <c r="GY294" s="136"/>
      <c r="GZ294" s="136"/>
      <c r="HA294" s="136"/>
      <c r="HB294" s="136"/>
      <c r="HC294" s="136"/>
      <c r="HD294" s="136"/>
      <c r="HE294" s="136"/>
      <c r="HF294" s="136"/>
      <c r="HG294" s="136"/>
      <c r="HH294" s="136"/>
      <c r="HI294" s="136"/>
      <c r="HJ294" s="136"/>
      <c r="HK294" s="136"/>
      <c r="HL294" s="136"/>
      <c r="HM294" s="136"/>
      <c r="HN294" s="136"/>
      <c r="HO294" s="136"/>
      <c r="HP294" s="136"/>
      <c r="HQ294" s="136"/>
      <c r="HR294" s="136"/>
      <c r="HS294" s="136"/>
      <c r="HT294" s="136"/>
      <c r="HU294" s="136"/>
      <c r="HV294" s="136"/>
      <c r="HW294" s="136"/>
      <c r="HX294" s="136"/>
      <c r="HY294" s="136"/>
      <c r="HZ294" s="136"/>
      <c r="IA294" s="136"/>
      <c r="IB294" s="136"/>
      <c r="IC294" s="136"/>
      <c r="ID294" s="136"/>
      <c r="IE294" s="136"/>
      <c r="IF294" s="136"/>
      <c r="IG294" s="136"/>
      <c r="IH294" s="136"/>
      <c r="II294" s="136"/>
      <c r="IJ294" s="136"/>
      <c r="IK294" s="136"/>
      <c r="IL294" s="136"/>
      <c r="IM294" s="136"/>
      <c r="IN294" s="136"/>
      <c r="IO294" s="136"/>
      <c r="IP294" s="136"/>
      <c r="IQ294" s="136"/>
      <c r="IR294" s="136"/>
      <c r="IS294" s="136"/>
      <c r="IT294" s="136"/>
      <c r="IU294" s="136"/>
    </row>
    <row r="295" spans="1:255" ht="48" customHeight="1" x14ac:dyDescent="0.2">
      <c r="A295" s="242" t="str">
        <f>'HECVAT - Full'!A295</f>
        <v>HIPA-27</v>
      </c>
      <c r="B295" s="242" t="str">
        <f>VLOOKUP(A295,'HECVAT - Full'!A$24:B$312,2,FALSE)</f>
        <v>Do you have a disaster recovery plan and emergency mode operation plan?</v>
      </c>
      <c r="C295" s="243" t="s">
        <v>609</v>
      </c>
      <c r="D295" s="253" t="s">
        <v>2978</v>
      </c>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6"/>
      <c r="AN295" s="136"/>
      <c r="AO295" s="136"/>
      <c r="AP295" s="136"/>
      <c r="AQ295" s="136"/>
      <c r="AR295" s="136"/>
      <c r="AS295" s="136"/>
      <c r="AT295" s="136"/>
      <c r="AU295" s="136"/>
      <c r="AV295" s="136"/>
      <c r="AW295" s="136"/>
      <c r="AX295" s="136"/>
      <c r="AY295" s="136"/>
      <c r="AZ295" s="136"/>
      <c r="BA295" s="136"/>
      <c r="BB295" s="136"/>
      <c r="BC295" s="136"/>
      <c r="BD295" s="136"/>
      <c r="BE295" s="136"/>
      <c r="BF295" s="136"/>
      <c r="BG295" s="136"/>
      <c r="BH295" s="136"/>
      <c r="BI295" s="136"/>
      <c r="BJ295" s="136"/>
      <c r="BK295" s="136"/>
      <c r="BL295" s="136"/>
      <c r="BM295" s="136"/>
      <c r="BN295" s="136"/>
      <c r="BO295" s="136"/>
      <c r="BP295" s="136"/>
      <c r="BQ295" s="136"/>
      <c r="BR295" s="136"/>
      <c r="BS295" s="136"/>
      <c r="BT295" s="136"/>
      <c r="BU295" s="136"/>
      <c r="BV295" s="136"/>
      <c r="BW295" s="136"/>
      <c r="BX295" s="136"/>
      <c r="BY295" s="136"/>
      <c r="BZ295" s="136"/>
      <c r="CA295" s="136"/>
      <c r="CB295" s="136"/>
      <c r="CC295" s="136"/>
      <c r="CD295" s="136"/>
      <c r="CE295" s="136"/>
      <c r="CF295" s="136"/>
      <c r="CG295" s="136"/>
      <c r="CH295" s="136"/>
      <c r="CI295" s="136"/>
      <c r="CJ295" s="136"/>
      <c r="CK295" s="136"/>
      <c r="CL295" s="136"/>
      <c r="CM295" s="136"/>
      <c r="CN295" s="136"/>
      <c r="CO295" s="136"/>
      <c r="CP295" s="136"/>
      <c r="CQ295" s="136"/>
      <c r="CR295" s="136"/>
      <c r="CS295" s="136"/>
      <c r="CT295" s="136"/>
      <c r="CU295" s="136"/>
      <c r="CV295" s="136"/>
      <c r="CW295" s="136"/>
      <c r="CX295" s="136"/>
      <c r="CY295" s="136"/>
      <c r="CZ295" s="136"/>
      <c r="DA295" s="136"/>
      <c r="DB295" s="136"/>
      <c r="DC295" s="136"/>
      <c r="DD295" s="136"/>
      <c r="DE295" s="136"/>
      <c r="DF295" s="136"/>
      <c r="DG295" s="136"/>
      <c r="DH295" s="136"/>
      <c r="DI295" s="136"/>
      <c r="DJ295" s="136"/>
      <c r="DK295" s="136"/>
      <c r="DL295" s="136"/>
      <c r="DM295" s="136"/>
      <c r="DN295" s="136"/>
      <c r="DO295" s="136"/>
      <c r="DP295" s="136"/>
      <c r="DQ295" s="136"/>
      <c r="DR295" s="136"/>
      <c r="DS295" s="136"/>
      <c r="DT295" s="136"/>
      <c r="DU295" s="136"/>
      <c r="DV295" s="136"/>
      <c r="DW295" s="136"/>
      <c r="DX295" s="136"/>
      <c r="DY295" s="136"/>
      <c r="DZ295" s="136"/>
      <c r="EA295" s="136"/>
      <c r="EB295" s="136"/>
      <c r="EC295" s="136"/>
      <c r="ED295" s="136"/>
      <c r="EE295" s="136"/>
      <c r="EF295" s="136"/>
      <c r="EG295" s="136"/>
      <c r="EH295" s="136"/>
      <c r="EI295" s="136"/>
      <c r="EJ295" s="136"/>
      <c r="EK295" s="136"/>
      <c r="EL295" s="136"/>
      <c r="EM295" s="136"/>
      <c r="EN295" s="136"/>
      <c r="EO295" s="136"/>
      <c r="EP295" s="136"/>
      <c r="EQ295" s="136"/>
      <c r="ER295" s="136"/>
      <c r="ES295" s="136"/>
      <c r="ET295" s="136"/>
      <c r="EU295" s="136"/>
      <c r="EV295" s="136"/>
      <c r="EW295" s="136"/>
      <c r="EX295" s="136"/>
      <c r="EY295" s="136"/>
      <c r="EZ295" s="136"/>
      <c r="FA295" s="136"/>
      <c r="FB295" s="136"/>
      <c r="FC295" s="136"/>
      <c r="FD295" s="136"/>
      <c r="FE295" s="136"/>
      <c r="FF295" s="136"/>
      <c r="FG295" s="136"/>
      <c r="FH295" s="136"/>
      <c r="FI295" s="136"/>
      <c r="FJ295" s="136"/>
      <c r="FK295" s="136"/>
      <c r="FL295" s="136"/>
      <c r="FM295" s="136"/>
      <c r="FN295" s="136"/>
      <c r="FO295" s="136"/>
      <c r="FP295" s="136"/>
      <c r="FQ295" s="136"/>
      <c r="FR295" s="136"/>
      <c r="FS295" s="136"/>
      <c r="FT295" s="136"/>
      <c r="FU295" s="136"/>
      <c r="FV295" s="136"/>
      <c r="FW295" s="136"/>
      <c r="FX295" s="136"/>
      <c r="FY295" s="136"/>
      <c r="FZ295" s="136"/>
      <c r="GA295" s="136"/>
      <c r="GB295" s="136"/>
      <c r="GC295" s="136"/>
      <c r="GD295" s="136"/>
      <c r="GE295" s="136"/>
      <c r="GF295" s="136"/>
      <c r="GG295" s="136"/>
      <c r="GH295" s="136"/>
      <c r="GI295" s="136"/>
      <c r="GJ295" s="136"/>
      <c r="GK295" s="136"/>
      <c r="GL295" s="136"/>
      <c r="GM295" s="136"/>
      <c r="GN295" s="136"/>
      <c r="GO295" s="136"/>
      <c r="GP295" s="136"/>
      <c r="GQ295" s="136"/>
      <c r="GR295" s="136"/>
      <c r="GS295" s="136"/>
      <c r="GT295" s="136"/>
      <c r="GU295" s="136"/>
      <c r="GV295" s="136"/>
      <c r="GW295" s="136"/>
      <c r="GX295" s="136"/>
      <c r="GY295" s="136"/>
      <c r="GZ295" s="136"/>
      <c r="HA295" s="136"/>
      <c r="HB295" s="136"/>
      <c r="HC295" s="136"/>
      <c r="HD295" s="136"/>
      <c r="HE295" s="136"/>
      <c r="HF295" s="136"/>
      <c r="HG295" s="136"/>
      <c r="HH295" s="136"/>
      <c r="HI295" s="136"/>
      <c r="HJ295" s="136"/>
      <c r="HK295" s="136"/>
      <c r="HL295" s="136"/>
      <c r="HM295" s="136"/>
      <c r="HN295" s="136"/>
      <c r="HO295" s="136"/>
      <c r="HP295" s="136"/>
      <c r="HQ295" s="136"/>
      <c r="HR295" s="136"/>
      <c r="HS295" s="136"/>
      <c r="HT295" s="136"/>
      <c r="HU295" s="136"/>
      <c r="HV295" s="136"/>
      <c r="HW295" s="136"/>
      <c r="HX295" s="136"/>
      <c r="HY295" s="136"/>
      <c r="HZ295" s="136"/>
      <c r="IA295" s="136"/>
      <c r="IB295" s="136"/>
      <c r="IC295" s="136"/>
      <c r="ID295" s="136"/>
      <c r="IE295" s="136"/>
      <c r="IF295" s="136"/>
      <c r="IG295" s="136"/>
      <c r="IH295" s="136"/>
      <c r="II295" s="136"/>
      <c r="IJ295" s="136"/>
      <c r="IK295" s="136"/>
      <c r="IL295" s="136"/>
      <c r="IM295" s="136"/>
      <c r="IN295" s="136"/>
      <c r="IO295" s="136"/>
      <c r="IP295" s="136"/>
      <c r="IQ295" s="136"/>
      <c r="IR295" s="136"/>
      <c r="IS295" s="136"/>
      <c r="IT295" s="136"/>
      <c r="IU295" s="136"/>
    </row>
    <row r="296" spans="1:255" ht="48" customHeight="1" x14ac:dyDescent="0.2">
      <c r="A296" s="242" t="str">
        <f>'HECVAT - Full'!A296</f>
        <v>HIPA-28</v>
      </c>
      <c r="B296" s="242" t="str">
        <f>VLOOKUP(A296,'HECVAT - Full'!A$24:B$312,2,FALSE)</f>
        <v>Have the policies/plans mentioned above been tested?</v>
      </c>
      <c r="C296" s="243" t="s">
        <v>609</v>
      </c>
      <c r="D296" s="253" t="s">
        <v>2978</v>
      </c>
      <c r="E296" s="13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6"/>
      <c r="AN296" s="136"/>
      <c r="AO296" s="136"/>
      <c r="AP296" s="136"/>
      <c r="AQ296" s="136"/>
      <c r="AR296" s="136"/>
      <c r="AS296" s="136"/>
      <c r="AT296" s="136"/>
      <c r="AU296" s="136"/>
      <c r="AV296" s="136"/>
      <c r="AW296" s="136"/>
      <c r="AX296" s="136"/>
      <c r="AY296" s="136"/>
      <c r="AZ296" s="136"/>
      <c r="BA296" s="136"/>
      <c r="BB296" s="136"/>
      <c r="BC296" s="136"/>
      <c r="BD296" s="136"/>
      <c r="BE296" s="136"/>
      <c r="BF296" s="136"/>
      <c r="BG296" s="136"/>
      <c r="BH296" s="136"/>
      <c r="BI296" s="136"/>
      <c r="BJ296" s="136"/>
      <c r="BK296" s="136"/>
      <c r="BL296" s="136"/>
      <c r="BM296" s="136"/>
      <c r="BN296" s="136"/>
      <c r="BO296" s="136"/>
      <c r="BP296" s="136"/>
      <c r="BQ296" s="136"/>
      <c r="BR296" s="136"/>
      <c r="BS296" s="136"/>
      <c r="BT296" s="136"/>
      <c r="BU296" s="136"/>
      <c r="BV296" s="136"/>
      <c r="BW296" s="136"/>
      <c r="BX296" s="136"/>
      <c r="BY296" s="136"/>
      <c r="BZ296" s="136"/>
      <c r="CA296" s="136"/>
      <c r="CB296" s="136"/>
      <c r="CC296" s="136"/>
      <c r="CD296" s="136"/>
      <c r="CE296" s="136"/>
      <c r="CF296" s="136"/>
      <c r="CG296" s="136"/>
      <c r="CH296" s="136"/>
      <c r="CI296" s="136"/>
      <c r="CJ296" s="136"/>
      <c r="CK296" s="136"/>
      <c r="CL296" s="136"/>
      <c r="CM296" s="136"/>
      <c r="CN296" s="136"/>
      <c r="CO296" s="136"/>
      <c r="CP296" s="136"/>
      <c r="CQ296" s="136"/>
      <c r="CR296" s="136"/>
      <c r="CS296" s="136"/>
      <c r="CT296" s="136"/>
      <c r="CU296" s="136"/>
      <c r="CV296" s="136"/>
      <c r="CW296" s="136"/>
      <c r="CX296" s="136"/>
      <c r="CY296" s="136"/>
      <c r="CZ296" s="136"/>
      <c r="DA296" s="136"/>
      <c r="DB296" s="136"/>
      <c r="DC296" s="136"/>
      <c r="DD296" s="136"/>
      <c r="DE296" s="136"/>
      <c r="DF296" s="136"/>
      <c r="DG296" s="136"/>
      <c r="DH296" s="136"/>
      <c r="DI296" s="136"/>
      <c r="DJ296" s="136"/>
      <c r="DK296" s="136"/>
      <c r="DL296" s="136"/>
      <c r="DM296" s="136"/>
      <c r="DN296" s="136"/>
      <c r="DO296" s="136"/>
      <c r="DP296" s="136"/>
      <c r="DQ296" s="136"/>
      <c r="DR296" s="136"/>
      <c r="DS296" s="136"/>
      <c r="DT296" s="136"/>
      <c r="DU296" s="136"/>
      <c r="DV296" s="136"/>
      <c r="DW296" s="136"/>
      <c r="DX296" s="136"/>
      <c r="DY296" s="136"/>
      <c r="DZ296" s="136"/>
      <c r="EA296" s="136"/>
      <c r="EB296" s="136"/>
      <c r="EC296" s="136"/>
      <c r="ED296" s="136"/>
      <c r="EE296" s="136"/>
      <c r="EF296" s="136"/>
      <c r="EG296" s="136"/>
      <c r="EH296" s="136"/>
      <c r="EI296" s="136"/>
      <c r="EJ296" s="136"/>
      <c r="EK296" s="136"/>
      <c r="EL296" s="136"/>
      <c r="EM296" s="136"/>
      <c r="EN296" s="136"/>
      <c r="EO296" s="136"/>
      <c r="EP296" s="136"/>
      <c r="EQ296" s="136"/>
      <c r="ER296" s="136"/>
      <c r="ES296" s="136"/>
      <c r="ET296" s="136"/>
      <c r="EU296" s="136"/>
      <c r="EV296" s="136"/>
      <c r="EW296" s="136"/>
      <c r="EX296" s="136"/>
      <c r="EY296" s="136"/>
      <c r="EZ296" s="136"/>
      <c r="FA296" s="136"/>
      <c r="FB296" s="136"/>
      <c r="FC296" s="136"/>
      <c r="FD296" s="136"/>
      <c r="FE296" s="136"/>
      <c r="FF296" s="136"/>
      <c r="FG296" s="136"/>
      <c r="FH296" s="136"/>
      <c r="FI296" s="136"/>
      <c r="FJ296" s="136"/>
      <c r="FK296" s="136"/>
      <c r="FL296" s="136"/>
      <c r="FM296" s="136"/>
      <c r="FN296" s="136"/>
      <c r="FO296" s="136"/>
      <c r="FP296" s="136"/>
      <c r="FQ296" s="136"/>
      <c r="FR296" s="136"/>
      <c r="FS296" s="136"/>
      <c r="FT296" s="136"/>
      <c r="FU296" s="136"/>
      <c r="FV296" s="136"/>
      <c r="FW296" s="136"/>
      <c r="FX296" s="136"/>
      <c r="FY296" s="136"/>
      <c r="FZ296" s="136"/>
      <c r="GA296" s="136"/>
      <c r="GB296" s="136"/>
      <c r="GC296" s="136"/>
      <c r="GD296" s="136"/>
      <c r="GE296" s="136"/>
      <c r="GF296" s="136"/>
      <c r="GG296" s="136"/>
      <c r="GH296" s="136"/>
      <c r="GI296" s="136"/>
      <c r="GJ296" s="136"/>
      <c r="GK296" s="136"/>
      <c r="GL296" s="136"/>
      <c r="GM296" s="136"/>
      <c r="GN296" s="136"/>
      <c r="GO296" s="136"/>
      <c r="GP296" s="136"/>
      <c r="GQ296" s="136"/>
      <c r="GR296" s="136"/>
      <c r="GS296" s="136"/>
      <c r="GT296" s="136"/>
      <c r="GU296" s="136"/>
      <c r="GV296" s="136"/>
      <c r="GW296" s="136"/>
      <c r="GX296" s="136"/>
      <c r="GY296" s="136"/>
      <c r="GZ296" s="136"/>
      <c r="HA296" s="136"/>
      <c r="HB296" s="136"/>
      <c r="HC296" s="136"/>
      <c r="HD296" s="136"/>
      <c r="HE296" s="136"/>
      <c r="HF296" s="136"/>
      <c r="HG296" s="136"/>
      <c r="HH296" s="136"/>
      <c r="HI296" s="136"/>
      <c r="HJ296" s="136"/>
      <c r="HK296" s="136"/>
      <c r="HL296" s="136"/>
      <c r="HM296" s="136"/>
      <c r="HN296" s="136"/>
      <c r="HO296" s="136"/>
      <c r="HP296" s="136"/>
      <c r="HQ296" s="136"/>
      <c r="HR296" s="136"/>
      <c r="HS296" s="136"/>
      <c r="HT296" s="136"/>
      <c r="HU296" s="136"/>
      <c r="HV296" s="136"/>
      <c r="HW296" s="136"/>
      <c r="HX296" s="136"/>
      <c r="HY296" s="136"/>
      <c r="HZ296" s="136"/>
      <c r="IA296" s="136"/>
      <c r="IB296" s="136"/>
      <c r="IC296" s="136"/>
      <c r="ID296" s="136"/>
      <c r="IE296" s="136"/>
      <c r="IF296" s="136"/>
      <c r="IG296" s="136"/>
      <c r="IH296" s="136"/>
      <c r="II296" s="136"/>
      <c r="IJ296" s="136"/>
      <c r="IK296" s="136"/>
      <c r="IL296" s="136"/>
      <c r="IM296" s="136"/>
      <c r="IN296" s="136"/>
      <c r="IO296" s="136"/>
      <c r="IP296" s="136"/>
      <c r="IQ296" s="136"/>
      <c r="IR296" s="136"/>
      <c r="IS296" s="136"/>
      <c r="IT296" s="136"/>
      <c r="IU296" s="136"/>
    </row>
    <row r="297" spans="1:255" ht="48" customHeight="1" x14ac:dyDescent="0.2">
      <c r="A297" s="242" t="str">
        <f>'HECVAT - Full'!A297</f>
        <v>HIPA-29</v>
      </c>
      <c r="B297" s="242" t="str">
        <f>VLOOKUP(A297,'HECVAT - Full'!A$24:B$312,2,FALSE)</f>
        <v>Can you provide a HIPAA compliance attestation document?</v>
      </c>
      <c r="C297" s="243" t="s">
        <v>610</v>
      </c>
      <c r="D297" s="253" t="s">
        <v>2978</v>
      </c>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6"/>
      <c r="AN297" s="136"/>
      <c r="AO297" s="136"/>
      <c r="AP297" s="136"/>
      <c r="AQ297" s="136"/>
      <c r="AR297" s="136"/>
      <c r="AS297" s="136"/>
      <c r="AT297" s="136"/>
      <c r="AU297" s="136"/>
      <c r="AV297" s="136"/>
      <c r="AW297" s="136"/>
      <c r="AX297" s="136"/>
      <c r="AY297" s="136"/>
      <c r="AZ297" s="136"/>
      <c r="BA297" s="136"/>
      <c r="BB297" s="136"/>
      <c r="BC297" s="136"/>
      <c r="BD297" s="136"/>
      <c r="BE297" s="136"/>
      <c r="BF297" s="136"/>
      <c r="BG297" s="136"/>
      <c r="BH297" s="136"/>
      <c r="BI297" s="136"/>
      <c r="BJ297" s="136"/>
      <c r="BK297" s="136"/>
      <c r="BL297" s="136"/>
      <c r="BM297" s="136"/>
      <c r="BN297" s="136"/>
      <c r="BO297" s="136"/>
      <c r="BP297" s="136"/>
      <c r="BQ297" s="136"/>
      <c r="BR297" s="136"/>
      <c r="BS297" s="136"/>
      <c r="BT297" s="136"/>
      <c r="BU297" s="136"/>
      <c r="BV297" s="136"/>
      <c r="BW297" s="136"/>
      <c r="BX297" s="136"/>
      <c r="BY297" s="136"/>
      <c r="BZ297" s="136"/>
      <c r="CA297" s="136"/>
      <c r="CB297" s="136"/>
      <c r="CC297" s="136"/>
      <c r="CD297" s="136"/>
      <c r="CE297" s="136"/>
      <c r="CF297" s="136"/>
      <c r="CG297" s="136"/>
      <c r="CH297" s="136"/>
      <c r="CI297" s="136"/>
      <c r="CJ297" s="136"/>
      <c r="CK297" s="136"/>
      <c r="CL297" s="136"/>
      <c r="CM297" s="136"/>
      <c r="CN297" s="136"/>
      <c r="CO297" s="136"/>
      <c r="CP297" s="136"/>
      <c r="CQ297" s="136"/>
      <c r="CR297" s="136"/>
      <c r="CS297" s="136"/>
      <c r="CT297" s="136"/>
      <c r="CU297" s="136"/>
      <c r="CV297" s="136"/>
      <c r="CW297" s="136"/>
      <c r="CX297" s="136"/>
      <c r="CY297" s="136"/>
      <c r="CZ297" s="136"/>
      <c r="DA297" s="136"/>
      <c r="DB297" s="136"/>
      <c r="DC297" s="136"/>
      <c r="DD297" s="136"/>
      <c r="DE297" s="136"/>
      <c r="DF297" s="136"/>
      <c r="DG297" s="136"/>
      <c r="DH297" s="136"/>
      <c r="DI297" s="136"/>
      <c r="DJ297" s="136"/>
      <c r="DK297" s="136"/>
      <c r="DL297" s="136"/>
      <c r="DM297" s="136"/>
      <c r="DN297" s="136"/>
      <c r="DO297" s="136"/>
      <c r="DP297" s="136"/>
      <c r="DQ297" s="136"/>
      <c r="DR297" s="136"/>
      <c r="DS297" s="136"/>
      <c r="DT297" s="136"/>
      <c r="DU297" s="136"/>
      <c r="DV297" s="136"/>
      <c r="DW297" s="136"/>
      <c r="DX297" s="136"/>
      <c r="DY297" s="136"/>
      <c r="DZ297" s="136"/>
      <c r="EA297" s="136"/>
      <c r="EB297" s="136"/>
      <c r="EC297" s="136"/>
      <c r="ED297" s="136"/>
      <c r="EE297" s="136"/>
      <c r="EF297" s="136"/>
      <c r="EG297" s="136"/>
      <c r="EH297" s="136"/>
      <c r="EI297" s="136"/>
      <c r="EJ297" s="136"/>
      <c r="EK297" s="136"/>
      <c r="EL297" s="136"/>
      <c r="EM297" s="136"/>
      <c r="EN297" s="136"/>
      <c r="EO297" s="136"/>
      <c r="EP297" s="136"/>
      <c r="EQ297" s="136"/>
      <c r="ER297" s="136"/>
      <c r="ES297" s="136"/>
      <c r="ET297" s="136"/>
      <c r="EU297" s="136"/>
      <c r="EV297" s="136"/>
      <c r="EW297" s="136"/>
      <c r="EX297" s="136"/>
      <c r="EY297" s="136"/>
      <c r="EZ297" s="136"/>
      <c r="FA297" s="136"/>
      <c r="FB297" s="136"/>
      <c r="FC297" s="136"/>
      <c r="FD297" s="136"/>
      <c r="FE297" s="136"/>
      <c r="FF297" s="136"/>
      <c r="FG297" s="136"/>
      <c r="FH297" s="136"/>
      <c r="FI297" s="136"/>
      <c r="FJ297" s="136"/>
      <c r="FK297" s="136"/>
      <c r="FL297" s="136"/>
      <c r="FM297" s="136"/>
      <c r="FN297" s="136"/>
      <c r="FO297" s="136"/>
      <c r="FP297" s="136"/>
      <c r="FQ297" s="136"/>
      <c r="FR297" s="136"/>
      <c r="FS297" s="136"/>
      <c r="FT297" s="136"/>
      <c r="FU297" s="136"/>
      <c r="FV297" s="136"/>
      <c r="FW297" s="136"/>
      <c r="FX297" s="136"/>
      <c r="FY297" s="136"/>
      <c r="FZ297" s="136"/>
      <c r="GA297" s="136"/>
      <c r="GB297" s="136"/>
      <c r="GC297" s="136"/>
      <c r="GD297" s="136"/>
      <c r="GE297" s="136"/>
      <c r="GF297" s="136"/>
      <c r="GG297" s="136"/>
      <c r="GH297" s="136"/>
      <c r="GI297" s="136"/>
      <c r="GJ297" s="136"/>
      <c r="GK297" s="136"/>
      <c r="GL297" s="136"/>
      <c r="GM297" s="136"/>
      <c r="GN297" s="136"/>
      <c r="GO297" s="136"/>
      <c r="GP297" s="136"/>
      <c r="GQ297" s="136"/>
      <c r="GR297" s="136"/>
      <c r="GS297" s="136"/>
      <c r="GT297" s="136"/>
      <c r="GU297" s="136"/>
      <c r="GV297" s="136"/>
      <c r="GW297" s="136"/>
      <c r="GX297" s="136"/>
      <c r="GY297" s="136"/>
      <c r="GZ297" s="136"/>
      <c r="HA297" s="136"/>
      <c r="HB297" s="136"/>
      <c r="HC297" s="136"/>
      <c r="HD297" s="136"/>
      <c r="HE297" s="136"/>
      <c r="HF297" s="136"/>
      <c r="HG297" s="136"/>
      <c r="HH297" s="136"/>
      <c r="HI297" s="136"/>
      <c r="HJ297" s="136"/>
      <c r="HK297" s="136"/>
      <c r="HL297" s="136"/>
      <c r="HM297" s="136"/>
      <c r="HN297" s="136"/>
      <c r="HO297" s="136"/>
      <c r="HP297" s="136"/>
      <c r="HQ297" s="136"/>
      <c r="HR297" s="136"/>
      <c r="HS297" s="136"/>
      <c r="HT297" s="136"/>
      <c r="HU297" s="136"/>
      <c r="HV297" s="136"/>
      <c r="HW297" s="136"/>
      <c r="HX297" s="136"/>
      <c r="HY297" s="136"/>
      <c r="HZ297" s="136"/>
      <c r="IA297" s="136"/>
      <c r="IB297" s="136"/>
      <c r="IC297" s="136"/>
      <c r="ID297" s="136"/>
      <c r="IE297" s="136"/>
      <c r="IF297" s="136"/>
      <c r="IG297" s="136"/>
      <c r="IH297" s="136"/>
      <c r="II297" s="136"/>
      <c r="IJ297" s="136"/>
      <c r="IK297" s="136"/>
      <c r="IL297" s="136"/>
      <c r="IM297" s="136"/>
      <c r="IN297" s="136"/>
      <c r="IO297" s="136"/>
      <c r="IP297" s="136"/>
      <c r="IQ297" s="136"/>
      <c r="IR297" s="136"/>
      <c r="IS297" s="136"/>
      <c r="IT297" s="136"/>
      <c r="IU297" s="136"/>
    </row>
    <row r="298" spans="1:255" ht="48" customHeight="1" x14ac:dyDescent="0.2">
      <c r="A298" s="242" t="str">
        <f>'HECVAT - Full'!A298</f>
        <v>HIPA-30</v>
      </c>
      <c r="B298" s="242" t="str">
        <f>VLOOKUP(A298,'HECVAT - Full'!A$24:B$312,2,FALSE)</f>
        <v>Are you willing to enter into a Business Associate Agreement (BAA)?</v>
      </c>
      <c r="C298" s="243" t="s">
        <v>614</v>
      </c>
      <c r="D298" s="253" t="s">
        <v>2978</v>
      </c>
      <c r="E298" s="13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6"/>
      <c r="AN298" s="136"/>
      <c r="AO298" s="136"/>
      <c r="AP298" s="136"/>
      <c r="AQ298" s="136"/>
      <c r="AR298" s="136"/>
      <c r="AS298" s="136"/>
      <c r="AT298" s="136"/>
      <c r="AU298" s="136"/>
      <c r="AV298" s="136"/>
      <c r="AW298" s="136"/>
      <c r="AX298" s="136"/>
      <c r="AY298" s="136"/>
      <c r="AZ298" s="136"/>
      <c r="BA298" s="136"/>
      <c r="BB298" s="136"/>
      <c r="BC298" s="136"/>
      <c r="BD298" s="136"/>
      <c r="BE298" s="136"/>
      <c r="BF298" s="136"/>
      <c r="BG298" s="136"/>
      <c r="BH298" s="136"/>
      <c r="BI298" s="136"/>
      <c r="BJ298" s="136"/>
      <c r="BK298" s="136"/>
      <c r="BL298" s="136"/>
      <c r="BM298" s="136"/>
      <c r="BN298" s="136"/>
      <c r="BO298" s="136"/>
      <c r="BP298" s="136"/>
      <c r="BQ298" s="136"/>
      <c r="BR298" s="136"/>
      <c r="BS298" s="136"/>
      <c r="BT298" s="136"/>
      <c r="BU298" s="136"/>
      <c r="BV298" s="136"/>
      <c r="BW298" s="136"/>
      <c r="BX298" s="136"/>
      <c r="BY298" s="136"/>
      <c r="BZ298" s="136"/>
      <c r="CA298" s="136"/>
      <c r="CB298" s="136"/>
      <c r="CC298" s="136"/>
      <c r="CD298" s="136"/>
      <c r="CE298" s="136"/>
      <c r="CF298" s="136"/>
      <c r="CG298" s="136"/>
      <c r="CH298" s="136"/>
      <c r="CI298" s="136"/>
      <c r="CJ298" s="136"/>
      <c r="CK298" s="136"/>
      <c r="CL298" s="136"/>
      <c r="CM298" s="136"/>
      <c r="CN298" s="136"/>
      <c r="CO298" s="136"/>
      <c r="CP298" s="136"/>
      <c r="CQ298" s="136"/>
      <c r="CR298" s="136"/>
      <c r="CS298" s="136"/>
      <c r="CT298" s="136"/>
      <c r="CU298" s="136"/>
      <c r="CV298" s="136"/>
      <c r="CW298" s="136"/>
      <c r="CX298" s="136"/>
      <c r="CY298" s="136"/>
      <c r="CZ298" s="136"/>
      <c r="DA298" s="136"/>
      <c r="DB298" s="136"/>
      <c r="DC298" s="136"/>
      <c r="DD298" s="136"/>
      <c r="DE298" s="136"/>
      <c r="DF298" s="136"/>
      <c r="DG298" s="136"/>
      <c r="DH298" s="136"/>
      <c r="DI298" s="136"/>
      <c r="DJ298" s="136"/>
      <c r="DK298" s="136"/>
      <c r="DL298" s="136"/>
      <c r="DM298" s="136"/>
      <c r="DN298" s="136"/>
      <c r="DO298" s="136"/>
      <c r="DP298" s="136"/>
      <c r="DQ298" s="136"/>
      <c r="DR298" s="136"/>
      <c r="DS298" s="136"/>
      <c r="DT298" s="136"/>
      <c r="DU298" s="136"/>
      <c r="DV298" s="136"/>
      <c r="DW298" s="136"/>
      <c r="DX298" s="136"/>
      <c r="DY298" s="136"/>
      <c r="DZ298" s="136"/>
      <c r="EA298" s="136"/>
      <c r="EB298" s="136"/>
      <c r="EC298" s="136"/>
      <c r="ED298" s="136"/>
      <c r="EE298" s="136"/>
      <c r="EF298" s="136"/>
      <c r="EG298" s="136"/>
      <c r="EH298" s="136"/>
      <c r="EI298" s="136"/>
      <c r="EJ298" s="136"/>
      <c r="EK298" s="136"/>
      <c r="EL298" s="136"/>
      <c r="EM298" s="136"/>
      <c r="EN298" s="136"/>
      <c r="EO298" s="136"/>
      <c r="EP298" s="136"/>
      <c r="EQ298" s="136"/>
      <c r="ER298" s="136"/>
      <c r="ES298" s="136"/>
      <c r="ET298" s="136"/>
      <c r="EU298" s="136"/>
      <c r="EV298" s="136"/>
      <c r="EW298" s="136"/>
      <c r="EX298" s="136"/>
      <c r="EY298" s="136"/>
      <c r="EZ298" s="136"/>
      <c r="FA298" s="136"/>
      <c r="FB298" s="136"/>
      <c r="FC298" s="136"/>
      <c r="FD298" s="136"/>
      <c r="FE298" s="136"/>
      <c r="FF298" s="136"/>
      <c r="FG298" s="136"/>
      <c r="FH298" s="136"/>
      <c r="FI298" s="136"/>
      <c r="FJ298" s="136"/>
      <c r="FK298" s="136"/>
      <c r="FL298" s="136"/>
      <c r="FM298" s="136"/>
      <c r="FN298" s="136"/>
      <c r="FO298" s="136"/>
      <c r="FP298" s="136"/>
      <c r="FQ298" s="136"/>
      <c r="FR298" s="136"/>
      <c r="FS298" s="136"/>
      <c r="FT298" s="136"/>
      <c r="FU298" s="136"/>
      <c r="FV298" s="136"/>
      <c r="FW298" s="136"/>
      <c r="FX298" s="136"/>
      <c r="FY298" s="136"/>
      <c r="FZ298" s="136"/>
      <c r="GA298" s="136"/>
      <c r="GB298" s="136"/>
      <c r="GC298" s="136"/>
      <c r="GD298" s="136"/>
      <c r="GE298" s="136"/>
      <c r="GF298" s="136"/>
      <c r="GG298" s="136"/>
      <c r="GH298" s="136"/>
      <c r="GI298" s="136"/>
      <c r="GJ298" s="136"/>
      <c r="GK298" s="136"/>
      <c r="GL298" s="136"/>
      <c r="GM298" s="136"/>
      <c r="GN298" s="136"/>
      <c r="GO298" s="136"/>
      <c r="GP298" s="136"/>
      <c r="GQ298" s="136"/>
      <c r="GR298" s="136"/>
      <c r="GS298" s="136"/>
      <c r="GT298" s="136"/>
      <c r="GU298" s="136"/>
      <c r="GV298" s="136"/>
      <c r="GW298" s="136"/>
      <c r="GX298" s="136"/>
      <c r="GY298" s="136"/>
      <c r="GZ298" s="136"/>
      <c r="HA298" s="136"/>
      <c r="HB298" s="136"/>
      <c r="HC298" s="136"/>
      <c r="HD298" s="136"/>
      <c r="HE298" s="136"/>
      <c r="HF298" s="136"/>
      <c r="HG298" s="136"/>
      <c r="HH298" s="136"/>
      <c r="HI298" s="136"/>
      <c r="HJ298" s="136"/>
      <c r="HK298" s="136"/>
      <c r="HL298" s="136"/>
      <c r="HM298" s="136"/>
      <c r="HN298" s="136"/>
      <c r="HO298" s="136"/>
      <c r="HP298" s="136"/>
      <c r="HQ298" s="136"/>
      <c r="HR298" s="136"/>
      <c r="HS298" s="136"/>
      <c r="HT298" s="136"/>
      <c r="HU298" s="136"/>
      <c r="HV298" s="136"/>
      <c r="HW298" s="136"/>
      <c r="HX298" s="136"/>
      <c r="HY298" s="136"/>
      <c r="HZ298" s="136"/>
      <c r="IA298" s="136"/>
      <c r="IB298" s="136"/>
      <c r="IC298" s="136"/>
      <c r="ID298" s="136"/>
      <c r="IE298" s="136"/>
      <c r="IF298" s="136"/>
      <c r="IG298" s="136"/>
      <c r="IH298" s="136"/>
      <c r="II298" s="136"/>
      <c r="IJ298" s="136"/>
      <c r="IK298" s="136"/>
      <c r="IL298" s="136"/>
      <c r="IM298" s="136"/>
      <c r="IN298" s="136"/>
      <c r="IO298" s="136"/>
      <c r="IP298" s="136"/>
      <c r="IQ298" s="136"/>
      <c r="IR298" s="136"/>
      <c r="IS298" s="136"/>
      <c r="IT298" s="136"/>
      <c r="IU298" s="136"/>
    </row>
    <row r="299" spans="1:255" ht="47.1" customHeight="1" x14ac:dyDescent="0.2">
      <c r="A299" s="242" t="str">
        <f>'HECVAT - Full'!A299</f>
        <v>HIPA-31</v>
      </c>
      <c r="B299" s="242" t="str">
        <f>VLOOKUP(A299,'HECVAT - Full'!A$24:B$312,2,FALSE)</f>
        <v>Have you entered into a BAA with all subcontractors who may have access to protected health information (PHI)?</v>
      </c>
      <c r="C299" s="243" t="s">
        <v>694</v>
      </c>
      <c r="D299" s="253" t="s">
        <v>2978</v>
      </c>
      <c r="E299" s="13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6"/>
      <c r="AN299" s="136"/>
      <c r="AO299" s="136"/>
      <c r="AP299" s="136"/>
      <c r="AQ299" s="136"/>
      <c r="AR299" s="136"/>
      <c r="AS299" s="136"/>
      <c r="AT299" s="136"/>
      <c r="AU299" s="136"/>
      <c r="AV299" s="136"/>
      <c r="AW299" s="136"/>
      <c r="AX299" s="136"/>
      <c r="AY299" s="136"/>
      <c r="AZ299" s="136"/>
      <c r="BA299" s="136"/>
      <c r="BB299" s="136"/>
      <c r="BC299" s="136"/>
      <c r="BD299" s="136"/>
      <c r="BE299" s="136"/>
      <c r="BF299" s="136"/>
      <c r="BG299" s="136"/>
      <c r="BH299" s="136"/>
      <c r="BI299" s="136"/>
      <c r="BJ299" s="136"/>
      <c r="BK299" s="136"/>
      <c r="BL299" s="136"/>
      <c r="BM299" s="136"/>
      <c r="BN299" s="136"/>
      <c r="BO299" s="136"/>
      <c r="BP299" s="136"/>
      <c r="BQ299" s="136"/>
      <c r="BR299" s="136"/>
      <c r="BS299" s="136"/>
      <c r="BT299" s="136"/>
      <c r="BU299" s="136"/>
      <c r="BV299" s="136"/>
      <c r="BW299" s="136"/>
      <c r="BX299" s="136"/>
      <c r="BY299" s="136"/>
      <c r="BZ299" s="136"/>
      <c r="CA299" s="136"/>
      <c r="CB299" s="136"/>
      <c r="CC299" s="136"/>
      <c r="CD299" s="136"/>
      <c r="CE299" s="136"/>
      <c r="CF299" s="136"/>
      <c r="CG299" s="136"/>
      <c r="CH299" s="136"/>
      <c r="CI299" s="136"/>
      <c r="CJ299" s="136"/>
      <c r="CK299" s="136"/>
      <c r="CL299" s="136"/>
      <c r="CM299" s="136"/>
      <c r="CN299" s="136"/>
      <c r="CO299" s="136"/>
      <c r="CP299" s="136"/>
      <c r="CQ299" s="136"/>
      <c r="CR299" s="136"/>
      <c r="CS299" s="136"/>
      <c r="CT299" s="136"/>
      <c r="CU299" s="136"/>
      <c r="CV299" s="136"/>
      <c r="CW299" s="136"/>
      <c r="CX299" s="136"/>
      <c r="CY299" s="136"/>
      <c r="CZ299" s="136"/>
      <c r="DA299" s="136"/>
      <c r="DB299" s="136"/>
      <c r="DC299" s="136"/>
      <c r="DD299" s="136"/>
      <c r="DE299" s="136"/>
      <c r="DF299" s="136"/>
      <c r="DG299" s="136"/>
      <c r="DH299" s="136"/>
      <c r="DI299" s="136"/>
      <c r="DJ299" s="136"/>
      <c r="DK299" s="136"/>
      <c r="DL299" s="136"/>
      <c r="DM299" s="136"/>
      <c r="DN299" s="136"/>
      <c r="DO299" s="136"/>
      <c r="DP299" s="136"/>
      <c r="DQ299" s="136"/>
      <c r="DR299" s="136"/>
      <c r="DS299" s="136"/>
      <c r="DT299" s="136"/>
      <c r="DU299" s="136"/>
      <c r="DV299" s="136"/>
      <c r="DW299" s="136"/>
      <c r="DX299" s="136"/>
      <c r="DY299" s="136"/>
      <c r="DZ299" s="136"/>
      <c r="EA299" s="136"/>
      <c r="EB299" s="136"/>
      <c r="EC299" s="136"/>
      <c r="ED299" s="136"/>
      <c r="EE299" s="136"/>
      <c r="EF299" s="136"/>
      <c r="EG299" s="136"/>
      <c r="EH299" s="136"/>
      <c r="EI299" s="136"/>
      <c r="EJ299" s="136"/>
      <c r="EK299" s="136"/>
      <c r="EL299" s="136"/>
      <c r="EM299" s="136"/>
      <c r="EN299" s="136"/>
      <c r="EO299" s="136"/>
      <c r="EP299" s="136"/>
      <c r="EQ299" s="136"/>
      <c r="ER299" s="136"/>
      <c r="ES299" s="136"/>
      <c r="ET299" s="136"/>
      <c r="EU299" s="136"/>
      <c r="EV299" s="136"/>
      <c r="EW299" s="136"/>
      <c r="EX299" s="136"/>
      <c r="EY299" s="136"/>
      <c r="EZ299" s="136"/>
      <c r="FA299" s="136"/>
      <c r="FB299" s="136"/>
      <c r="FC299" s="136"/>
      <c r="FD299" s="136"/>
      <c r="FE299" s="136"/>
      <c r="FF299" s="136"/>
      <c r="FG299" s="136"/>
      <c r="FH299" s="136"/>
      <c r="FI299" s="136"/>
      <c r="FJ299" s="136"/>
      <c r="FK299" s="136"/>
      <c r="FL299" s="136"/>
      <c r="FM299" s="136"/>
      <c r="FN299" s="136"/>
      <c r="FO299" s="136"/>
      <c r="FP299" s="136"/>
      <c r="FQ299" s="136"/>
      <c r="FR299" s="136"/>
      <c r="FS299" s="136"/>
      <c r="FT299" s="136"/>
      <c r="FU299" s="136"/>
      <c r="FV299" s="136"/>
      <c r="FW299" s="136"/>
      <c r="FX299" s="136"/>
      <c r="FY299" s="136"/>
      <c r="FZ299" s="136"/>
      <c r="GA299" s="136"/>
      <c r="GB299" s="136"/>
      <c r="GC299" s="136"/>
      <c r="GD299" s="136"/>
      <c r="GE299" s="136"/>
      <c r="GF299" s="136"/>
      <c r="GG299" s="136"/>
      <c r="GH299" s="136"/>
      <c r="GI299" s="136"/>
      <c r="GJ299" s="136"/>
      <c r="GK299" s="136"/>
      <c r="GL299" s="136"/>
      <c r="GM299" s="136"/>
      <c r="GN299" s="136"/>
      <c r="GO299" s="136"/>
      <c r="GP299" s="136"/>
      <c r="GQ299" s="136"/>
      <c r="GR299" s="136"/>
      <c r="GS299" s="136"/>
      <c r="GT299" s="136"/>
      <c r="GU299" s="136"/>
      <c r="GV299" s="136"/>
      <c r="GW299" s="136"/>
      <c r="GX299" s="136"/>
      <c r="GY299" s="136"/>
      <c r="GZ299" s="136"/>
      <c r="HA299" s="136"/>
      <c r="HB299" s="136"/>
      <c r="HC299" s="136"/>
      <c r="HD299" s="136"/>
      <c r="HE299" s="136"/>
      <c r="HF299" s="136"/>
      <c r="HG299" s="136"/>
      <c r="HH299" s="136"/>
      <c r="HI299" s="136"/>
      <c r="HJ299" s="136"/>
      <c r="HK299" s="136"/>
      <c r="HL299" s="136"/>
      <c r="HM299" s="136"/>
      <c r="HN299" s="136"/>
      <c r="HO299" s="136"/>
      <c r="HP299" s="136"/>
      <c r="HQ299" s="136"/>
      <c r="HR299" s="136"/>
      <c r="HS299" s="136"/>
      <c r="HT299" s="136"/>
      <c r="HU299" s="136"/>
      <c r="HV299" s="136"/>
      <c r="HW299" s="136"/>
      <c r="HX299" s="136"/>
      <c r="HY299" s="136"/>
      <c r="HZ299" s="136"/>
      <c r="IA299" s="136"/>
      <c r="IB299" s="136"/>
      <c r="IC299" s="136"/>
      <c r="ID299" s="136"/>
      <c r="IE299" s="136"/>
      <c r="IF299" s="136"/>
      <c r="IG299" s="136"/>
      <c r="IH299" s="136"/>
      <c r="II299" s="136"/>
      <c r="IJ299" s="136"/>
      <c r="IK299" s="136"/>
      <c r="IL299" s="136"/>
      <c r="IM299" s="136"/>
      <c r="IN299" s="136"/>
      <c r="IO299" s="136"/>
      <c r="IP299" s="136"/>
      <c r="IQ299" s="136"/>
      <c r="IR299" s="136"/>
      <c r="IS299" s="136"/>
      <c r="IT299" s="136"/>
      <c r="IU299" s="136"/>
    </row>
    <row r="300" spans="1:255" ht="36" customHeight="1" x14ac:dyDescent="0.2">
      <c r="A300" s="335" t="str">
        <f>IF(OR($C$29="No",$C$30="Yes"),"PCI DSS - Optional based on QUALIFIER response.","PCI DSS")</f>
        <v>PCI DSS</v>
      </c>
      <c r="B300" s="335"/>
      <c r="C300" s="240" t="str">
        <f>$C$22</f>
        <v>Reason for Question</v>
      </c>
      <c r="D300" s="240" t="str">
        <f>$D$22</f>
        <v>Follow-up Inquiries/Responses</v>
      </c>
      <c r="E300" s="13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6"/>
      <c r="AN300" s="136"/>
      <c r="AO300" s="136"/>
      <c r="AP300" s="136"/>
      <c r="AQ300" s="136"/>
      <c r="AR300" s="136"/>
      <c r="AS300" s="136"/>
      <c r="AT300" s="136"/>
      <c r="AU300" s="136"/>
      <c r="AV300" s="136"/>
      <c r="AW300" s="136"/>
      <c r="AX300" s="136"/>
      <c r="AY300" s="136"/>
      <c r="AZ300" s="136"/>
      <c r="BA300" s="136"/>
      <c r="BB300" s="136"/>
      <c r="BC300" s="136"/>
      <c r="BD300" s="136"/>
      <c r="BE300" s="136"/>
      <c r="BF300" s="136"/>
      <c r="BG300" s="136"/>
      <c r="BH300" s="136"/>
      <c r="BI300" s="136"/>
      <c r="BJ300" s="136"/>
      <c r="BK300" s="136"/>
      <c r="BL300" s="136"/>
      <c r="BM300" s="136"/>
      <c r="BN300" s="136"/>
      <c r="BO300" s="136"/>
      <c r="BP300" s="136"/>
      <c r="BQ300" s="136"/>
      <c r="BR300" s="136"/>
      <c r="BS300" s="136"/>
      <c r="BT300" s="136"/>
      <c r="BU300" s="136"/>
      <c r="BV300" s="136"/>
      <c r="BW300" s="136"/>
      <c r="BX300" s="136"/>
      <c r="BY300" s="136"/>
      <c r="BZ300" s="136"/>
      <c r="CA300" s="136"/>
      <c r="CB300" s="136"/>
      <c r="CC300" s="136"/>
      <c r="CD300" s="136"/>
      <c r="CE300" s="136"/>
      <c r="CF300" s="136"/>
      <c r="CG300" s="136"/>
      <c r="CH300" s="136"/>
      <c r="CI300" s="136"/>
      <c r="CJ300" s="136"/>
      <c r="CK300" s="136"/>
      <c r="CL300" s="136"/>
      <c r="CM300" s="136"/>
      <c r="CN300" s="136"/>
      <c r="CO300" s="136"/>
      <c r="CP300" s="136"/>
      <c r="CQ300" s="136"/>
      <c r="CR300" s="136"/>
      <c r="CS300" s="136"/>
      <c r="CT300" s="136"/>
      <c r="CU300" s="136"/>
      <c r="CV300" s="136"/>
      <c r="CW300" s="136"/>
      <c r="CX300" s="136"/>
      <c r="CY300" s="136"/>
      <c r="CZ300" s="136"/>
      <c r="DA300" s="136"/>
      <c r="DB300" s="136"/>
      <c r="DC300" s="136"/>
      <c r="DD300" s="136"/>
      <c r="DE300" s="136"/>
      <c r="DF300" s="136"/>
      <c r="DG300" s="136"/>
      <c r="DH300" s="136"/>
      <c r="DI300" s="136"/>
      <c r="DJ300" s="136"/>
      <c r="DK300" s="136"/>
      <c r="DL300" s="136"/>
      <c r="DM300" s="136"/>
      <c r="DN300" s="136"/>
      <c r="DO300" s="136"/>
      <c r="DP300" s="136"/>
      <c r="DQ300" s="136"/>
      <c r="DR300" s="136"/>
      <c r="DS300" s="136"/>
      <c r="DT300" s="136"/>
      <c r="DU300" s="136"/>
      <c r="DV300" s="136"/>
      <c r="DW300" s="136"/>
      <c r="DX300" s="136"/>
      <c r="DY300" s="136"/>
      <c r="DZ300" s="136"/>
      <c r="EA300" s="136"/>
      <c r="EB300" s="136"/>
      <c r="EC300" s="136"/>
      <c r="ED300" s="136"/>
      <c r="EE300" s="136"/>
      <c r="EF300" s="136"/>
      <c r="EG300" s="136"/>
      <c r="EH300" s="136"/>
      <c r="EI300" s="136"/>
      <c r="EJ300" s="136"/>
      <c r="EK300" s="136"/>
      <c r="EL300" s="136"/>
      <c r="EM300" s="136"/>
      <c r="EN300" s="136"/>
      <c r="EO300" s="136"/>
      <c r="EP300" s="136"/>
      <c r="EQ300" s="136"/>
      <c r="ER300" s="136"/>
      <c r="ES300" s="136"/>
      <c r="ET300" s="136"/>
      <c r="EU300" s="136"/>
      <c r="EV300" s="136"/>
      <c r="EW300" s="136"/>
      <c r="EX300" s="136"/>
      <c r="EY300" s="136"/>
      <c r="EZ300" s="136"/>
      <c r="FA300" s="136"/>
      <c r="FB300" s="136"/>
      <c r="FC300" s="136"/>
      <c r="FD300" s="136"/>
      <c r="FE300" s="136"/>
      <c r="FF300" s="136"/>
      <c r="FG300" s="136"/>
      <c r="FH300" s="136"/>
      <c r="FI300" s="136"/>
      <c r="FJ300" s="136"/>
      <c r="FK300" s="136"/>
      <c r="FL300" s="136"/>
      <c r="FM300" s="136"/>
      <c r="FN300" s="136"/>
      <c r="FO300" s="136"/>
      <c r="FP300" s="136"/>
      <c r="FQ300" s="136"/>
      <c r="FR300" s="136"/>
      <c r="FS300" s="136"/>
      <c r="FT300" s="136"/>
      <c r="FU300" s="136"/>
      <c r="FV300" s="136"/>
      <c r="FW300" s="136"/>
      <c r="FX300" s="136"/>
      <c r="FY300" s="136"/>
      <c r="FZ300" s="136"/>
      <c r="GA300" s="136"/>
      <c r="GB300" s="136"/>
      <c r="GC300" s="136"/>
      <c r="GD300" s="136"/>
      <c r="GE300" s="136"/>
      <c r="GF300" s="136"/>
      <c r="GG300" s="136"/>
      <c r="GH300" s="136"/>
      <c r="GI300" s="136"/>
      <c r="GJ300" s="136"/>
      <c r="GK300" s="136"/>
      <c r="GL300" s="136"/>
      <c r="GM300" s="136"/>
      <c r="GN300" s="136"/>
      <c r="GO300" s="136"/>
      <c r="GP300" s="136"/>
      <c r="GQ300" s="136"/>
      <c r="GR300" s="136"/>
      <c r="GS300" s="136"/>
      <c r="GT300" s="136"/>
      <c r="GU300" s="136"/>
      <c r="GV300" s="136"/>
      <c r="GW300" s="136"/>
      <c r="GX300" s="136"/>
      <c r="GY300" s="136"/>
      <c r="GZ300" s="136"/>
      <c r="HA300" s="136"/>
      <c r="HB300" s="136"/>
      <c r="HC300" s="136"/>
      <c r="HD300" s="136"/>
      <c r="HE300" s="136"/>
      <c r="HF300" s="136"/>
      <c r="HG300" s="136"/>
      <c r="HH300" s="136"/>
      <c r="HI300" s="136"/>
      <c r="HJ300" s="136"/>
      <c r="HK300" s="136"/>
      <c r="HL300" s="136"/>
      <c r="HM300" s="136"/>
      <c r="HN300" s="136"/>
      <c r="HO300" s="136"/>
      <c r="HP300" s="136"/>
      <c r="HQ300" s="136"/>
      <c r="HR300" s="136"/>
      <c r="HS300" s="136"/>
      <c r="HT300" s="136"/>
      <c r="HU300" s="136"/>
      <c r="HV300" s="136"/>
      <c r="HW300" s="136"/>
      <c r="HX300" s="136"/>
      <c r="HY300" s="136"/>
      <c r="HZ300" s="136"/>
      <c r="IA300" s="136"/>
      <c r="IB300" s="136"/>
      <c r="IC300" s="136"/>
      <c r="ID300" s="136"/>
      <c r="IE300" s="136"/>
      <c r="IF300" s="136"/>
      <c r="IG300" s="136"/>
      <c r="IH300" s="136"/>
      <c r="II300" s="136"/>
      <c r="IJ300" s="136"/>
      <c r="IK300" s="136"/>
      <c r="IL300" s="136"/>
      <c r="IM300" s="136"/>
      <c r="IN300" s="136"/>
      <c r="IO300" s="136"/>
      <c r="IP300" s="136"/>
      <c r="IQ300" s="136"/>
      <c r="IR300" s="136"/>
      <c r="IS300" s="136"/>
      <c r="IT300" s="136"/>
      <c r="IU300" s="136"/>
    </row>
    <row r="301" spans="1:255" ht="48" customHeight="1" x14ac:dyDescent="0.2">
      <c r="A301" s="242" t="str">
        <f>'HECVAT - Full'!A301</f>
        <v>PCID-01</v>
      </c>
      <c r="B301" s="242" t="str">
        <f>VLOOKUP(A301,'HECVAT - Full'!A$24:B$312,2,FALSE)</f>
        <v>Do your systems or products store, process, or transmit cardholder (payment/credit/debt card) data?</v>
      </c>
      <c r="C301" s="243">
        <v>12.8</v>
      </c>
      <c r="D301" s="253" t="s">
        <v>2981</v>
      </c>
      <c r="E301" s="13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6"/>
      <c r="AN301" s="136"/>
      <c r="AO301" s="136"/>
      <c r="AP301" s="136"/>
      <c r="AQ301" s="136"/>
      <c r="AR301" s="136"/>
      <c r="AS301" s="136"/>
      <c r="AT301" s="136"/>
      <c r="AU301" s="136"/>
      <c r="AV301" s="136"/>
      <c r="AW301" s="136"/>
      <c r="AX301" s="136"/>
      <c r="AY301" s="136"/>
      <c r="AZ301" s="136"/>
      <c r="BA301" s="136"/>
      <c r="BB301" s="136"/>
      <c r="BC301" s="136"/>
      <c r="BD301" s="136"/>
      <c r="BE301" s="136"/>
      <c r="BF301" s="136"/>
      <c r="BG301" s="136"/>
      <c r="BH301" s="136"/>
      <c r="BI301" s="136"/>
      <c r="BJ301" s="136"/>
      <c r="BK301" s="136"/>
      <c r="BL301" s="136"/>
      <c r="BM301" s="136"/>
      <c r="BN301" s="136"/>
      <c r="BO301" s="136"/>
      <c r="BP301" s="136"/>
      <c r="BQ301" s="136"/>
      <c r="BR301" s="136"/>
      <c r="BS301" s="136"/>
      <c r="BT301" s="136"/>
      <c r="BU301" s="136"/>
      <c r="BV301" s="136"/>
      <c r="BW301" s="136"/>
      <c r="BX301" s="136"/>
      <c r="BY301" s="136"/>
      <c r="BZ301" s="136"/>
      <c r="CA301" s="136"/>
      <c r="CB301" s="136"/>
      <c r="CC301" s="136"/>
      <c r="CD301" s="136"/>
      <c r="CE301" s="136"/>
      <c r="CF301" s="136"/>
      <c r="CG301" s="136"/>
      <c r="CH301" s="136"/>
      <c r="CI301" s="136"/>
      <c r="CJ301" s="136"/>
      <c r="CK301" s="136"/>
      <c r="CL301" s="136"/>
      <c r="CM301" s="136"/>
      <c r="CN301" s="136"/>
      <c r="CO301" s="136"/>
      <c r="CP301" s="136"/>
      <c r="CQ301" s="136"/>
      <c r="CR301" s="136"/>
      <c r="CS301" s="136"/>
      <c r="CT301" s="136"/>
      <c r="CU301" s="136"/>
      <c r="CV301" s="136"/>
      <c r="CW301" s="136"/>
      <c r="CX301" s="136"/>
      <c r="CY301" s="136"/>
      <c r="CZ301" s="136"/>
      <c r="DA301" s="136"/>
      <c r="DB301" s="136"/>
      <c r="DC301" s="136"/>
      <c r="DD301" s="136"/>
      <c r="DE301" s="136"/>
      <c r="DF301" s="136"/>
      <c r="DG301" s="136"/>
      <c r="DH301" s="136"/>
      <c r="DI301" s="136"/>
      <c r="DJ301" s="136"/>
      <c r="DK301" s="136"/>
      <c r="DL301" s="136"/>
      <c r="DM301" s="136"/>
      <c r="DN301" s="136"/>
      <c r="DO301" s="136"/>
      <c r="DP301" s="136"/>
      <c r="DQ301" s="136"/>
      <c r="DR301" s="136"/>
      <c r="DS301" s="136"/>
      <c r="DT301" s="136"/>
      <c r="DU301" s="136"/>
      <c r="DV301" s="136"/>
      <c r="DW301" s="136"/>
      <c r="DX301" s="136"/>
      <c r="DY301" s="136"/>
      <c r="DZ301" s="136"/>
      <c r="EA301" s="136"/>
      <c r="EB301" s="136"/>
      <c r="EC301" s="136"/>
      <c r="ED301" s="136"/>
      <c r="EE301" s="136"/>
      <c r="EF301" s="136"/>
      <c r="EG301" s="136"/>
      <c r="EH301" s="136"/>
      <c r="EI301" s="136"/>
      <c r="EJ301" s="136"/>
      <c r="EK301" s="136"/>
      <c r="EL301" s="136"/>
      <c r="EM301" s="136"/>
      <c r="EN301" s="136"/>
      <c r="EO301" s="136"/>
      <c r="EP301" s="136"/>
      <c r="EQ301" s="136"/>
      <c r="ER301" s="136"/>
      <c r="ES301" s="136"/>
      <c r="ET301" s="136"/>
      <c r="EU301" s="136"/>
      <c r="EV301" s="136"/>
      <c r="EW301" s="136"/>
      <c r="EX301" s="136"/>
      <c r="EY301" s="136"/>
      <c r="EZ301" s="136"/>
      <c r="FA301" s="136"/>
      <c r="FB301" s="136"/>
      <c r="FC301" s="136"/>
      <c r="FD301" s="136"/>
      <c r="FE301" s="136"/>
      <c r="FF301" s="136"/>
      <c r="FG301" s="136"/>
      <c r="FH301" s="136"/>
      <c r="FI301" s="136"/>
      <c r="FJ301" s="136"/>
      <c r="FK301" s="136"/>
      <c r="FL301" s="136"/>
      <c r="FM301" s="136"/>
      <c r="FN301" s="136"/>
      <c r="FO301" s="136"/>
      <c r="FP301" s="136"/>
      <c r="FQ301" s="136"/>
      <c r="FR301" s="136"/>
      <c r="FS301" s="136"/>
      <c r="FT301" s="136"/>
      <c r="FU301" s="136"/>
      <c r="FV301" s="136"/>
      <c r="FW301" s="136"/>
      <c r="FX301" s="136"/>
      <c r="FY301" s="136"/>
      <c r="FZ301" s="136"/>
      <c r="GA301" s="136"/>
      <c r="GB301" s="136"/>
      <c r="GC301" s="136"/>
      <c r="GD301" s="136"/>
      <c r="GE301" s="136"/>
      <c r="GF301" s="136"/>
      <c r="GG301" s="136"/>
      <c r="GH301" s="136"/>
      <c r="GI301" s="136"/>
      <c r="GJ301" s="136"/>
      <c r="GK301" s="136"/>
      <c r="GL301" s="136"/>
      <c r="GM301" s="136"/>
      <c r="GN301" s="136"/>
      <c r="GO301" s="136"/>
      <c r="GP301" s="136"/>
      <c r="GQ301" s="136"/>
      <c r="GR301" s="136"/>
      <c r="GS301" s="136"/>
      <c r="GT301" s="136"/>
      <c r="GU301" s="136"/>
      <c r="GV301" s="136"/>
      <c r="GW301" s="136"/>
      <c r="GX301" s="136"/>
      <c r="GY301" s="136"/>
      <c r="GZ301" s="136"/>
      <c r="HA301" s="136"/>
      <c r="HB301" s="136"/>
      <c r="HC301" s="136"/>
      <c r="HD301" s="136"/>
      <c r="HE301" s="136"/>
      <c r="HF301" s="136"/>
      <c r="HG301" s="136"/>
      <c r="HH301" s="136"/>
      <c r="HI301" s="136"/>
      <c r="HJ301" s="136"/>
      <c r="HK301" s="136"/>
      <c r="HL301" s="136"/>
      <c r="HM301" s="136"/>
      <c r="HN301" s="136"/>
      <c r="HO301" s="136"/>
      <c r="HP301" s="136"/>
      <c r="HQ301" s="136"/>
      <c r="HR301" s="136"/>
      <c r="HS301" s="136"/>
      <c r="HT301" s="136"/>
      <c r="HU301" s="136"/>
      <c r="HV301" s="136"/>
      <c r="HW301" s="136"/>
      <c r="HX301" s="136"/>
      <c r="HY301" s="136"/>
      <c r="HZ301" s="136"/>
      <c r="IA301" s="136"/>
      <c r="IB301" s="136"/>
      <c r="IC301" s="136"/>
      <c r="ID301" s="136"/>
      <c r="IE301" s="136"/>
      <c r="IF301" s="136"/>
      <c r="IG301" s="136"/>
      <c r="IH301" s="136"/>
      <c r="II301" s="136"/>
      <c r="IJ301" s="136"/>
      <c r="IK301" s="136"/>
      <c r="IL301" s="136"/>
      <c r="IM301" s="136"/>
      <c r="IN301" s="136"/>
      <c r="IO301" s="136"/>
      <c r="IP301" s="136"/>
      <c r="IQ301" s="136"/>
      <c r="IR301" s="136"/>
      <c r="IS301" s="136"/>
      <c r="IT301" s="136"/>
      <c r="IU301" s="136"/>
    </row>
    <row r="302" spans="1:255" ht="48" customHeight="1" x14ac:dyDescent="0.2">
      <c r="A302" s="242" t="str">
        <f>'HECVAT - Full'!A302</f>
        <v>PCID-02</v>
      </c>
      <c r="B302" s="242" t="str">
        <f>VLOOKUP(A302,'HECVAT - Full'!A$24:B$312,2,FALSE)</f>
        <v>Are you compliant with the Payment Card Industry Data Security Standard (PCI DSS)?</v>
      </c>
      <c r="C302" s="243">
        <v>12.8</v>
      </c>
      <c r="D302" s="253" t="s">
        <v>2981</v>
      </c>
      <c r="E302" s="13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6"/>
      <c r="AN302" s="136"/>
      <c r="AO302" s="136"/>
      <c r="AP302" s="136"/>
      <c r="AQ302" s="136"/>
      <c r="AR302" s="136"/>
      <c r="AS302" s="136"/>
      <c r="AT302" s="136"/>
      <c r="AU302" s="136"/>
      <c r="AV302" s="136"/>
      <c r="AW302" s="136"/>
      <c r="AX302" s="136"/>
      <c r="AY302" s="136"/>
      <c r="AZ302" s="136"/>
      <c r="BA302" s="136"/>
      <c r="BB302" s="136"/>
      <c r="BC302" s="136"/>
      <c r="BD302" s="136"/>
      <c r="BE302" s="136"/>
      <c r="BF302" s="136"/>
      <c r="BG302" s="136"/>
      <c r="BH302" s="136"/>
      <c r="BI302" s="136"/>
      <c r="BJ302" s="136"/>
      <c r="BK302" s="136"/>
      <c r="BL302" s="136"/>
      <c r="BM302" s="136"/>
      <c r="BN302" s="136"/>
      <c r="BO302" s="136"/>
      <c r="BP302" s="136"/>
      <c r="BQ302" s="136"/>
      <c r="BR302" s="136"/>
      <c r="BS302" s="136"/>
      <c r="BT302" s="136"/>
      <c r="BU302" s="136"/>
      <c r="BV302" s="136"/>
      <c r="BW302" s="136"/>
      <c r="BX302" s="136"/>
      <c r="BY302" s="136"/>
      <c r="BZ302" s="136"/>
      <c r="CA302" s="136"/>
      <c r="CB302" s="136"/>
      <c r="CC302" s="136"/>
      <c r="CD302" s="136"/>
      <c r="CE302" s="136"/>
      <c r="CF302" s="136"/>
      <c r="CG302" s="136"/>
      <c r="CH302" s="136"/>
      <c r="CI302" s="136"/>
      <c r="CJ302" s="136"/>
      <c r="CK302" s="136"/>
      <c r="CL302" s="136"/>
      <c r="CM302" s="136"/>
      <c r="CN302" s="136"/>
      <c r="CO302" s="136"/>
      <c r="CP302" s="136"/>
      <c r="CQ302" s="136"/>
      <c r="CR302" s="136"/>
      <c r="CS302" s="136"/>
      <c r="CT302" s="136"/>
      <c r="CU302" s="136"/>
      <c r="CV302" s="136"/>
      <c r="CW302" s="136"/>
      <c r="CX302" s="136"/>
      <c r="CY302" s="136"/>
      <c r="CZ302" s="136"/>
      <c r="DA302" s="136"/>
      <c r="DB302" s="136"/>
      <c r="DC302" s="136"/>
      <c r="DD302" s="136"/>
      <c r="DE302" s="136"/>
      <c r="DF302" s="136"/>
      <c r="DG302" s="136"/>
      <c r="DH302" s="136"/>
      <c r="DI302" s="136"/>
      <c r="DJ302" s="136"/>
      <c r="DK302" s="136"/>
      <c r="DL302" s="136"/>
      <c r="DM302" s="136"/>
      <c r="DN302" s="136"/>
      <c r="DO302" s="136"/>
      <c r="DP302" s="136"/>
      <c r="DQ302" s="136"/>
      <c r="DR302" s="136"/>
      <c r="DS302" s="136"/>
      <c r="DT302" s="136"/>
      <c r="DU302" s="136"/>
      <c r="DV302" s="136"/>
      <c r="DW302" s="136"/>
      <c r="DX302" s="136"/>
      <c r="DY302" s="136"/>
      <c r="DZ302" s="136"/>
      <c r="EA302" s="136"/>
      <c r="EB302" s="136"/>
      <c r="EC302" s="136"/>
      <c r="ED302" s="136"/>
      <c r="EE302" s="136"/>
      <c r="EF302" s="136"/>
      <c r="EG302" s="136"/>
      <c r="EH302" s="136"/>
      <c r="EI302" s="136"/>
      <c r="EJ302" s="136"/>
      <c r="EK302" s="136"/>
      <c r="EL302" s="136"/>
      <c r="EM302" s="136"/>
      <c r="EN302" s="136"/>
      <c r="EO302" s="136"/>
      <c r="EP302" s="136"/>
      <c r="EQ302" s="136"/>
      <c r="ER302" s="136"/>
      <c r="ES302" s="136"/>
      <c r="ET302" s="136"/>
      <c r="EU302" s="136"/>
      <c r="EV302" s="136"/>
      <c r="EW302" s="136"/>
      <c r="EX302" s="136"/>
      <c r="EY302" s="136"/>
      <c r="EZ302" s="136"/>
      <c r="FA302" s="136"/>
      <c r="FB302" s="136"/>
      <c r="FC302" s="136"/>
      <c r="FD302" s="136"/>
      <c r="FE302" s="136"/>
      <c r="FF302" s="136"/>
      <c r="FG302" s="136"/>
      <c r="FH302" s="136"/>
      <c r="FI302" s="136"/>
      <c r="FJ302" s="136"/>
      <c r="FK302" s="136"/>
      <c r="FL302" s="136"/>
      <c r="FM302" s="136"/>
      <c r="FN302" s="136"/>
      <c r="FO302" s="136"/>
      <c r="FP302" s="136"/>
      <c r="FQ302" s="136"/>
      <c r="FR302" s="136"/>
      <c r="FS302" s="136"/>
      <c r="FT302" s="136"/>
      <c r="FU302" s="136"/>
      <c r="FV302" s="136"/>
      <c r="FW302" s="136"/>
      <c r="FX302" s="136"/>
      <c r="FY302" s="136"/>
      <c r="FZ302" s="136"/>
      <c r="GA302" s="136"/>
      <c r="GB302" s="136"/>
      <c r="GC302" s="136"/>
      <c r="GD302" s="136"/>
      <c r="GE302" s="136"/>
      <c r="GF302" s="136"/>
      <c r="GG302" s="136"/>
      <c r="GH302" s="136"/>
      <c r="GI302" s="136"/>
      <c r="GJ302" s="136"/>
      <c r="GK302" s="136"/>
      <c r="GL302" s="136"/>
      <c r="GM302" s="136"/>
      <c r="GN302" s="136"/>
      <c r="GO302" s="136"/>
      <c r="GP302" s="136"/>
      <c r="GQ302" s="136"/>
      <c r="GR302" s="136"/>
      <c r="GS302" s="136"/>
      <c r="GT302" s="136"/>
      <c r="GU302" s="136"/>
      <c r="GV302" s="136"/>
      <c r="GW302" s="136"/>
      <c r="GX302" s="136"/>
      <c r="GY302" s="136"/>
      <c r="GZ302" s="136"/>
      <c r="HA302" s="136"/>
      <c r="HB302" s="136"/>
      <c r="HC302" s="136"/>
      <c r="HD302" s="136"/>
      <c r="HE302" s="136"/>
      <c r="HF302" s="136"/>
      <c r="HG302" s="136"/>
      <c r="HH302" s="136"/>
      <c r="HI302" s="136"/>
      <c r="HJ302" s="136"/>
      <c r="HK302" s="136"/>
      <c r="HL302" s="136"/>
      <c r="HM302" s="136"/>
      <c r="HN302" s="136"/>
      <c r="HO302" s="136"/>
      <c r="HP302" s="136"/>
      <c r="HQ302" s="136"/>
      <c r="HR302" s="136"/>
      <c r="HS302" s="136"/>
      <c r="HT302" s="136"/>
      <c r="HU302" s="136"/>
      <c r="HV302" s="136"/>
      <c r="HW302" s="136"/>
      <c r="HX302" s="136"/>
      <c r="HY302" s="136"/>
      <c r="HZ302" s="136"/>
      <c r="IA302" s="136"/>
      <c r="IB302" s="136"/>
      <c r="IC302" s="136"/>
      <c r="ID302" s="136"/>
      <c r="IE302" s="136"/>
      <c r="IF302" s="136"/>
      <c r="IG302" s="136"/>
      <c r="IH302" s="136"/>
      <c r="II302" s="136"/>
      <c r="IJ302" s="136"/>
      <c r="IK302" s="136"/>
      <c r="IL302" s="136"/>
      <c r="IM302" s="136"/>
      <c r="IN302" s="136"/>
      <c r="IO302" s="136"/>
      <c r="IP302" s="136"/>
      <c r="IQ302" s="136"/>
      <c r="IR302" s="136"/>
      <c r="IS302" s="136"/>
      <c r="IT302" s="136"/>
      <c r="IU302" s="136"/>
    </row>
    <row r="303" spans="1:255" ht="48" customHeight="1" x14ac:dyDescent="0.2">
      <c r="A303" s="242" t="str">
        <f>'HECVAT - Full'!A303</f>
        <v>PCID-03</v>
      </c>
      <c r="B303" s="242" t="str">
        <f>VLOOKUP(A303,'HECVAT - Full'!A$24:B$312,2,FALSE)</f>
        <v>Do you have a current, executed within the past year, Attestation of Compliance (AoC) or Report on Compliance (RoC)?</v>
      </c>
      <c r="C303" s="243">
        <v>12.8</v>
      </c>
      <c r="D303" s="253" t="s">
        <v>2981</v>
      </c>
      <c r="E303" s="13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6"/>
      <c r="AN303" s="136"/>
      <c r="AO303" s="136"/>
      <c r="AP303" s="136"/>
      <c r="AQ303" s="136"/>
      <c r="AR303" s="136"/>
      <c r="AS303" s="136"/>
      <c r="AT303" s="136"/>
      <c r="AU303" s="136"/>
      <c r="AV303" s="136"/>
      <c r="AW303" s="136"/>
      <c r="AX303" s="136"/>
      <c r="AY303" s="136"/>
      <c r="AZ303" s="136"/>
      <c r="BA303" s="136"/>
      <c r="BB303" s="136"/>
      <c r="BC303" s="136"/>
      <c r="BD303" s="136"/>
      <c r="BE303" s="136"/>
      <c r="BF303" s="136"/>
      <c r="BG303" s="136"/>
      <c r="BH303" s="136"/>
      <c r="BI303" s="136"/>
      <c r="BJ303" s="136"/>
      <c r="BK303" s="136"/>
      <c r="BL303" s="136"/>
      <c r="BM303" s="136"/>
      <c r="BN303" s="136"/>
      <c r="BO303" s="136"/>
      <c r="BP303" s="136"/>
      <c r="BQ303" s="136"/>
      <c r="BR303" s="136"/>
      <c r="BS303" s="136"/>
      <c r="BT303" s="136"/>
      <c r="BU303" s="136"/>
      <c r="BV303" s="136"/>
      <c r="BW303" s="136"/>
      <c r="BX303" s="136"/>
      <c r="BY303" s="136"/>
      <c r="BZ303" s="136"/>
      <c r="CA303" s="136"/>
      <c r="CB303" s="136"/>
      <c r="CC303" s="136"/>
      <c r="CD303" s="136"/>
      <c r="CE303" s="136"/>
      <c r="CF303" s="136"/>
      <c r="CG303" s="136"/>
      <c r="CH303" s="136"/>
      <c r="CI303" s="136"/>
      <c r="CJ303" s="136"/>
      <c r="CK303" s="136"/>
      <c r="CL303" s="136"/>
      <c r="CM303" s="136"/>
      <c r="CN303" s="136"/>
      <c r="CO303" s="136"/>
      <c r="CP303" s="136"/>
      <c r="CQ303" s="136"/>
      <c r="CR303" s="136"/>
      <c r="CS303" s="136"/>
      <c r="CT303" s="136"/>
      <c r="CU303" s="136"/>
      <c r="CV303" s="136"/>
      <c r="CW303" s="136"/>
      <c r="CX303" s="136"/>
      <c r="CY303" s="136"/>
      <c r="CZ303" s="136"/>
      <c r="DA303" s="136"/>
      <c r="DB303" s="136"/>
      <c r="DC303" s="136"/>
      <c r="DD303" s="136"/>
      <c r="DE303" s="136"/>
      <c r="DF303" s="136"/>
      <c r="DG303" s="136"/>
      <c r="DH303" s="136"/>
      <c r="DI303" s="136"/>
      <c r="DJ303" s="136"/>
      <c r="DK303" s="136"/>
      <c r="DL303" s="136"/>
      <c r="DM303" s="136"/>
      <c r="DN303" s="136"/>
      <c r="DO303" s="136"/>
      <c r="DP303" s="136"/>
      <c r="DQ303" s="136"/>
      <c r="DR303" s="136"/>
      <c r="DS303" s="136"/>
      <c r="DT303" s="136"/>
      <c r="DU303" s="136"/>
      <c r="DV303" s="136"/>
      <c r="DW303" s="136"/>
      <c r="DX303" s="136"/>
      <c r="DY303" s="136"/>
      <c r="DZ303" s="136"/>
      <c r="EA303" s="136"/>
      <c r="EB303" s="136"/>
      <c r="EC303" s="136"/>
      <c r="ED303" s="136"/>
      <c r="EE303" s="136"/>
      <c r="EF303" s="136"/>
      <c r="EG303" s="136"/>
      <c r="EH303" s="136"/>
      <c r="EI303" s="136"/>
      <c r="EJ303" s="136"/>
      <c r="EK303" s="136"/>
      <c r="EL303" s="136"/>
      <c r="EM303" s="136"/>
      <c r="EN303" s="136"/>
      <c r="EO303" s="136"/>
      <c r="EP303" s="136"/>
      <c r="EQ303" s="136"/>
      <c r="ER303" s="136"/>
      <c r="ES303" s="136"/>
      <c r="ET303" s="136"/>
      <c r="EU303" s="136"/>
      <c r="EV303" s="136"/>
      <c r="EW303" s="136"/>
      <c r="EX303" s="136"/>
      <c r="EY303" s="136"/>
      <c r="EZ303" s="136"/>
      <c r="FA303" s="136"/>
      <c r="FB303" s="136"/>
      <c r="FC303" s="136"/>
      <c r="FD303" s="136"/>
      <c r="FE303" s="136"/>
      <c r="FF303" s="136"/>
      <c r="FG303" s="136"/>
      <c r="FH303" s="136"/>
      <c r="FI303" s="136"/>
      <c r="FJ303" s="136"/>
      <c r="FK303" s="136"/>
      <c r="FL303" s="136"/>
      <c r="FM303" s="136"/>
      <c r="FN303" s="136"/>
      <c r="FO303" s="136"/>
      <c r="FP303" s="136"/>
      <c r="FQ303" s="136"/>
      <c r="FR303" s="136"/>
      <c r="FS303" s="136"/>
      <c r="FT303" s="136"/>
      <c r="FU303" s="136"/>
      <c r="FV303" s="136"/>
      <c r="FW303" s="136"/>
      <c r="FX303" s="136"/>
      <c r="FY303" s="136"/>
      <c r="FZ303" s="136"/>
      <c r="GA303" s="136"/>
      <c r="GB303" s="136"/>
      <c r="GC303" s="136"/>
      <c r="GD303" s="136"/>
      <c r="GE303" s="136"/>
      <c r="GF303" s="136"/>
      <c r="GG303" s="136"/>
      <c r="GH303" s="136"/>
      <c r="GI303" s="136"/>
      <c r="GJ303" s="136"/>
      <c r="GK303" s="136"/>
      <c r="GL303" s="136"/>
      <c r="GM303" s="136"/>
      <c r="GN303" s="136"/>
      <c r="GO303" s="136"/>
      <c r="GP303" s="136"/>
      <c r="GQ303" s="136"/>
      <c r="GR303" s="136"/>
      <c r="GS303" s="136"/>
      <c r="GT303" s="136"/>
      <c r="GU303" s="136"/>
      <c r="GV303" s="136"/>
      <c r="GW303" s="136"/>
      <c r="GX303" s="136"/>
      <c r="GY303" s="136"/>
      <c r="GZ303" s="136"/>
      <c r="HA303" s="136"/>
      <c r="HB303" s="136"/>
      <c r="HC303" s="136"/>
      <c r="HD303" s="136"/>
      <c r="HE303" s="136"/>
      <c r="HF303" s="136"/>
      <c r="HG303" s="136"/>
      <c r="HH303" s="136"/>
      <c r="HI303" s="136"/>
      <c r="HJ303" s="136"/>
      <c r="HK303" s="136"/>
      <c r="HL303" s="136"/>
      <c r="HM303" s="136"/>
      <c r="HN303" s="136"/>
      <c r="HO303" s="136"/>
      <c r="HP303" s="136"/>
      <c r="HQ303" s="136"/>
      <c r="HR303" s="136"/>
      <c r="HS303" s="136"/>
      <c r="HT303" s="136"/>
      <c r="HU303" s="136"/>
      <c r="HV303" s="136"/>
      <c r="HW303" s="136"/>
      <c r="HX303" s="136"/>
      <c r="HY303" s="136"/>
      <c r="HZ303" s="136"/>
      <c r="IA303" s="136"/>
      <c r="IB303" s="136"/>
      <c r="IC303" s="136"/>
      <c r="ID303" s="136"/>
      <c r="IE303" s="136"/>
      <c r="IF303" s="136"/>
      <c r="IG303" s="136"/>
      <c r="IH303" s="136"/>
      <c r="II303" s="136"/>
      <c r="IJ303" s="136"/>
      <c r="IK303" s="136"/>
      <c r="IL303" s="136"/>
      <c r="IM303" s="136"/>
      <c r="IN303" s="136"/>
      <c r="IO303" s="136"/>
      <c r="IP303" s="136"/>
      <c r="IQ303" s="136"/>
      <c r="IR303" s="136"/>
      <c r="IS303" s="136"/>
      <c r="IT303" s="136"/>
      <c r="IU303" s="136"/>
    </row>
    <row r="304" spans="1:255" ht="48" customHeight="1" x14ac:dyDescent="0.2">
      <c r="A304" s="242" t="str">
        <f>'HECVAT - Full'!A304</f>
        <v>PCID-04</v>
      </c>
      <c r="B304" s="242" t="str">
        <f>VLOOKUP(A304,'HECVAT - Full'!A$24:B$312,2,FALSE)</f>
        <v>Are you classified as a service provider?</v>
      </c>
      <c r="C304" s="243">
        <v>12.8</v>
      </c>
      <c r="D304" s="253" t="s">
        <v>2981</v>
      </c>
      <c r="E304" s="13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6"/>
      <c r="AN304" s="136"/>
      <c r="AO304" s="136"/>
      <c r="AP304" s="136"/>
      <c r="AQ304" s="136"/>
      <c r="AR304" s="136"/>
      <c r="AS304" s="136"/>
      <c r="AT304" s="136"/>
      <c r="AU304" s="136"/>
      <c r="AV304" s="136"/>
      <c r="AW304" s="136"/>
      <c r="AX304" s="136"/>
      <c r="AY304" s="136"/>
      <c r="AZ304" s="136"/>
      <c r="BA304" s="136"/>
      <c r="BB304" s="136"/>
      <c r="BC304" s="136"/>
      <c r="BD304" s="136"/>
      <c r="BE304" s="136"/>
      <c r="BF304" s="136"/>
      <c r="BG304" s="136"/>
      <c r="BH304" s="136"/>
      <c r="BI304" s="136"/>
      <c r="BJ304" s="136"/>
      <c r="BK304" s="136"/>
      <c r="BL304" s="136"/>
      <c r="BM304" s="136"/>
      <c r="BN304" s="136"/>
      <c r="BO304" s="136"/>
      <c r="BP304" s="136"/>
      <c r="BQ304" s="136"/>
      <c r="BR304" s="136"/>
      <c r="BS304" s="136"/>
      <c r="BT304" s="136"/>
      <c r="BU304" s="136"/>
      <c r="BV304" s="136"/>
      <c r="BW304" s="136"/>
      <c r="BX304" s="136"/>
      <c r="BY304" s="136"/>
      <c r="BZ304" s="136"/>
      <c r="CA304" s="136"/>
      <c r="CB304" s="136"/>
      <c r="CC304" s="136"/>
      <c r="CD304" s="136"/>
      <c r="CE304" s="136"/>
      <c r="CF304" s="136"/>
      <c r="CG304" s="136"/>
      <c r="CH304" s="136"/>
      <c r="CI304" s="136"/>
      <c r="CJ304" s="136"/>
      <c r="CK304" s="136"/>
      <c r="CL304" s="136"/>
      <c r="CM304" s="136"/>
      <c r="CN304" s="136"/>
      <c r="CO304" s="136"/>
      <c r="CP304" s="136"/>
      <c r="CQ304" s="136"/>
      <c r="CR304" s="136"/>
      <c r="CS304" s="136"/>
      <c r="CT304" s="136"/>
      <c r="CU304" s="136"/>
      <c r="CV304" s="136"/>
      <c r="CW304" s="136"/>
      <c r="CX304" s="136"/>
      <c r="CY304" s="136"/>
      <c r="CZ304" s="136"/>
      <c r="DA304" s="136"/>
      <c r="DB304" s="136"/>
      <c r="DC304" s="136"/>
      <c r="DD304" s="136"/>
      <c r="DE304" s="136"/>
      <c r="DF304" s="136"/>
      <c r="DG304" s="136"/>
      <c r="DH304" s="136"/>
      <c r="DI304" s="136"/>
      <c r="DJ304" s="136"/>
      <c r="DK304" s="136"/>
      <c r="DL304" s="136"/>
      <c r="DM304" s="136"/>
      <c r="DN304" s="136"/>
      <c r="DO304" s="136"/>
      <c r="DP304" s="136"/>
      <c r="DQ304" s="136"/>
      <c r="DR304" s="136"/>
      <c r="DS304" s="136"/>
      <c r="DT304" s="136"/>
      <c r="DU304" s="136"/>
      <c r="DV304" s="136"/>
      <c r="DW304" s="136"/>
      <c r="DX304" s="136"/>
      <c r="DY304" s="136"/>
      <c r="DZ304" s="136"/>
      <c r="EA304" s="136"/>
      <c r="EB304" s="136"/>
      <c r="EC304" s="136"/>
      <c r="ED304" s="136"/>
      <c r="EE304" s="136"/>
      <c r="EF304" s="136"/>
      <c r="EG304" s="136"/>
      <c r="EH304" s="136"/>
      <c r="EI304" s="136"/>
      <c r="EJ304" s="136"/>
      <c r="EK304" s="136"/>
      <c r="EL304" s="136"/>
      <c r="EM304" s="136"/>
      <c r="EN304" s="136"/>
      <c r="EO304" s="136"/>
      <c r="EP304" s="136"/>
      <c r="EQ304" s="136"/>
      <c r="ER304" s="136"/>
      <c r="ES304" s="136"/>
      <c r="ET304" s="136"/>
      <c r="EU304" s="136"/>
      <c r="EV304" s="136"/>
      <c r="EW304" s="136"/>
      <c r="EX304" s="136"/>
      <c r="EY304" s="136"/>
      <c r="EZ304" s="136"/>
      <c r="FA304" s="136"/>
      <c r="FB304" s="136"/>
      <c r="FC304" s="136"/>
      <c r="FD304" s="136"/>
      <c r="FE304" s="136"/>
      <c r="FF304" s="136"/>
      <c r="FG304" s="136"/>
      <c r="FH304" s="136"/>
      <c r="FI304" s="136"/>
      <c r="FJ304" s="136"/>
      <c r="FK304" s="136"/>
      <c r="FL304" s="136"/>
      <c r="FM304" s="136"/>
      <c r="FN304" s="136"/>
      <c r="FO304" s="136"/>
      <c r="FP304" s="136"/>
      <c r="FQ304" s="136"/>
      <c r="FR304" s="136"/>
      <c r="FS304" s="136"/>
      <c r="FT304" s="136"/>
      <c r="FU304" s="136"/>
      <c r="FV304" s="136"/>
      <c r="FW304" s="136"/>
      <c r="FX304" s="136"/>
      <c r="FY304" s="136"/>
      <c r="FZ304" s="136"/>
      <c r="GA304" s="136"/>
      <c r="GB304" s="136"/>
      <c r="GC304" s="136"/>
      <c r="GD304" s="136"/>
      <c r="GE304" s="136"/>
      <c r="GF304" s="136"/>
      <c r="GG304" s="136"/>
      <c r="GH304" s="136"/>
      <c r="GI304" s="136"/>
      <c r="GJ304" s="136"/>
      <c r="GK304" s="136"/>
      <c r="GL304" s="136"/>
      <c r="GM304" s="136"/>
      <c r="GN304" s="136"/>
      <c r="GO304" s="136"/>
      <c r="GP304" s="136"/>
      <c r="GQ304" s="136"/>
      <c r="GR304" s="136"/>
      <c r="GS304" s="136"/>
      <c r="GT304" s="136"/>
      <c r="GU304" s="136"/>
      <c r="GV304" s="136"/>
      <c r="GW304" s="136"/>
      <c r="GX304" s="136"/>
      <c r="GY304" s="136"/>
      <c r="GZ304" s="136"/>
      <c r="HA304" s="136"/>
      <c r="HB304" s="136"/>
      <c r="HC304" s="136"/>
      <c r="HD304" s="136"/>
      <c r="HE304" s="136"/>
      <c r="HF304" s="136"/>
      <c r="HG304" s="136"/>
      <c r="HH304" s="136"/>
      <c r="HI304" s="136"/>
      <c r="HJ304" s="136"/>
      <c r="HK304" s="136"/>
      <c r="HL304" s="136"/>
      <c r="HM304" s="136"/>
      <c r="HN304" s="136"/>
      <c r="HO304" s="136"/>
      <c r="HP304" s="136"/>
      <c r="HQ304" s="136"/>
      <c r="HR304" s="136"/>
      <c r="HS304" s="136"/>
      <c r="HT304" s="136"/>
      <c r="HU304" s="136"/>
      <c r="HV304" s="136"/>
      <c r="HW304" s="136"/>
      <c r="HX304" s="136"/>
      <c r="HY304" s="136"/>
      <c r="HZ304" s="136"/>
      <c r="IA304" s="136"/>
      <c r="IB304" s="136"/>
      <c r="IC304" s="136"/>
      <c r="ID304" s="136"/>
      <c r="IE304" s="136"/>
      <c r="IF304" s="136"/>
      <c r="IG304" s="136"/>
      <c r="IH304" s="136"/>
      <c r="II304" s="136"/>
      <c r="IJ304" s="136"/>
      <c r="IK304" s="136"/>
      <c r="IL304" s="136"/>
      <c r="IM304" s="136"/>
      <c r="IN304" s="136"/>
      <c r="IO304" s="136"/>
      <c r="IP304" s="136"/>
      <c r="IQ304" s="136"/>
      <c r="IR304" s="136"/>
      <c r="IS304" s="136"/>
      <c r="IT304" s="136"/>
      <c r="IU304" s="136"/>
    </row>
    <row r="305" spans="1:255" ht="48" customHeight="1" x14ac:dyDescent="0.2">
      <c r="A305" s="242" t="str">
        <f>'HECVAT - Full'!A305</f>
        <v>PCID-05</v>
      </c>
      <c r="B305" s="242" t="str">
        <f>VLOOKUP(A305,'HECVAT - Full'!A$24:B$312,2,FALSE)</f>
        <v xml:space="preserve">Are you on the list of VISA approved service providers? </v>
      </c>
      <c r="C305" s="243">
        <v>12.8</v>
      </c>
      <c r="D305" s="253" t="s">
        <v>2981</v>
      </c>
      <c r="E305" s="13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6"/>
      <c r="AN305" s="136"/>
      <c r="AO305" s="136"/>
      <c r="AP305" s="136"/>
      <c r="AQ305" s="136"/>
      <c r="AR305" s="136"/>
      <c r="AS305" s="136"/>
      <c r="AT305" s="136"/>
      <c r="AU305" s="136"/>
      <c r="AV305" s="136"/>
      <c r="AW305" s="136"/>
      <c r="AX305" s="136"/>
      <c r="AY305" s="136"/>
      <c r="AZ305" s="136"/>
      <c r="BA305" s="136"/>
      <c r="BB305" s="136"/>
      <c r="BC305" s="136"/>
      <c r="BD305" s="136"/>
      <c r="BE305" s="136"/>
      <c r="BF305" s="136"/>
      <c r="BG305" s="136"/>
      <c r="BH305" s="136"/>
      <c r="BI305" s="136"/>
      <c r="BJ305" s="136"/>
      <c r="BK305" s="136"/>
      <c r="BL305" s="136"/>
      <c r="BM305" s="136"/>
      <c r="BN305" s="136"/>
      <c r="BO305" s="136"/>
      <c r="BP305" s="136"/>
      <c r="BQ305" s="136"/>
      <c r="BR305" s="136"/>
      <c r="BS305" s="136"/>
      <c r="BT305" s="136"/>
      <c r="BU305" s="136"/>
      <c r="BV305" s="136"/>
      <c r="BW305" s="136"/>
      <c r="BX305" s="136"/>
      <c r="BY305" s="136"/>
      <c r="BZ305" s="136"/>
      <c r="CA305" s="136"/>
      <c r="CB305" s="136"/>
      <c r="CC305" s="136"/>
      <c r="CD305" s="136"/>
      <c r="CE305" s="136"/>
      <c r="CF305" s="136"/>
      <c r="CG305" s="136"/>
      <c r="CH305" s="136"/>
      <c r="CI305" s="136"/>
      <c r="CJ305" s="136"/>
      <c r="CK305" s="136"/>
      <c r="CL305" s="136"/>
      <c r="CM305" s="136"/>
      <c r="CN305" s="136"/>
      <c r="CO305" s="136"/>
      <c r="CP305" s="136"/>
      <c r="CQ305" s="136"/>
      <c r="CR305" s="136"/>
      <c r="CS305" s="136"/>
      <c r="CT305" s="136"/>
      <c r="CU305" s="136"/>
      <c r="CV305" s="136"/>
      <c r="CW305" s="136"/>
      <c r="CX305" s="136"/>
      <c r="CY305" s="136"/>
      <c r="CZ305" s="136"/>
      <c r="DA305" s="136"/>
      <c r="DB305" s="136"/>
      <c r="DC305" s="136"/>
      <c r="DD305" s="136"/>
      <c r="DE305" s="136"/>
      <c r="DF305" s="136"/>
      <c r="DG305" s="136"/>
      <c r="DH305" s="136"/>
      <c r="DI305" s="136"/>
      <c r="DJ305" s="136"/>
      <c r="DK305" s="136"/>
      <c r="DL305" s="136"/>
      <c r="DM305" s="136"/>
      <c r="DN305" s="136"/>
      <c r="DO305" s="136"/>
      <c r="DP305" s="136"/>
      <c r="DQ305" s="136"/>
      <c r="DR305" s="136"/>
      <c r="DS305" s="136"/>
      <c r="DT305" s="136"/>
      <c r="DU305" s="136"/>
      <c r="DV305" s="136"/>
      <c r="DW305" s="136"/>
      <c r="DX305" s="136"/>
      <c r="DY305" s="136"/>
      <c r="DZ305" s="136"/>
      <c r="EA305" s="136"/>
      <c r="EB305" s="136"/>
      <c r="EC305" s="136"/>
      <c r="ED305" s="136"/>
      <c r="EE305" s="136"/>
      <c r="EF305" s="136"/>
      <c r="EG305" s="136"/>
      <c r="EH305" s="136"/>
      <c r="EI305" s="136"/>
      <c r="EJ305" s="136"/>
      <c r="EK305" s="136"/>
      <c r="EL305" s="136"/>
      <c r="EM305" s="136"/>
      <c r="EN305" s="136"/>
      <c r="EO305" s="136"/>
      <c r="EP305" s="136"/>
      <c r="EQ305" s="136"/>
      <c r="ER305" s="136"/>
      <c r="ES305" s="136"/>
      <c r="ET305" s="136"/>
      <c r="EU305" s="136"/>
      <c r="EV305" s="136"/>
      <c r="EW305" s="136"/>
      <c r="EX305" s="136"/>
      <c r="EY305" s="136"/>
      <c r="EZ305" s="136"/>
      <c r="FA305" s="136"/>
      <c r="FB305" s="136"/>
      <c r="FC305" s="136"/>
      <c r="FD305" s="136"/>
      <c r="FE305" s="136"/>
      <c r="FF305" s="136"/>
      <c r="FG305" s="136"/>
      <c r="FH305" s="136"/>
      <c r="FI305" s="136"/>
      <c r="FJ305" s="136"/>
      <c r="FK305" s="136"/>
      <c r="FL305" s="136"/>
      <c r="FM305" s="136"/>
      <c r="FN305" s="136"/>
      <c r="FO305" s="136"/>
      <c r="FP305" s="136"/>
      <c r="FQ305" s="136"/>
      <c r="FR305" s="136"/>
      <c r="FS305" s="136"/>
      <c r="FT305" s="136"/>
      <c r="FU305" s="136"/>
      <c r="FV305" s="136"/>
      <c r="FW305" s="136"/>
      <c r="FX305" s="136"/>
      <c r="FY305" s="136"/>
      <c r="FZ305" s="136"/>
      <c r="GA305" s="136"/>
      <c r="GB305" s="136"/>
      <c r="GC305" s="136"/>
      <c r="GD305" s="136"/>
      <c r="GE305" s="136"/>
      <c r="GF305" s="136"/>
      <c r="GG305" s="136"/>
      <c r="GH305" s="136"/>
      <c r="GI305" s="136"/>
      <c r="GJ305" s="136"/>
      <c r="GK305" s="136"/>
      <c r="GL305" s="136"/>
      <c r="GM305" s="136"/>
      <c r="GN305" s="136"/>
      <c r="GO305" s="136"/>
      <c r="GP305" s="136"/>
      <c r="GQ305" s="136"/>
      <c r="GR305" s="136"/>
      <c r="GS305" s="136"/>
      <c r="GT305" s="136"/>
      <c r="GU305" s="136"/>
      <c r="GV305" s="136"/>
      <c r="GW305" s="136"/>
      <c r="GX305" s="136"/>
      <c r="GY305" s="136"/>
      <c r="GZ305" s="136"/>
      <c r="HA305" s="136"/>
      <c r="HB305" s="136"/>
      <c r="HC305" s="136"/>
      <c r="HD305" s="136"/>
      <c r="HE305" s="136"/>
      <c r="HF305" s="136"/>
      <c r="HG305" s="136"/>
      <c r="HH305" s="136"/>
      <c r="HI305" s="136"/>
      <c r="HJ305" s="136"/>
      <c r="HK305" s="136"/>
      <c r="HL305" s="136"/>
      <c r="HM305" s="136"/>
      <c r="HN305" s="136"/>
      <c r="HO305" s="136"/>
      <c r="HP305" s="136"/>
      <c r="HQ305" s="136"/>
      <c r="HR305" s="136"/>
      <c r="HS305" s="136"/>
      <c r="HT305" s="136"/>
      <c r="HU305" s="136"/>
      <c r="HV305" s="136"/>
      <c r="HW305" s="136"/>
      <c r="HX305" s="136"/>
      <c r="HY305" s="136"/>
      <c r="HZ305" s="136"/>
      <c r="IA305" s="136"/>
      <c r="IB305" s="136"/>
      <c r="IC305" s="136"/>
      <c r="ID305" s="136"/>
      <c r="IE305" s="136"/>
      <c r="IF305" s="136"/>
      <c r="IG305" s="136"/>
      <c r="IH305" s="136"/>
      <c r="II305" s="136"/>
      <c r="IJ305" s="136"/>
      <c r="IK305" s="136"/>
      <c r="IL305" s="136"/>
      <c r="IM305" s="136"/>
      <c r="IN305" s="136"/>
      <c r="IO305" s="136"/>
      <c r="IP305" s="136"/>
      <c r="IQ305" s="136"/>
      <c r="IR305" s="136"/>
      <c r="IS305" s="136"/>
      <c r="IT305" s="136"/>
      <c r="IU305" s="136"/>
    </row>
    <row r="306" spans="1:255" ht="48" customHeight="1" x14ac:dyDescent="0.2">
      <c r="A306" s="242" t="str">
        <f>'HECVAT - Full'!A306</f>
        <v>PCID-06</v>
      </c>
      <c r="B306" s="242" t="str">
        <f>VLOOKUP(A306,'HECVAT - Full'!A$24:B$312,2,FALSE)</f>
        <v>Are you classified as a merchant?  If so, what level (1, 2, 3, 4)?</v>
      </c>
      <c r="C306" s="243">
        <v>12.8</v>
      </c>
      <c r="D306" s="253" t="s">
        <v>2981</v>
      </c>
      <c r="E306" s="13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6"/>
      <c r="AN306" s="136"/>
      <c r="AO306" s="136"/>
      <c r="AP306" s="136"/>
      <c r="AQ306" s="136"/>
      <c r="AR306" s="136"/>
      <c r="AS306" s="136"/>
      <c r="AT306" s="136"/>
      <c r="AU306" s="136"/>
      <c r="AV306" s="136"/>
      <c r="AW306" s="136"/>
      <c r="AX306" s="136"/>
      <c r="AY306" s="136"/>
      <c r="AZ306" s="136"/>
      <c r="BA306" s="136"/>
      <c r="BB306" s="136"/>
      <c r="BC306" s="136"/>
      <c r="BD306" s="136"/>
      <c r="BE306" s="136"/>
      <c r="BF306" s="136"/>
      <c r="BG306" s="136"/>
      <c r="BH306" s="136"/>
      <c r="BI306" s="136"/>
      <c r="BJ306" s="136"/>
      <c r="BK306" s="136"/>
      <c r="BL306" s="136"/>
      <c r="BM306" s="136"/>
      <c r="BN306" s="136"/>
      <c r="BO306" s="136"/>
      <c r="BP306" s="136"/>
      <c r="BQ306" s="136"/>
      <c r="BR306" s="136"/>
      <c r="BS306" s="136"/>
      <c r="BT306" s="136"/>
      <c r="BU306" s="136"/>
      <c r="BV306" s="136"/>
      <c r="BW306" s="136"/>
      <c r="BX306" s="136"/>
      <c r="BY306" s="136"/>
      <c r="BZ306" s="136"/>
      <c r="CA306" s="136"/>
      <c r="CB306" s="136"/>
      <c r="CC306" s="136"/>
      <c r="CD306" s="136"/>
      <c r="CE306" s="136"/>
      <c r="CF306" s="136"/>
      <c r="CG306" s="136"/>
      <c r="CH306" s="136"/>
      <c r="CI306" s="136"/>
      <c r="CJ306" s="136"/>
      <c r="CK306" s="136"/>
      <c r="CL306" s="136"/>
      <c r="CM306" s="136"/>
      <c r="CN306" s="136"/>
      <c r="CO306" s="136"/>
      <c r="CP306" s="136"/>
      <c r="CQ306" s="136"/>
      <c r="CR306" s="136"/>
      <c r="CS306" s="136"/>
      <c r="CT306" s="136"/>
      <c r="CU306" s="136"/>
      <c r="CV306" s="136"/>
      <c r="CW306" s="136"/>
      <c r="CX306" s="136"/>
      <c r="CY306" s="136"/>
      <c r="CZ306" s="136"/>
      <c r="DA306" s="136"/>
      <c r="DB306" s="136"/>
      <c r="DC306" s="136"/>
      <c r="DD306" s="136"/>
      <c r="DE306" s="136"/>
      <c r="DF306" s="136"/>
      <c r="DG306" s="136"/>
      <c r="DH306" s="136"/>
      <c r="DI306" s="136"/>
      <c r="DJ306" s="136"/>
      <c r="DK306" s="136"/>
      <c r="DL306" s="136"/>
      <c r="DM306" s="136"/>
      <c r="DN306" s="136"/>
      <c r="DO306" s="136"/>
      <c r="DP306" s="136"/>
      <c r="DQ306" s="136"/>
      <c r="DR306" s="136"/>
      <c r="DS306" s="136"/>
      <c r="DT306" s="136"/>
      <c r="DU306" s="136"/>
      <c r="DV306" s="136"/>
      <c r="DW306" s="136"/>
      <c r="DX306" s="136"/>
      <c r="DY306" s="136"/>
      <c r="DZ306" s="136"/>
      <c r="EA306" s="136"/>
      <c r="EB306" s="136"/>
      <c r="EC306" s="136"/>
      <c r="ED306" s="136"/>
      <c r="EE306" s="136"/>
      <c r="EF306" s="136"/>
      <c r="EG306" s="136"/>
      <c r="EH306" s="136"/>
      <c r="EI306" s="136"/>
      <c r="EJ306" s="136"/>
      <c r="EK306" s="136"/>
      <c r="EL306" s="136"/>
      <c r="EM306" s="136"/>
      <c r="EN306" s="136"/>
      <c r="EO306" s="136"/>
      <c r="EP306" s="136"/>
      <c r="EQ306" s="136"/>
      <c r="ER306" s="136"/>
      <c r="ES306" s="136"/>
      <c r="ET306" s="136"/>
      <c r="EU306" s="136"/>
      <c r="EV306" s="136"/>
      <c r="EW306" s="136"/>
      <c r="EX306" s="136"/>
      <c r="EY306" s="136"/>
      <c r="EZ306" s="136"/>
      <c r="FA306" s="136"/>
      <c r="FB306" s="136"/>
      <c r="FC306" s="136"/>
      <c r="FD306" s="136"/>
      <c r="FE306" s="136"/>
      <c r="FF306" s="136"/>
      <c r="FG306" s="136"/>
      <c r="FH306" s="136"/>
      <c r="FI306" s="136"/>
      <c r="FJ306" s="136"/>
      <c r="FK306" s="136"/>
      <c r="FL306" s="136"/>
      <c r="FM306" s="136"/>
      <c r="FN306" s="136"/>
      <c r="FO306" s="136"/>
      <c r="FP306" s="136"/>
      <c r="FQ306" s="136"/>
      <c r="FR306" s="136"/>
      <c r="FS306" s="136"/>
      <c r="FT306" s="136"/>
      <c r="FU306" s="136"/>
      <c r="FV306" s="136"/>
      <c r="FW306" s="136"/>
      <c r="FX306" s="136"/>
      <c r="FY306" s="136"/>
      <c r="FZ306" s="136"/>
      <c r="GA306" s="136"/>
      <c r="GB306" s="136"/>
      <c r="GC306" s="136"/>
      <c r="GD306" s="136"/>
      <c r="GE306" s="136"/>
      <c r="GF306" s="136"/>
      <c r="GG306" s="136"/>
      <c r="GH306" s="136"/>
      <c r="GI306" s="136"/>
      <c r="GJ306" s="136"/>
      <c r="GK306" s="136"/>
      <c r="GL306" s="136"/>
      <c r="GM306" s="136"/>
      <c r="GN306" s="136"/>
      <c r="GO306" s="136"/>
      <c r="GP306" s="136"/>
      <c r="GQ306" s="136"/>
      <c r="GR306" s="136"/>
      <c r="GS306" s="136"/>
      <c r="GT306" s="136"/>
      <c r="GU306" s="136"/>
      <c r="GV306" s="136"/>
      <c r="GW306" s="136"/>
      <c r="GX306" s="136"/>
      <c r="GY306" s="136"/>
      <c r="GZ306" s="136"/>
      <c r="HA306" s="136"/>
      <c r="HB306" s="136"/>
      <c r="HC306" s="136"/>
      <c r="HD306" s="136"/>
      <c r="HE306" s="136"/>
      <c r="HF306" s="136"/>
      <c r="HG306" s="136"/>
      <c r="HH306" s="136"/>
      <c r="HI306" s="136"/>
      <c r="HJ306" s="136"/>
      <c r="HK306" s="136"/>
      <c r="HL306" s="136"/>
      <c r="HM306" s="136"/>
      <c r="HN306" s="136"/>
      <c r="HO306" s="136"/>
      <c r="HP306" s="136"/>
      <c r="HQ306" s="136"/>
      <c r="HR306" s="136"/>
      <c r="HS306" s="136"/>
      <c r="HT306" s="136"/>
      <c r="HU306" s="136"/>
      <c r="HV306" s="136"/>
      <c r="HW306" s="136"/>
      <c r="HX306" s="136"/>
      <c r="HY306" s="136"/>
      <c r="HZ306" s="136"/>
      <c r="IA306" s="136"/>
      <c r="IB306" s="136"/>
      <c r="IC306" s="136"/>
      <c r="ID306" s="136"/>
      <c r="IE306" s="136"/>
      <c r="IF306" s="136"/>
      <c r="IG306" s="136"/>
      <c r="IH306" s="136"/>
      <c r="II306" s="136"/>
      <c r="IJ306" s="136"/>
      <c r="IK306" s="136"/>
      <c r="IL306" s="136"/>
      <c r="IM306" s="136"/>
      <c r="IN306" s="136"/>
      <c r="IO306" s="136"/>
      <c r="IP306" s="136"/>
      <c r="IQ306" s="136"/>
      <c r="IR306" s="136"/>
      <c r="IS306" s="136"/>
      <c r="IT306" s="136"/>
      <c r="IU306" s="136"/>
    </row>
    <row r="307" spans="1:255" ht="64.349999999999994" customHeight="1" x14ac:dyDescent="0.2">
      <c r="A307" s="242" t="str">
        <f>'HECVAT - Full'!A307</f>
        <v>PCID-07</v>
      </c>
      <c r="B307" s="242" t="str">
        <f>VLOOKUP(A307,'HECVAT - Full'!A$24:B$312,2,FALSE)</f>
        <v>Describe the architecture employed by the system to verify and authorize credit card transactions.</v>
      </c>
      <c r="C307" s="243" t="s">
        <v>2109</v>
      </c>
      <c r="D307" s="253" t="s">
        <v>2981</v>
      </c>
      <c r="E307" s="13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6"/>
      <c r="AN307" s="136"/>
      <c r="AO307" s="136"/>
      <c r="AP307" s="136"/>
      <c r="AQ307" s="136"/>
      <c r="AR307" s="136"/>
      <c r="AS307" s="136"/>
      <c r="AT307" s="136"/>
      <c r="AU307" s="136"/>
      <c r="AV307" s="136"/>
      <c r="AW307" s="136"/>
      <c r="AX307" s="136"/>
      <c r="AY307" s="136"/>
      <c r="AZ307" s="136"/>
      <c r="BA307" s="136"/>
      <c r="BB307" s="136"/>
      <c r="BC307" s="136"/>
      <c r="BD307" s="136"/>
      <c r="BE307" s="136"/>
      <c r="BF307" s="136"/>
      <c r="BG307" s="136"/>
      <c r="BH307" s="136"/>
      <c r="BI307" s="136"/>
      <c r="BJ307" s="136"/>
      <c r="BK307" s="136"/>
      <c r="BL307" s="136"/>
      <c r="BM307" s="136"/>
      <c r="BN307" s="136"/>
      <c r="BO307" s="136"/>
      <c r="BP307" s="136"/>
      <c r="BQ307" s="136"/>
      <c r="BR307" s="136"/>
      <c r="BS307" s="136"/>
      <c r="BT307" s="136"/>
      <c r="BU307" s="136"/>
      <c r="BV307" s="136"/>
      <c r="BW307" s="136"/>
      <c r="BX307" s="136"/>
      <c r="BY307" s="136"/>
      <c r="BZ307" s="136"/>
      <c r="CA307" s="136"/>
      <c r="CB307" s="136"/>
      <c r="CC307" s="136"/>
      <c r="CD307" s="136"/>
      <c r="CE307" s="136"/>
      <c r="CF307" s="136"/>
      <c r="CG307" s="136"/>
      <c r="CH307" s="136"/>
      <c r="CI307" s="136"/>
      <c r="CJ307" s="136"/>
      <c r="CK307" s="136"/>
      <c r="CL307" s="136"/>
      <c r="CM307" s="136"/>
      <c r="CN307" s="136"/>
      <c r="CO307" s="136"/>
      <c r="CP307" s="136"/>
      <c r="CQ307" s="136"/>
      <c r="CR307" s="136"/>
      <c r="CS307" s="136"/>
      <c r="CT307" s="136"/>
      <c r="CU307" s="136"/>
      <c r="CV307" s="136"/>
      <c r="CW307" s="136"/>
      <c r="CX307" s="136"/>
      <c r="CY307" s="136"/>
      <c r="CZ307" s="136"/>
      <c r="DA307" s="136"/>
      <c r="DB307" s="136"/>
      <c r="DC307" s="136"/>
      <c r="DD307" s="136"/>
      <c r="DE307" s="136"/>
      <c r="DF307" s="136"/>
      <c r="DG307" s="136"/>
      <c r="DH307" s="136"/>
      <c r="DI307" s="136"/>
      <c r="DJ307" s="136"/>
      <c r="DK307" s="136"/>
      <c r="DL307" s="136"/>
      <c r="DM307" s="136"/>
      <c r="DN307" s="136"/>
      <c r="DO307" s="136"/>
      <c r="DP307" s="136"/>
      <c r="DQ307" s="136"/>
      <c r="DR307" s="136"/>
      <c r="DS307" s="136"/>
      <c r="DT307" s="136"/>
      <c r="DU307" s="136"/>
      <c r="DV307" s="136"/>
      <c r="DW307" s="136"/>
      <c r="DX307" s="136"/>
      <c r="DY307" s="136"/>
      <c r="DZ307" s="136"/>
      <c r="EA307" s="136"/>
      <c r="EB307" s="136"/>
      <c r="EC307" s="136"/>
      <c r="ED307" s="136"/>
      <c r="EE307" s="136"/>
      <c r="EF307" s="136"/>
      <c r="EG307" s="136"/>
      <c r="EH307" s="136"/>
      <c r="EI307" s="136"/>
      <c r="EJ307" s="136"/>
      <c r="EK307" s="136"/>
      <c r="EL307" s="136"/>
      <c r="EM307" s="136"/>
      <c r="EN307" s="136"/>
      <c r="EO307" s="136"/>
      <c r="EP307" s="136"/>
      <c r="EQ307" s="136"/>
      <c r="ER307" s="136"/>
      <c r="ES307" s="136"/>
      <c r="ET307" s="136"/>
      <c r="EU307" s="136"/>
      <c r="EV307" s="136"/>
      <c r="EW307" s="136"/>
      <c r="EX307" s="136"/>
      <c r="EY307" s="136"/>
      <c r="EZ307" s="136"/>
      <c r="FA307" s="136"/>
      <c r="FB307" s="136"/>
      <c r="FC307" s="136"/>
      <c r="FD307" s="136"/>
      <c r="FE307" s="136"/>
      <c r="FF307" s="136"/>
      <c r="FG307" s="136"/>
      <c r="FH307" s="136"/>
      <c r="FI307" s="136"/>
      <c r="FJ307" s="136"/>
      <c r="FK307" s="136"/>
      <c r="FL307" s="136"/>
      <c r="FM307" s="136"/>
      <c r="FN307" s="136"/>
      <c r="FO307" s="136"/>
      <c r="FP307" s="136"/>
      <c r="FQ307" s="136"/>
      <c r="FR307" s="136"/>
      <c r="FS307" s="136"/>
      <c r="FT307" s="136"/>
      <c r="FU307" s="136"/>
      <c r="FV307" s="136"/>
      <c r="FW307" s="136"/>
      <c r="FX307" s="136"/>
      <c r="FY307" s="136"/>
      <c r="FZ307" s="136"/>
      <c r="GA307" s="136"/>
      <c r="GB307" s="136"/>
      <c r="GC307" s="136"/>
      <c r="GD307" s="136"/>
      <c r="GE307" s="136"/>
      <c r="GF307" s="136"/>
      <c r="GG307" s="136"/>
      <c r="GH307" s="136"/>
      <c r="GI307" s="136"/>
      <c r="GJ307" s="136"/>
      <c r="GK307" s="136"/>
      <c r="GL307" s="136"/>
      <c r="GM307" s="136"/>
      <c r="GN307" s="136"/>
      <c r="GO307" s="136"/>
      <c r="GP307" s="136"/>
      <c r="GQ307" s="136"/>
      <c r="GR307" s="136"/>
      <c r="GS307" s="136"/>
      <c r="GT307" s="136"/>
      <c r="GU307" s="136"/>
      <c r="GV307" s="136"/>
      <c r="GW307" s="136"/>
      <c r="GX307" s="136"/>
      <c r="GY307" s="136"/>
      <c r="GZ307" s="136"/>
      <c r="HA307" s="136"/>
      <c r="HB307" s="136"/>
      <c r="HC307" s="136"/>
      <c r="HD307" s="136"/>
      <c r="HE307" s="136"/>
      <c r="HF307" s="136"/>
      <c r="HG307" s="136"/>
      <c r="HH307" s="136"/>
      <c r="HI307" s="136"/>
      <c r="HJ307" s="136"/>
      <c r="HK307" s="136"/>
      <c r="HL307" s="136"/>
      <c r="HM307" s="136"/>
      <c r="HN307" s="136"/>
      <c r="HO307" s="136"/>
      <c r="HP307" s="136"/>
      <c r="HQ307" s="136"/>
      <c r="HR307" s="136"/>
      <c r="HS307" s="136"/>
      <c r="HT307" s="136"/>
      <c r="HU307" s="136"/>
      <c r="HV307" s="136"/>
      <c r="HW307" s="136"/>
      <c r="HX307" s="136"/>
      <c r="HY307" s="136"/>
      <c r="HZ307" s="136"/>
      <c r="IA307" s="136"/>
      <c r="IB307" s="136"/>
      <c r="IC307" s="136"/>
      <c r="ID307" s="136"/>
      <c r="IE307" s="136"/>
      <c r="IF307" s="136"/>
      <c r="IG307" s="136"/>
      <c r="IH307" s="136"/>
      <c r="II307" s="136"/>
      <c r="IJ307" s="136"/>
      <c r="IK307" s="136"/>
      <c r="IL307" s="136"/>
      <c r="IM307" s="136"/>
      <c r="IN307" s="136"/>
      <c r="IO307" s="136"/>
      <c r="IP307" s="136"/>
      <c r="IQ307" s="136"/>
      <c r="IR307" s="136"/>
      <c r="IS307" s="136"/>
      <c r="IT307" s="136"/>
      <c r="IU307" s="136"/>
    </row>
    <row r="308" spans="1:255" ht="64.349999999999994" customHeight="1" x14ac:dyDescent="0.2">
      <c r="A308" s="242" t="str">
        <f>'HECVAT - Full'!A308</f>
        <v>PCID-08</v>
      </c>
      <c r="B308" s="242" t="str">
        <f>VLOOKUP(A308,'HECVAT - Full'!A$24:B$312,2,FALSE)</f>
        <v xml:space="preserve">What payment processors/gateways does the system support? </v>
      </c>
      <c r="C308" s="243">
        <v>12.8</v>
      </c>
      <c r="D308" s="253" t="s">
        <v>2981</v>
      </c>
      <c r="E308" s="13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6"/>
      <c r="AN308" s="136"/>
      <c r="AO308" s="136"/>
      <c r="AP308" s="136"/>
      <c r="AQ308" s="136"/>
      <c r="AR308" s="136"/>
      <c r="AS308" s="136"/>
      <c r="AT308" s="136"/>
      <c r="AU308" s="136"/>
      <c r="AV308" s="136"/>
      <c r="AW308" s="136"/>
      <c r="AX308" s="136"/>
      <c r="AY308" s="136"/>
      <c r="AZ308" s="136"/>
      <c r="BA308" s="136"/>
      <c r="BB308" s="136"/>
      <c r="BC308" s="136"/>
      <c r="BD308" s="136"/>
      <c r="BE308" s="136"/>
      <c r="BF308" s="136"/>
      <c r="BG308" s="136"/>
      <c r="BH308" s="136"/>
      <c r="BI308" s="136"/>
      <c r="BJ308" s="136"/>
      <c r="BK308" s="136"/>
      <c r="BL308" s="136"/>
      <c r="BM308" s="136"/>
      <c r="BN308" s="136"/>
      <c r="BO308" s="136"/>
      <c r="BP308" s="136"/>
      <c r="BQ308" s="136"/>
      <c r="BR308" s="136"/>
      <c r="BS308" s="136"/>
      <c r="BT308" s="136"/>
      <c r="BU308" s="136"/>
      <c r="BV308" s="136"/>
      <c r="BW308" s="136"/>
      <c r="BX308" s="136"/>
      <c r="BY308" s="136"/>
      <c r="BZ308" s="136"/>
      <c r="CA308" s="136"/>
      <c r="CB308" s="136"/>
      <c r="CC308" s="136"/>
      <c r="CD308" s="136"/>
      <c r="CE308" s="136"/>
      <c r="CF308" s="136"/>
      <c r="CG308" s="136"/>
      <c r="CH308" s="136"/>
      <c r="CI308" s="136"/>
      <c r="CJ308" s="136"/>
      <c r="CK308" s="136"/>
      <c r="CL308" s="136"/>
      <c r="CM308" s="136"/>
      <c r="CN308" s="136"/>
      <c r="CO308" s="136"/>
      <c r="CP308" s="136"/>
      <c r="CQ308" s="136"/>
      <c r="CR308" s="136"/>
      <c r="CS308" s="136"/>
      <c r="CT308" s="136"/>
      <c r="CU308" s="136"/>
      <c r="CV308" s="136"/>
      <c r="CW308" s="136"/>
      <c r="CX308" s="136"/>
      <c r="CY308" s="136"/>
      <c r="CZ308" s="136"/>
      <c r="DA308" s="136"/>
      <c r="DB308" s="136"/>
      <c r="DC308" s="136"/>
      <c r="DD308" s="136"/>
      <c r="DE308" s="136"/>
      <c r="DF308" s="136"/>
      <c r="DG308" s="136"/>
      <c r="DH308" s="136"/>
      <c r="DI308" s="136"/>
      <c r="DJ308" s="136"/>
      <c r="DK308" s="136"/>
      <c r="DL308" s="136"/>
      <c r="DM308" s="136"/>
      <c r="DN308" s="136"/>
      <c r="DO308" s="136"/>
      <c r="DP308" s="136"/>
      <c r="DQ308" s="136"/>
      <c r="DR308" s="136"/>
      <c r="DS308" s="136"/>
      <c r="DT308" s="136"/>
      <c r="DU308" s="136"/>
      <c r="DV308" s="136"/>
      <c r="DW308" s="136"/>
      <c r="DX308" s="136"/>
      <c r="DY308" s="136"/>
      <c r="DZ308" s="136"/>
      <c r="EA308" s="136"/>
      <c r="EB308" s="136"/>
      <c r="EC308" s="136"/>
      <c r="ED308" s="136"/>
      <c r="EE308" s="136"/>
      <c r="EF308" s="136"/>
      <c r="EG308" s="136"/>
      <c r="EH308" s="136"/>
      <c r="EI308" s="136"/>
      <c r="EJ308" s="136"/>
      <c r="EK308" s="136"/>
      <c r="EL308" s="136"/>
      <c r="EM308" s="136"/>
      <c r="EN308" s="136"/>
      <c r="EO308" s="136"/>
      <c r="EP308" s="136"/>
      <c r="EQ308" s="136"/>
      <c r="ER308" s="136"/>
      <c r="ES308" s="136"/>
      <c r="ET308" s="136"/>
      <c r="EU308" s="136"/>
      <c r="EV308" s="136"/>
      <c r="EW308" s="136"/>
      <c r="EX308" s="136"/>
      <c r="EY308" s="136"/>
      <c r="EZ308" s="136"/>
      <c r="FA308" s="136"/>
      <c r="FB308" s="136"/>
      <c r="FC308" s="136"/>
      <c r="FD308" s="136"/>
      <c r="FE308" s="136"/>
      <c r="FF308" s="136"/>
      <c r="FG308" s="136"/>
      <c r="FH308" s="136"/>
      <c r="FI308" s="136"/>
      <c r="FJ308" s="136"/>
      <c r="FK308" s="136"/>
      <c r="FL308" s="136"/>
      <c r="FM308" s="136"/>
      <c r="FN308" s="136"/>
      <c r="FO308" s="136"/>
      <c r="FP308" s="136"/>
      <c r="FQ308" s="136"/>
      <c r="FR308" s="136"/>
      <c r="FS308" s="136"/>
      <c r="FT308" s="136"/>
      <c r="FU308" s="136"/>
      <c r="FV308" s="136"/>
      <c r="FW308" s="136"/>
      <c r="FX308" s="136"/>
      <c r="FY308" s="136"/>
      <c r="FZ308" s="136"/>
      <c r="GA308" s="136"/>
      <c r="GB308" s="136"/>
      <c r="GC308" s="136"/>
      <c r="GD308" s="136"/>
      <c r="GE308" s="136"/>
      <c r="GF308" s="136"/>
      <c r="GG308" s="136"/>
      <c r="GH308" s="136"/>
      <c r="GI308" s="136"/>
      <c r="GJ308" s="136"/>
      <c r="GK308" s="136"/>
      <c r="GL308" s="136"/>
      <c r="GM308" s="136"/>
      <c r="GN308" s="136"/>
      <c r="GO308" s="136"/>
      <c r="GP308" s="136"/>
      <c r="GQ308" s="136"/>
      <c r="GR308" s="136"/>
      <c r="GS308" s="136"/>
      <c r="GT308" s="136"/>
      <c r="GU308" s="136"/>
      <c r="GV308" s="136"/>
      <c r="GW308" s="136"/>
      <c r="GX308" s="136"/>
      <c r="GY308" s="136"/>
      <c r="GZ308" s="136"/>
      <c r="HA308" s="136"/>
      <c r="HB308" s="136"/>
      <c r="HC308" s="136"/>
      <c r="HD308" s="136"/>
      <c r="HE308" s="136"/>
      <c r="HF308" s="136"/>
      <c r="HG308" s="136"/>
      <c r="HH308" s="136"/>
      <c r="HI308" s="136"/>
      <c r="HJ308" s="136"/>
      <c r="HK308" s="136"/>
      <c r="HL308" s="136"/>
      <c r="HM308" s="136"/>
      <c r="HN308" s="136"/>
      <c r="HO308" s="136"/>
      <c r="HP308" s="136"/>
      <c r="HQ308" s="136"/>
      <c r="HR308" s="136"/>
      <c r="HS308" s="136"/>
      <c r="HT308" s="136"/>
      <c r="HU308" s="136"/>
      <c r="HV308" s="136"/>
      <c r="HW308" s="136"/>
      <c r="HX308" s="136"/>
      <c r="HY308" s="136"/>
      <c r="HZ308" s="136"/>
      <c r="IA308" s="136"/>
      <c r="IB308" s="136"/>
      <c r="IC308" s="136"/>
      <c r="ID308" s="136"/>
      <c r="IE308" s="136"/>
      <c r="IF308" s="136"/>
      <c r="IG308" s="136"/>
      <c r="IH308" s="136"/>
      <c r="II308" s="136"/>
      <c r="IJ308" s="136"/>
      <c r="IK308" s="136"/>
      <c r="IL308" s="136"/>
      <c r="IM308" s="136"/>
      <c r="IN308" s="136"/>
      <c r="IO308" s="136"/>
      <c r="IP308" s="136"/>
      <c r="IQ308" s="136"/>
      <c r="IR308" s="136"/>
      <c r="IS308" s="136"/>
      <c r="IT308" s="136"/>
      <c r="IU308" s="136"/>
    </row>
    <row r="309" spans="1:255" ht="48" customHeight="1" x14ac:dyDescent="0.2">
      <c r="A309" s="242" t="str">
        <f>'HECVAT - Full'!A309</f>
        <v>PCID-09</v>
      </c>
      <c r="B309" s="242" t="str">
        <f>VLOOKUP(A309,'HECVAT - Full'!A$24:B$312,2,FALSE)</f>
        <v>Can the application be installed in a PCI DSS compliant manner ?</v>
      </c>
      <c r="C309" s="243">
        <v>12.8</v>
      </c>
      <c r="D309" s="253" t="s">
        <v>2981</v>
      </c>
      <c r="E309" s="13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6"/>
      <c r="AN309" s="136"/>
      <c r="AO309" s="136"/>
      <c r="AP309" s="136"/>
      <c r="AQ309" s="136"/>
      <c r="AR309" s="136"/>
      <c r="AS309" s="136"/>
      <c r="AT309" s="136"/>
      <c r="AU309" s="136"/>
      <c r="AV309" s="136"/>
      <c r="AW309" s="136"/>
      <c r="AX309" s="136"/>
      <c r="AY309" s="136"/>
      <c r="AZ309" s="136"/>
      <c r="BA309" s="136"/>
      <c r="BB309" s="136"/>
      <c r="BC309" s="136"/>
      <c r="BD309" s="136"/>
      <c r="BE309" s="136"/>
      <c r="BF309" s="136"/>
      <c r="BG309" s="136"/>
      <c r="BH309" s="136"/>
      <c r="BI309" s="136"/>
      <c r="BJ309" s="136"/>
      <c r="BK309" s="136"/>
      <c r="BL309" s="136"/>
      <c r="BM309" s="136"/>
      <c r="BN309" s="136"/>
      <c r="BO309" s="136"/>
      <c r="BP309" s="136"/>
      <c r="BQ309" s="136"/>
      <c r="BR309" s="136"/>
      <c r="BS309" s="136"/>
      <c r="BT309" s="136"/>
      <c r="BU309" s="136"/>
      <c r="BV309" s="136"/>
      <c r="BW309" s="136"/>
      <c r="BX309" s="136"/>
      <c r="BY309" s="136"/>
      <c r="BZ309" s="136"/>
      <c r="CA309" s="136"/>
      <c r="CB309" s="136"/>
      <c r="CC309" s="136"/>
      <c r="CD309" s="136"/>
      <c r="CE309" s="136"/>
      <c r="CF309" s="136"/>
      <c r="CG309" s="136"/>
      <c r="CH309" s="136"/>
      <c r="CI309" s="136"/>
      <c r="CJ309" s="136"/>
      <c r="CK309" s="136"/>
      <c r="CL309" s="136"/>
      <c r="CM309" s="136"/>
      <c r="CN309" s="136"/>
      <c r="CO309" s="136"/>
      <c r="CP309" s="136"/>
      <c r="CQ309" s="136"/>
      <c r="CR309" s="136"/>
      <c r="CS309" s="136"/>
      <c r="CT309" s="136"/>
      <c r="CU309" s="136"/>
      <c r="CV309" s="136"/>
      <c r="CW309" s="136"/>
      <c r="CX309" s="136"/>
      <c r="CY309" s="136"/>
      <c r="CZ309" s="136"/>
      <c r="DA309" s="136"/>
      <c r="DB309" s="136"/>
      <c r="DC309" s="136"/>
      <c r="DD309" s="136"/>
      <c r="DE309" s="136"/>
      <c r="DF309" s="136"/>
      <c r="DG309" s="136"/>
      <c r="DH309" s="136"/>
      <c r="DI309" s="136"/>
      <c r="DJ309" s="136"/>
      <c r="DK309" s="136"/>
      <c r="DL309" s="136"/>
      <c r="DM309" s="136"/>
      <c r="DN309" s="136"/>
      <c r="DO309" s="136"/>
      <c r="DP309" s="136"/>
      <c r="DQ309" s="136"/>
      <c r="DR309" s="136"/>
      <c r="DS309" s="136"/>
      <c r="DT309" s="136"/>
      <c r="DU309" s="136"/>
      <c r="DV309" s="136"/>
      <c r="DW309" s="136"/>
      <c r="DX309" s="136"/>
      <c r="DY309" s="136"/>
      <c r="DZ309" s="136"/>
      <c r="EA309" s="136"/>
      <c r="EB309" s="136"/>
      <c r="EC309" s="136"/>
      <c r="ED309" s="136"/>
      <c r="EE309" s="136"/>
      <c r="EF309" s="136"/>
      <c r="EG309" s="136"/>
      <c r="EH309" s="136"/>
      <c r="EI309" s="136"/>
      <c r="EJ309" s="136"/>
      <c r="EK309" s="136"/>
      <c r="EL309" s="136"/>
      <c r="EM309" s="136"/>
      <c r="EN309" s="136"/>
      <c r="EO309" s="136"/>
      <c r="EP309" s="136"/>
      <c r="EQ309" s="136"/>
      <c r="ER309" s="136"/>
      <c r="ES309" s="136"/>
      <c r="ET309" s="136"/>
      <c r="EU309" s="136"/>
      <c r="EV309" s="136"/>
      <c r="EW309" s="136"/>
      <c r="EX309" s="136"/>
      <c r="EY309" s="136"/>
      <c r="EZ309" s="136"/>
      <c r="FA309" s="136"/>
      <c r="FB309" s="136"/>
      <c r="FC309" s="136"/>
      <c r="FD309" s="136"/>
      <c r="FE309" s="136"/>
      <c r="FF309" s="136"/>
      <c r="FG309" s="136"/>
      <c r="FH309" s="136"/>
      <c r="FI309" s="136"/>
      <c r="FJ309" s="136"/>
      <c r="FK309" s="136"/>
      <c r="FL309" s="136"/>
      <c r="FM309" s="136"/>
      <c r="FN309" s="136"/>
      <c r="FO309" s="136"/>
      <c r="FP309" s="136"/>
      <c r="FQ309" s="136"/>
      <c r="FR309" s="136"/>
      <c r="FS309" s="136"/>
      <c r="FT309" s="136"/>
      <c r="FU309" s="136"/>
      <c r="FV309" s="136"/>
      <c r="FW309" s="136"/>
      <c r="FX309" s="136"/>
      <c r="FY309" s="136"/>
      <c r="FZ309" s="136"/>
      <c r="GA309" s="136"/>
      <c r="GB309" s="136"/>
      <c r="GC309" s="136"/>
      <c r="GD309" s="136"/>
      <c r="GE309" s="136"/>
      <c r="GF309" s="136"/>
      <c r="GG309" s="136"/>
      <c r="GH309" s="136"/>
      <c r="GI309" s="136"/>
      <c r="GJ309" s="136"/>
      <c r="GK309" s="136"/>
      <c r="GL309" s="136"/>
      <c r="GM309" s="136"/>
      <c r="GN309" s="136"/>
      <c r="GO309" s="136"/>
      <c r="GP309" s="136"/>
      <c r="GQ309" s="136"/>
      <c r="GR309" s="136"/>
      <c r="GS309" s="136"/>
      <c r="GT309" s="136"/>
      <c r="GU309" s="136"/>
      <c r="GV309" s="136"/>
      <c r="GW309" s="136"/>
      <c r="GX309" s="136"/>
      <c r="GY309" s="136"/>
      <c r="GZ309" s="136"/>
      <c r="HA309" s="136"/>
      <c r="HB309" s="136"/>
      <c r="HC309" s="136"/>
      <c r="HD309" s="136"/>
      <c r="HE309" s="136"/>
      <c r="HF309" s="136"/>
      <c r="HG309" s="136"/>
      <c r="HH309" s="136"/>
      <c r="HI309" s="136"/>
      <c r="HJ309" s="136"/>
      <c r="HK309" s="136"/>
      <c r="HL309" s="136"/>
      <c r="HM309" s="136"/>
      <c r="HN309" s="136"/>
      <c r="HO309" s="136"/>
      <c r="HP309" s="136"/>
      <c r="HQ309" s="136"/>
      <c r="HR309" s="136"/>
      <c r="HS309" s="136"/>
      <c r="HT309" s="136"/>
      <c r="HU309" s="136"/>
      <c r="HV309" s="136"/>
      <c r="HW309" s="136"/>
      <c r="HX309" s="136"/>
      <c r="HY309" s="136"/>
      <c r="HZ309" s="136"/>
      <c r="IA309" s="136"/>
      <c r="IB309" s="136"/>
      <c r="IC309" s="136"/>
      <c r="ID309" s="136"/>
      <c r="IE309" s="136"/>
      <c r="IF309" s="136"/>
      <c r="IG309" s="136"/>
      <c r="IH309" s="136"/>
      <c r="II309" s="136"/>
      <c r="IJ309" s="136"/>
      <c r="IK309" s="136"/>
      <c r="IL309" s="136"/>
      <c r="IM309" s="136"/>
      <c r="IN309" s="136"/>
      <c r="IO309" s="136"/>
      <c r="IP309" s="136"/>
      <c r="IQ309" s="136"/>
      <c r="IR309" s="136"/>
      <c r="IS309" s="136"/>
      <c r="IT309" s="136"/>
      <c r="IU309" s="136"/>
    </row>
    <row r="310" spans="1:255" ht="48" customHeight="1" x14ac:dyDescent="0.2">
      <c r="A310" s="242" t="str">
        <f>'HECVAT - Full'!A310</f>
        <v>PCID-10</v>
      </c>
      <c r="B310" s="242" t="str">
        <f>VLOOKUP(A310,'HECVAT - Full'!A$24:B$312,2,FALSE)</f>
        <v xml:space="preserve">Is the application listed as an approved PA-DSS application? </v>
      </c>
      <c r="C310" s="243">
        <v>12.8</v>
      </c>
      <c r="D310" s="253" t="s">
        <v>2981</v>
      </c>
      <c r="E310" s="13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6"/>
      <c r="AN310" s="136"/>
      <c r="AO310" s="136"/>
      <c r="AP310" s="136"/>
      <c r="AQ310" s="136"/>
      <c r="AR310" s="136"/>
      <c r="AS310" s="136"/>
      <c r="AT310" s="136"/>
      <c r="AU310" s="136"/>
      <c r="AV310" s="136"/>
      <c r="AW310" s="136"/>
      <c r="AX310" s="136"/>
      <c r="AY310" s="136"/>
      <c r="AZ310" s="136"/>
      <c r="BA310" s="136"/>
      <c r="BB310" s="136"/>
      <c r="BC310" s="136"/>
      <c r="BD310" s="136"/>
      <c r="BE310" s="136"/>
      <c r="BF310" s="136"/>
      <c r="BG310" s="136"/>
      <c r="BH310" s="136"/>
      <c r="BI310" s="136"/>
      <c r="BJ310" s="136"/>
      <c r="BK310" s="136"/>
      <c r="BL310" s="136"/>
      <c r="BM310" s="136"/>
      <c r="BN310" s="136"/>
      <c r="BO310" s="136"/>
      <c r="BP310" s="136"/>
      <c r="BQ310" s="136"/>
      <c r="BR310" s="136"/>
      <c r="BS310" s="136"/>
      <c r="BT310" s="136"/>
      <c r="BU310" s="136"/>
      <c r="BV310" s="136"/>
      <c r="BW310" s="136"/>
      <c r="BX310" s="136"/>
      <c r="BY310" s="136"/>
      <c r="BZ310" s="136"/>
      <c r="CA310" s="136"/>
      <c r="CB310" s="136"/>
      <c r="CC310" s="136"/>
      <c r="CD310" s="136"/>
      <c r="CE310" s="136"/>
      <c r="CF310" s="136"/>
      <c r="CG310" s="136"/>
      <c r="CH310" s="136"/>
      <c r="CI310" s="136"/>
      <c r="CJ310" s="136"/>
      <c r="CK310" s="136"/>
      <c r="CL310" s="136"/>
      <c r="CM310" s="136"/>
      <c r="CN310" s="136"/>
      <c r="CO310" s="136"/>
      <c r="CP310" s="136"/>
      <c r="CQ310" s="136"/>
      <c r="CR310" s="136"/>
      <c r="CS310" s="136"/>
      <c r="CT310" s="136"/>
      <c r="CU310" s="136"/>
      <c r="CV310" s="136"/>
      <c r="CW310" s="136"/>
      <c r="CX310" s="136"/>
      <c r="CY310" s="136"/>
      <c r="CZ310" s="136"/>
      <c r="DA310" s="136"/>
      <c r="DB310" s="136"/>
      <c r="DC310" s="136"/>
      <c r="DD310" s="136"/>
      <c r="DE310" s="136"/>
      <c r="DF310" s="136"/>
      <c r="DG310" s="136"/>
      <c r="DH310" s="136"/>
      <c r="DI310" s="136"/>
      <c r="DJ310" s="136"/>
      <c r="DK310" s="136"/>
      <c r="DL310" s="136"/>
      <c r="DM310" s="136"/>
      <c r="DN310" s="136"/>
      <c r="DO310" s="136"/>
      <c r="DP310" s="136"/>
      <c r="DQ310" s="136"/>
      <c r="DR310" s="136"/>
      <c r="DS310" s="136"/>
      <c r="DT310" s="136"/>
      <c r="DU310" s="136"/>
      <c r="DV310" s="136"/>
      <c r="DW310" s="136"/>
      <c r="DX310" s="136"/>
      <c r="DY310" s="136"/>
      <c r="DZ310" s="136"/>
      <c r="EA310" s="136"/>
      <c r="EB310" s="136"/>
      <c r="EC310" s="136"/>
      <c r="ED310" s="136"/>
      <c r="EE310" s="136"/>
      <c r="EF310" s="136"/>
      <c r="EG310" s="136"/>
      <c r="EH310" s="136"/>
      <c r="EI310" s="136"/>
      <c r="EJ310" s="136"/>
      <c r="EK310" s="136"/>
      <c r="EL310" s="136"/>
      <c r="EM310" s="136"/>
      <c r="EN310" s="136"/>
      <c r="EO310" s="136"/>
      <c r="EP310" s="136"/>
      <c r="EQ310" s="136"/>
      <c r="ER310" s="136"/>
      <c r="ES310" s="136"/>
      <c r="ET310" s="136"/>
      <c r="EU310" s="136"/>
      <c r="EV310" s="136"/>
      <c r="EW310" s="136"/>
      <c r="EX310" s="136"/>
      <c r="EY310" s="136"/>
      <c r="EZ310" s="136"/>
      <c r="FA310" s="136"/>
      <c r="FB310" s="136"/>
      <c r="FC310" s="136"/>
      <c r="FD310" s="136"/>
      <c r="FE310" s="136"/>
      <c r="FF310" s="136"/>
      <c r="FG310" s="136"/>
      <c r="FH310" s="136"/>
      <c r="FI310" s="136"/>
      <c r="FJ310" s="136"/>
      <c r="FK310" s="136"/>
      <c r="FL310" s="136"/>
      <c r="FM310" s="136"/>
      <c r="FN310" s="136"/>
      <c r="FO310" s="136"/>
      <c r="FP310" s="136"/>
      <c r="FQ310" s="136"/>
      <c r="FR310" s="136"/>
      <c r="FS310" s="136"/>
      <c r="FT310" s="136"/>
      <c r="FU310" s="136"/>
      <c r="FV310" s="136"/>
      <c r="FW310" s="136"/>
      <c r="FX310" s="136"/>
      <c r="FY310" s="136"/>
      <c r="FZ310" s="136"/>
      <c r="GA310" s="136"/>
      <c r="GB310" s="136"/>
      <c r="GC310" s="136"/>
      <c r="GD310" s="136"/>
      <c r="GE310" s="136"/>
      <c r="GF310" s="136"/>
      <c r="GG310" s="136"/>
      <c r="GH310" s="136"/>
      <c r="GI310" s="136"/>
      <c r="GJ310" s="136"/>
      <c r="GK310" s="136"/>
      <c r="GL310" s="136"/>
      <c r="GM310" s="136"/>
      <c r="GN310" s="136"/>
      <c r="GO310" s="136"/>
      <c r="GP310" s="136"/>
      <c r="GQ310" s="136"/>
      <c r="GR310" s="136"/>
      <c r="GS310" s="136"/>
      <c r="GT310" s="136"/>
      <c r="GU310" s="136"/>
      <c r="GV310" s="136"/>
      <c r="GW310" s="136"/>
      <c r="GX310" s="136"/>
      <c r="GY310" s="136"/>
      <c r="GZ310" s="136"/>
      <c r="HA310" s="136"/>
      <c r="HB310" s="136"/>
      <c r="HC310" s="136"/>
      <c r="HD310" s="136"/>
      <c r="HE310" s="136"/>
      <c r="HF310" s="136"/>
      <c r="HG310" s="136"/>
      <c r="HH310" s="136"/>
      <c r="HI310" s="136"/>
      <c r="HJ310" s="136"/>
      <c r="HK310" s="136"/>
      <c r="HL310" s="136"/>
      <c r="HM310" s="136"/>
      <c r="HN310" s="136"/>
      <c r="HO310" s="136"/>
      <c r="HP310" s="136"/>
      <c r="HQ310" s="136"/>
      <c r="HR310" s="136"/>
      <c r="HS310" s="136"/>
      <c r="HT310" s="136"/>
      <c r="HU310" s="136"/>
      <c r="HV310" s="136"/>
      <c r="HW310" s="136"/>
      <c r="HX310" s="136"/>
      <c r="HY310" s="136"/>
      <c r="HZ310" s="136"/>
      <c r="IA310" s="136"/>
      <c r="IB310" s="136"/>
      <c r="IC310" s="136"/>
      <c r="ID310" s="136"/>
      <c r="IE310" s="136"/>
      <c r="IF310" s="136"/>
      <c r="IG310" s="136"/>
      <c r="IH310" s="136"/>
      <c r="II310" s="136"/>
      <c r="IJ310" s="136"/>
      <c r="IK310" s="136"/>
      <c r="IL310" s="136"/>
      <c r="IM310" s="136"/>
      <c r="IN310" s="136"/>
      <c r="IO310" s="136"/>
      <c r="IP310" s="136"/>
      <c r="IQ310" s="136"/>
      <c r="IR310" s="136"/>
      <c r="IS310" s="136"/>
      <c r="IT310" s="136"/>
      <c r="IU310" s="136"/>
    </row>
    <row r="311" spans="1:255" ht="54" customHeight="1" x14ac:dyDescent="0.2">
      <c r="A311" s="242" t="str">
        <f>'HECVAT - Full'!A311</f>
        <v>PCID-11</v>
      </c>
      <c r="B311" s="242" t="str">
        <f>VLOOKUP(A311,'HECVAT - Full'!A$24:B$312,2,FALSE)</f>
        <v>Does the system or products use a third party to collect, store, process, or transmit cardholder (payment/credit/debt card) data?</v>
      </c>
      <c r="C311" s="243">
        <v>12.8</v>
      </c>
      <c r="D311" s="253" t="s">
        <v>2981</v>
      </c>
      <c r="E311" s="13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6"/>
      <c r="AN311" s="136"/>
      <c r="AO311" s="136"/>
      <c r="AP311" s="136"/>
      <c r="AQ311" s="136"/>
      <c r="AR311" s="136"/>
      <c r="AS311" s="136"/>
      <c r="AT311" s="136"/>
      <c r="AU311" s="136"/>
      <c r="AV311" s="136"/>
      <c r="AW311" s="136"/>
      <c r="AX311" s="136"/>
      <c r="AY311" s="136"/>
      <c r="AZ311" s="136"/>
      <c r="BA311" s="136"/>
      <c r="BB311" s="136"/>
      <c r="BC311" s="136"/>
      <c r="BD311" s="136"/>
      <c r="BE311" s="136"/>
      <c r="BF311" s="136"/>
      <c r="BG311" s="136"/>
      <c r="BH311" s="136"/>
      <c r="BI311" s="136"/>
      <c r="BJ311" s="136"/>
      <c r="BK311" s="136"/>
      <c r="BL311" s="136"/>
      <c r="BM311" s="136"/>
      <c r="BN311" s="136"/>
      <c r="BO311" s="136"/>
      <c r="BP311" s="136"/>
      <c r="BQ311" s="136"/>
      <c r="BR311" s="136"/>
      <c r="BS311" s="136"/>
      <c r="BT311" s="136"/>
      <c r="BU311" s="136"/>
      <c r="BV311" s="136"/>
      <c r="BW311" s="136"/>
      <c r="BX311" s="136"/>
      <c r="BY311" s="136"/>
      <c r="BZ311" s="136"/>
      <c r="CA311" s="136"/>
      <c r="CB311" s="136"/>
      <c r="CC311" s="136"/>
      <c r="CD311" s="136"/>
      <c r="CE311" s="136"/>
      <c r="CF311" s="136"/>
      <c r="CG311" s="136"/>
      <c r="CH311" s="136"/>
      <c r="CI311" s="136"/>
      <c r="CJ311" s="136"/>
      <c r="CK311" s="136"/>
      <c r="CL311" s="136"/>
      <c r="CM311" s="136"/>
      <c r="CN311" s="136"/>
      <c r="CO311" s="136"/>
      <c r="CP311" s="136"/>
      <c r="CQ311" s="136"/>
      <c r="CR311" s="136"/>
      <c r="CS311" s="136"/>
      <c r="CT311" s="136"/>
      <c r="CU311" s="136"/>
      <c r="CV311" s="136"/>
      <c r="CW311" s="136"/>
      <c r="CX311" s="136"/>
      <c r="CY311" s="136"/>
      <c r="CZ311" s="136"/>
      <c r="DA311" s="136"/>
      <c r="DB311" s="136"/>
      <c r="DC311" s="136"/>
      <c r="DD311" s="136"/>
      <c r="DE311" s="136"/>
      <c r="DF311" s="136"/>
      <c r="DG311" s="136"/>
      <c r="DH311" s="136"/>
      <c r="DI311" s="136"/>
      <c r="DJ311" s="136"/>
      <c r="DK311" s="136"/>
      <c r="DL311" s="136"/>
      <c r="DM311" s="136"/>
      <c r="DN311" s="136"/>
      <c r="DO311" s="136"/>
      <c r="DP311" s="136"/>
      <c r="DQ311" s="136"/>
      <c r="DR311" s="136"/>
      <c r="DS311" s="136"/>
      <c r="DT311" s="136"/>
      <c r="DU311" s="136"/>
      <c r="DV311" s="136"/>
      <c r="DW311" s="136"/>
      <c r="DX311" s="136"/>
      <c r="DY311" s="136"/>
      <c r="DZ311" s="136"/>
      <c r="EA311" s="136"/>
      <c r="EB311" s="136"/>
      <c r="EC311" s="136"/>
      <c r="ED311" s="136"/>
      <c r="EE311" s="136"/>
      <c r="EF311" s="136"/>
      <c r="EG311" s="136"/>
      <c r="EH311" s="136"/>
      <c r="EI311" s="136"/>
      <c r="EJ311" s="136"/>
      <c r="EK311" s="136"/>
      <c r="EL311" s="136"/>
      <c r="EM311" s="136"/>
      <c r="EN311" s="136"/>
      <c r="EO311" s="136"/>
      <c r="EP311" s="136"/>
      <c r="EQ311" s="136"/>
      <c r="ER311" s="136"/>
      <c r="ES311" s="136"/>
      <c r="ET311" s="136"/>
      <c r="EU311" s="136"/>
      <c r="EV311" s="136"/>
      <c r="EW311" s="136"/>
      <c r="EX311" s="136"/>
      <c r="EY311" s="136"/>
      <c r="EZ311" s="136"/>
      <c r="FA311" s="136"/>
      <c r="FB311" s="136"/>
      <c r="FC311" s="136"/>
      <c r="FD311" s="136"/>
      <c r="FE311" s="136"/>
      <c r="FF311" s="136"/>
      <c r="FG311" s="136"/>
      <c r="FH311" s="136"/>
      <c r="FI311" s="136"/>
      <c r="FJ311" s="136"/>
      <c r="FK311" s="136"/>
      <c r="FL311" s="136"/>
      <c r="FM311" s="136"/>
      <c r="FN311" s="136"/>
      <c r="FO311" s="136"/>
      <c r="FP311" s="136"/>
      <c r="FQ311" s="136"/>
      <c r="FR311" s="136"/>
      <c r="FS311" s="136"/>
      <c r="FT311" s="136"/>
      <c r="FU311" s="136"/>
      <c r="FV311" s="136"/>
      <c r="FW311" s="136"/>
      <c r="FX311" s="136"/>
      <c r="FY311" s="136"/>
      <c r="FZ311" s="136"/>
      <c r="GA311" s="136"/>
      <c r="GB311" s="136"/>
      <c r="GC311" s="136"/>
      <c r="GD311" s="136"/>
      <c r="GE311" s="136"/>
      <c r="GF311" s="136"/>
      <c r="GG311" s="136"/>
      <c r="GH311" s="136"/>
      <c r="GI311" s="136"/>
      <c r="GJ311" s="136"/>
      <c r="GK311" s="136"/>
      <c r="GL311" s="136"/>
      <c r="GM311" s="136"/>
      <c r="GN311" s="136"/>
      <c r="GO311" s="136"/>
      <c r="GP311" s="136"/>
      <c r="GQ311" s="136"/>
      <c r="GR311" s="136"/>
      <c r="GS311" s="136"/>
      <c r="GT311" s="136"/>
      <c r="GU311" s="136"/>
      <c r="GV311" s="136"/>
      <c r="GW311" s="136"/>
      <c r="GX311" s="136"/>
      <c r="GY311" s="136"/>
      <c r="GZ311" s="136"/>
      <c r="HA311" s="136"/>
      <c r="HB311" s="136"/>
      <c r="HC311" s="136"/>
      <c r="HD311" s="136"/>
      <c r="HE311" s="136"/>
      <c r="HF311" s="136"/>
      <c r="HG311" s="136"/>
      <c r="HH311" s="136"/>
      <c r="HI311" s="136"/>
      <c r="HJ311" s="136"/>
      <c r="HK311" s="136"/>
      <c r="HL311" s="136"/>
      <c r="HM311" s="136"/>
      <c r="HN311" s="136"/>
      <c r="HO311" s="136"/>
      <c r="HP311" s="136"/>
      <c r="HQ311" s="136"/>
      <c r="HR311" s="136"/>
      <c r="HS311" s="136"/>
      <c r="HT311" s="136"/>
      <c r="HU311" s="136"/>
      <c r="HV311" s="136"/>
      <c r="HW311" s="136"/>
      <c r="HX311" s="136"/>
      <c r="HY311" s="136"/>
      <c r="HZ311" s="136"/>
      <c r="IA311" s="136"/>
      <c r="IB311" s="136"/>
      <c r="IC311" s="136"/>
      <c r="ID311" s="136"/>
      <c r="IE311" s="136"/>
      <c r="IF311" s="136"/>
      <c r="IG311" s="136"/>
      <c r="IH311" s="136"/>
      <c r="II311" s="136"/>
      <c r="IJ311" s="136"/>
      <c r="IK311" s="136"/>
      <c r="IL311" s="136"/>
      <c r="IM311" s="136"/>
      <c r="IN311" s="136"/>
      <c r="IO311" s="136"/>
      <c r="IP311" s="136"/>
      <c r="IQ311" s="136"/>
      <c r="IR311" s="136"/>
      <c r="IS311" s="136"/>
      <c r="IT311" s="136"/>
      <c r="IU311" s="136"/>
    </row>
    <row r="312" spans="1:255" ht="64.349999999999994" customHeight="1" x14ac:dyDescent="0.2">
      <c r="A312" s="242" t="str">
        <f>'HECVAT - Full'!A312</f>
        <v>PCID-12</v>
      </c>
      <c r="B312" s="242" t="str">
        <f>VLOOKUP(A312,'HECVAT - Full'!A$24:B$312,2,FALSE)</f>
        <v xml:space="preserve">Include documentation describing the systems' abilities to comply with the PCI DSS and any features or capabilities of the system that must be added or changed in order to operate in compliance with the standards. </v>
      </c>
      <c r="C312" s="243">
        <v>12.8</v>
      </c>
      <c r="D312" s="253" t="s">
        <v>2981</v>
      </c>
      <c r="E312" s="13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6"/>
      <c r="AN312" s="136"/>
      <c r="AO312" s="136"/>
      <c r="AP312" s="136"/>
      <c r="AQ312" s="136"/>
      <c r="AR312" s="136"/>
      <c r="AS312" s="136"/>
      <c r="AT312" s="136"/>
      <c r="AU312" s="136"/>
      <c r="AV312" s="136"/>
      <c r="AW312" s="136"/>
      <c r="AX312" s="136"/>
      <c r="AY312" s="136"/>
      <c r="AZ312" s="136"/>
      <c r="BA312" s="136"/>
      <c r="BB312" s="136"/>
      <c r="BC312" s="136"/>
      <c r="BD312" s="136"/>
      <c r="BE312" s="136"/>
      <c r="BF312" s="136"/>
      <c r="BG312" s="136"/>
      <c r="BH312" s="136"/>
      <c r="BI312" s="136"/>
      <c r="BJ312" s="136"/>
      <c r="BK312" s="136"/>
      <c r="BL312" s="136"/>
      <c r="BM312" s="136"/>
      <c r="BN312" s="136"/>
      <c r="BO312" s="136"/>
      <c r="BP312" s="136"/>
      <c r="BQ312" s="136"/>
      <c r="BR312" s="136"/>
      <c r="BS312" s="136"/>
      <c r="BT312" s="136"/>
      <c r="BU312" s="136"/>
      <c r="BV312" s="136"/>
      <c r="BW312" s="136"/>
      <c r="BX312" s="136"/>
      <c r="BY312" s="136"/>
      <c r="BZ312" s="136"/>
      <c r="CA312" s="136"/>
      <c r="CB312" s="136"/>
      <c r="CC312" s="136"/>
      <c r="CD312" s="136"/>
      <c r="CE312" s="136"/>
      <c r="CF312" s="136"/>
      <c r="CG312" s="136"/>
      <c r="CH312" s="136"/>
      <c r="CI312" s="136"/>
      <c r="CJ312" s="136"/>
      <c r="CK312" s="136"/>
      <c r="CL312" s="136"/>
      <c r="CM312" s="136"/>
      <c r="CN312" s="136"/>
      <c r="CO312" s="136"/>
      <c r="CP312" s="136"/>
      <c r="CQ312" s="136"/>
      <c r="CR312" s="136"/>
      <c r="CS312" s="136"/>
      <c r="CT312" s="136"/>
      <c r="CU312" s="136"/>
      <c r="CV312" s="136"/>
      <c r="CW312" s="136"/>
      <c r="CX312" s="136"/>
      <c r="CY312" s="136"/>
      <c r="CZ312" s="136"/>
      <c r="DA312" s="136"/>
      <c r="DB312" s="136"/>
      <c r="DC312" s="136"/>
      <c r="DD312" s="136"/>
      <c r="DE312" s="136"/>
      <c r="DF312" s="136"/>
      <c r="DG312" s="136"/>
      <c r="DH312" s="136"/>
      <c r="DI312" s="136"/>
      <c r="DJ312" s="136"/>
      <c r="DK312" s="136"/>
      <c r="DL312" s="136"/>
      <c r="DM312" s="136"/>
      <c r="DN312" s="136"/>
      <c r="DO312" s="136"/>
      <c r="DP312" s="136"/>
      <c r="DQ312" s="136"/>
      <c r="DR312" s="136"/>
      <c r="DS312" s="136"/>
      <c r="DT312" s="136"/>
      <c r="DU312" s="136"/>
      <c r="DV312" s="136"/>
      <c r="DW312" s="136"/>
      <c r="DX312" s="136"/>
      <c r="DY312" s="136"/>
      <c r="DZ312" s="136"/>
      <c r="EA312" s="136"/>
      <c r="EB312" s="136"/>
      <c r="EC312" s="136"/>
      <c r="ED312" s="136"/>
      <c r="EE312" s="136"/>
      <c r="EF312" s="136"/>
      <c r="EG312" s="136"/>
      <c r="EH312" s="136"/>
      <c r="EI312" s="136"/>
      <c r="EJ312" s="136"/>
      <c r="EK312" s="136"/>
      <c r="EL312" s="136"/>
      <c r="EM312" s="136"/>
      <c r="EN312" s="136"/>
      <c r="EO312" s="136"/>
      <c r="EP312" s="136"/>
      <c r="EQ312" s="136"/>
      <c r="ER312" s="136"/>
      <c r="ES312" s="136"/>
      <c r="ET312" s="136"/>
      <c r="EU312" s="136"/>
      <c r="EV312" s="136"/>
      <c r="EW312" s="136"/>
      <c r="EX312" s="136"/>
      <c r="EY312" s="136"/>
      <c r="EZ312" s="136"/>
      <c r="FA312" s="136"/>
      <c r="FB312" s="136"/>
      <c r="FC312" s="136"/>
      <c r="FD312" s="136"/>
      <c r="FE312" s="136"/>
      <c r="FF312" s="136"/>
      <c r="FG312" s="136"/>
      <c r="FH312" s="136"/>
      <c r="FI312" s="136"/>
      <c r="FJ312" s="136"/>
      <c r="FK312" s="136"/>
      <c r="FL312" s="136"/>
      <c r="FM312" s="136"/>
      <c r="FN312" s="136"/>
      <c r="FO312" s="136"/>
      <c r="FP312" s="136"/>
      <c r="FQ312" s="136"/>
      <c r="FR312" s="136"/>
      <c r="FS312" s="136"/>
      <c r="FT312" s="136"/>
      <c r="FU312" s="136"/>
      <c r="FV312" s="136"/>
      <c r="FW312" s="136"/>
      <c r="FX312" s="136"/>
      <c r="FY312" s="136"/>
      <c r="FZ312" s="136"/>
      <c r="GA312" s="136"/>
      <c r="GB312" s="136"/>
      <c r="GC312" s="136"/>
      <c r="GD312" s="136"/>
      <c r="GE312" s="136"/>
      <c r="GF312" s="136"/>
      <c r="GG312" s="136"/>
      <c r="GH312" s="136"/>
      <c r="GI312" s="136"/>
      <c r="GJ312" s="136"/>
      <c r="GK312" s="136"/>
      <c r="GL312" s="136"/>
      <c r="GM312" s="136"/>
      <c r="GN312" s="136"/>
      <c r="GO312" s="136"/>
      <c r="GP312" s="136"/>
      <c r="GQ312" s="136"/>
      <c r="GR312" s="136"/>
      <c r="GS312" s="136"/>
      <c r="GT312" s="136"/>
      <c r="GU312" s="136"/>
      <c r="GV312" s="136"/>
      <c r="GW312" s="136"/>
      <c r="GX312" s="136"/>
      <c r="GY312" s="136"/>
      <c r="GZ312" s="136"/>
      <c r="HA312" s="136"/>
      <c r="HB312" s="136"/>
      <c r="HC312" s="136"/>
      <c r="HD312" s="136"/>
      <c r="HE312" s="136"/>
      <c r="HF312" s="136"/>
      <c r="HG312" s="136"/>
      <c r="HH312" s="136"/>
      <c r="HI312" s="136"/>
      <c r="HJ312" s="136"/>
      <c r="HK312" s="136"/>
      <c r="HL312" s="136"/>
      <c r="HM312" s="136"/>
      <c r="HN312" s="136"/>
      <c r="HO312" s="136"/>
      <c r="HP312" s="136"/>
      <c r="HQ312" s="136"/>
      <c r="HR312" s="136"/>
      <c r="HS312" s="136"/>
      <c r="HT312" s="136"/>
      <c r="HU312" s="136"/>
      <c r="HV312" s="136"/>
      <c r="HW312" s="136"/>
      <c r="HX312" s="136"/>
      <c r="HY312" s="136"/>
      <c r="HZ312" s="136"/>
      <c r="IA312" s="136"/>
      <c r="IB312" s="136"/>
      <c r="IC312" s="136"/>
      <c r="ID312" s="136"/>
      <c r="IE312" s="136"/>
      <c r="IF312" s="136"/>
      <c r="IG312" s="136"/>
      <c r="IH312" s="136"/>
      <c r="II312" s="136"/>
      <c r="IJ312" s="136"/>
      <c r="IK312" s="136"/>
      <c r="IL312" s="136"/>
      <c r="IM312" s="136"/>
      <c r="IN312" s="136"/>
      <c r="IO312" s="136"/>
      <c r="IP312" s="136"/>
      <c r="IQ312" s="136"/>
      <c r="IR312" s="136"/>
      <c r="IS312" s="136"/>
      <c r="IT312" s="136"/>
      <c r="IU312" s="136"/>
    </row>
  </sheetData>
  <mergeCells count="28">
    <mergeCell ref="A79:B79"/>
    <mergeCell ref="A2:D2"/>
    <mergeCell ref="A97:B97"/>
    <mergeCell ref="A110:B110"/>
    <mergeCell ref="A126:B126"/>
    <mergeCell ref="A31:B31"/>
    <mergeCell ref="A38:B38"/>
    <mergeCell ref="A46:B46"/>
    <mergeCell ref="A51:B51"/>
    <mergeCell ref="A61:B61"/>
    <mergeCell ref="A1:D1"/>
    <mergeCell ref="A20:B20"/>
    <mergeCell ref="A21:D21"/>
    <mergeCell ref="A22:B22"/>
    <mergeCell ref="A23:D23"/>
    <mergeCell ref="A155:B155"/>
    <mergeCell ref="A158:B158"/>
    <mergeCell ref="A253:B253"/>
    <mergeCell ref="A258:B258"/>
    <mergeCell ref="A268:B268"/>
    <mergeCell ref="A178:B178"/>
    <mergeCell ref="A300:B300"/>
    <mergeCell ref="A192:B192"/>
    <mergeCell ref="A205:B205"/>
    <mergeCell ref="A217:B217"/>
    <mergeCell ref="A223:B223"/>
    <mergeCell ref="A244:B244"/>
    <mergeCell ref="A247:B247"/>
  </mergeCells>
  <conditionalFormatting sqref="A205">
    <cfRule type="expression" dxfId="2467" priority="33">
      <formula>$C$25="No"</formula>
    </cfRule>
  </conditionalFormatting>
  <conditionalFormatting sqref="A268">
    <cfRule type="expression" dxfId="2466" priority="32">
      <formula>$C$24="No"</formula>
    </cfRule>
  </conditionalFormatting>
  <conditionalFormatting sqref="A46">
    <cfRule type="expression" dxfId="2465" priority="31">
      <formula>$C$26="No"</formula>
    </cfRule>
  </conditionalFormatting>
  <conditionalFormatting sqref="A178">
    <cfRule type="expression" dxfId="2464" priority="30">
      <formula>$C$28="No"</formula>
    </cfRule>
  </conditionalFormatting>
  <conditionalFormatting sqref="D90">
    <cfRule type="expression" dxfId="2463" priority="19">
      <formula>$C$89="No"</formula>
    </cfRule>
  </conditionalFormatting>
  <conditionalFormatting sqref="D92:D93">
    <cfRule type="expression" dxfId="2462" priority="29">
      <formula>$C$91="No"</formula>
    </cfRule>
  </conditionalFormatting>
  <conditionalFormatting sqref="A300">
    <cfRule type="expression" dxfId="2461" priority="28">
      <formula>$C$29="No"</formula>
    </cfRule>
  </conditionalFormatting>
  <conditionalFormatting sqref="C293">
    <cfRule type="expression" dxfId="2460" priority="24">
      <formula>$C$292="No"</formula>
    </cfRule>
  </conditionalFormatting>
  <conditionalFormatting sqref="C60:D60">
    <cfRule type="expression" dxfId="2459" priority="27">
      <formula>$C$59="No"</formula>
    </cfRule>
  </conditionalFormatting>
  <conditionalFormatting sqref="A51">
    <cfRule type="expression" dxfId="2458" priority="26">
      <formula>$C$30="No"</formula>
    </cfRule>
  </conditionalFormatting>
  <conditionalFormatting sqref="C112:D112">
    <cfRule type="expression" dxfId="2457" priority="18">
      <formula>$C$111="No"</formula>
    </cfRule>
  </conditionalFormatting>
  <conditionalFormatting sqref="C203:D203">
    <cfRule type="expression" dxfId="2456" priority="17">
      <formula>$C$202="No"</formula>
    </cfRule>
  </conditionalFormatting>
  <conditionalFormatting sqref="A97">
    <cfRule type="expression" dxfId="2455" priority="25">
      <formula>$C$27="No"</formula>
    </cfRule>
  </conditionalFormatting>
  <conditionalFormatting sqref="A61:B61 A79:B79 A97:B97 A110:B110 A126:B126 A158:B158 A178:B178 A192:B192 A205:B205 A223:B223 A244:B244 A247:B247 A253:B253 A268:B268 A300:B300">
    <cfRule type="expression" dxfId="2454" priority="23">
      <formula>$C$30="Yes"</formula>
    </cfRule>
  </conditionalFormatting>
  <conditionalFormatting sqref="A155:B155">
    <cfRule type="expression" dxfId="2453" priority="22">
      <formula>$C$30="Yes"</formula>
    </cfRule>
  </conditionalFormatting>
  <conditionalFormatting sqref="A217:B217">
    <cfRule type="expression" dxfId="2452" priority="21">
      <formula>$C$30="Yes"</formula>
    </cfRule>
  </conditionalFormatting>
  <conditionalFormatting sqref="A258:B258">
    <cfRule type="expression" dxfId="2451" priority="20">
      <formula>$C$30="Yes"</formula>
    </cfRule>
  </conditionalFormatting>
  <conditionalFormatting sqref="C296">
    <cfRule type="expression" dxfId="2450" priority="16">
      <formula>$C$295="No"</formula>
    </cfRule>
  </conditionalFormatting>
  <conditionalFormatting sqref="C90">
    <cfRule type="expression" dxfId="2449" priority="15">
      <formula>$C$89="No"</formula>
    </cfRule>
  </conditionalFormatting>
  <conditionalFormatting sqref="C92:C93">
    <cfRule type="expression" dxfId="2448" priority="14">
      <formula>$C$91="No"</formula>
    </cfRule>
  </conditionalFormatting>
  <conditionalFormatting sqref="D179">
    <cfRule type="expression" dxfId="2447" priority="13">
      <formula>#REF!="No"</formula>
    </cfRule>
  </conditionalFormatting>
  <conditionalFormatting sqref="D190">
    <cfRule type="expression" dxfId="2446" priority="12">
      <formula>#REF!="No"</formula>
    </cfRule>
  </conditionalFormatting>
  <conditionalFormatting sqref="D259">
    <cfRule type="expression" dxfId="2445" priority="11">
      <formula>#REF!="No"</formula>
    </cfRule>
  </conditionalFormatting>
  <conditionalFormatting sqref="D260">
    <cfRule type="expression" dxfId="2444" priority="10">
      <formula>#REF!="No"</formula>
    </cfRule>
  </conditionalFormatting>
  <conditionalFormatting sqref="D262">
    <cfRule type="expression" dxfId="2443" priority="9">
      <formula>#REF!="No"</formula>
    </cfRule>
  </conditionalFormatting>
  <conditionalFormatting sqref="D263">
    <cfRule type="expression" dxfId="2442" priority="8">
      <formula>#REF!="No"</formula>
    </cfRule>
  </conditionalFormatting>
  <conditionalFormatting sqref="D215">
    <cfRule type="expression" dxfId="2441" priority="7">
      <formula>#REF!="No"</formula>
    </cfRule>
  </conditionalFormatting>
  <conditionalFormatting sqref="D216">
    <cfRule type="expression" dxfId="2440" priority="6">
      <formula>#REF!="No"</formula>
    </cfRule>
  </conditionalFormatting>
  <conditionalFormatting sqref="D213">
    <cfRule type="expression" dxfId="2439" priority="5">
      <formula>$C$89="No"</formula>
    </cfRule>
  </conditionalFormatting>
  <conditionalFormatting sqref="C213">
    <cfRule type="expression" dxfId="2438" priority="4">
      <formula>$C$89="No"</formula>
    </cfRule>
  </conditionalFormatting>
  <conditionalFormatting sqref="D184">
    <cfRule type="expression" dxfId="2437" priority="3">
      <formula>#REF!="No"</formula>
    </cfRule>
  </conditionalFormatting>
  <conditionalFormatting sqref="D187">
    <cfRule type="expression" dxfId="2436" priority="2">
      <formula>#REF!="No"</formula>
    </cfRule>
  </conditionalFormatting>
  <conditionalFormatting sqref="D188">
    <cfRule type="expression" dxfId="2435" priority="1">
      <formula>#REF!="No"</formula>
    </cfRule>
  </conditionalFormatting>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70C0"/>
  </sheetPr>
  <dimension ref="A1:H316"/>
  <sheetViews>
    <sheetView topLeftCell="A27" workbookViewId="0">
      <selection activeCell="I49" sqref="I49"/>
    </sheetView>
  </sheetViews>
  <sheetFormatPr defaultColWidth="8.5" defaultRowHeight="15" x14ac:dyDescent="0.2"/>
  <cols>
    <col min="1" max="1" width="14" style="142" customWidth="1"/>
    <col min="2" max="2" width="8.59765625" style="142" customWidth="1"/>
    <col min="3" max="3" width="36.09765625" style="142" customWidth="1"/>
    <col min="4" max="4" width="14.19921875" style="142" customWidth="1"/>
    <col min="5" max="5" width="11.5" style="142" customWidth="1"/>
    <col min="6" max="6" width="8.5" style="142"/>
    <col min="7" max="7" width="13.5" style="142" customWidth="1"/>
    <col min="8" max="8" width="24.19921875" style="142" customWidth="1"/>
    <col min="9" max="16384" width="8.5" style="142"/>
  </cols>
  <sheetData>
    <row r="1" spans="1:8" s="141" customFormat="1" ht="36" customHeight="1" x14ac:dyDescent="0.2">
      <c r="A1" s="347" t="s">
        <v>2991</v>
      </c>
      <c r="B1" s="347"/>
      <c r="C1" s="347"/>
      <c r="D1" s="347"/>
      <c r="E1" s="347"/>
      <c r="F1" s="347"/>
      <c r="G1" s="348"/>
      <c r="H1" s="182" t="str">
        <f>'HECVAT - Full'!E1</f>
        <v>Version 2.11</v>
      </c>
    </row>
    <row r="2" spans="1:8" s="141" customFormat="1" ht="26.1" customHeight="1" x14ac:dyDescent="0.2">
      <c r="A2" s="349"/>
      <c r="B2" s="349"/>
      <c r="C2" s="349"/>
      <c r="D2" s="349"/>
      <c r="E2" s="349"/>
      <c r="F2" s="349"/>
      <c r="G2" s="349"/>
      <c r="H2" s="349"/>
    </row>
    <row r="3" spans="1:8" s="140" customFormat="1" ht="36" customHeight="1" x14ac:dyDescent="0.2">
      <c r="A3" s="135" t="s">
        <v>2617</v>
      </c>
      <c r="B3" s="287" t="str">
        <f>'HECVAT - Full'!C7</f>
        <v>Vendor Name</v>
      </c>
      <c r="C3" s="287"/>
      <c r="D3" s="135" t="s">
        <v>2619</v>
      </c>
      <c r="E3" s="287" t="str">
        <f>'HECVAT - Full'!C8</f>
        <v>Product Name and Version Information</v>
      </c>
      <c r="F3" s="287"/>
      <c r="G3" s="287"/>
      <c r="H3" s="287"/>
    </row>
    <row r="4" spans="1:8" s="141" customFormat="1" ht="48" customHeight="1" x14ac:dyDescent="0.2">
      <c r="A4" s="163" t="s">
        <v>2618</v>
      </c>
      <c r="B4" s="350" t="str">
        <f>'HECVAT - Full'!C9</f>
        <v>Brief Description of the Product</v>
      </c>
      <c r="C4" s="350"/>
      <c r="D4" s="350"/>
      <c r="E4" s="350"/>
      <c r="F4" s="350"/>
      <c r="G4" s="350"/>
      <c r="H4" s="350"/>
    </row>
    <row r="5" spans="1:8" s="141" customFormat="1" ht="36" customHeight="1" x14ac:dyDescent="0.2">
      <c r="A5" s="219"/>
      <c r="B5" s="220"/>
      <c r="C5" s="220"/>
      <c r="D5" s="337" t="s">
        <v>2062</v>
      </c>
      <c r="E5" s="338"/>
      <c r="F5" s="220"/>
      <c r="G5" s="220"/>
      <c r="H5" s="221"/>
    </row>
    <row r="6" spans="1:8" ht="36" customHeight="1" x14ac:dyDescent="0.2">
      <c r="A6" s="222"/>
      <c r="B6" s="223"/>
      <c r="C6" s="223"/>
      <c r="D6" s="144">
        <f>Questions!W23</f>
        <v>0</v>
      </c>
      <c r="E6" s="168" t="str">
        <f>Questions!X23</f>
        <v>F</v>
      </c>
      <c r="F6" s="223"/>
      <c r="G6" s="223"/>
      <c r="H6" s="224"/>
    </row>
    <row r="7" spans="1:8" x14ac:dyDescent="0.2">
      <c r="A7" s="225"/>
      <c r="B7" s="226"/>
      <c r="C7" s="226"/>
      <c r="D7" s="226"/>
      <c r="E7" s="226"/>
      <c r="F7" s="226"/>
      <c r="G7" s="226"/>
      <c r="H7" s="227"/>
    </row>
    <row r="8" spans="1:8" x14ac:dyDescent="0.2">
      <c r="A8" s="225"/>
      <c r="B8" s="226"/>
      <c r="C8" s="226"/>
      <c r="D8" s="226"/>
      <c r="E8" s="226"/>
      <c r="F8" s="226"/>
      <c r="G8" s="226"/>
      <c r="H8" s="227"/>
    </row>
    <row r="9" spans="1:8" x14ac:dyDescent="0.2">
      <c r="A9" s="225"/>
      <c r="B9" s="226"/>
      <c r="C9" s="226"/>
      <c r="D9" s="226"/>
      <c r="E9" s="226"/>
      <c r="F9" s="226"/>
      <c r="G9" s="226"/>
      <c r="H9" s="227"/>
    </row>
    <row r="10" spans="1:8" x14ac:dyDescent="0.2">
      <c r="A10" s="225"/>
      <c r="B10" s="226"/>
      <c r="C10" s="226"/>
      <c r="D10" s="226"/>
      <c r="E10" s="226"/>
      <c r="F10" s="226"/>
      <c r="G10" s="226"/>
      <c r="H10" s="227"/>
    </row>
    <row r="11" spans="1:8" x14ac:dyDescent="0.2">
      <c r="A11" s="225"/>
      <c r="B11" s="226"/>
      <c r="C11" s="226"/>
      <c r="D11" s="226"/>
      <c r="E11" s="226"/>
      <c r="F11" s="226"/>
      <c r="G11" s="226"/>
      <c r="H11" s="227"/>
    </row>
    <row r="12" spans="1:8" x14ac:dyDescent="0.2">
      <c r="A12" s="225"/>
      <c r="B12" s="226"/>
      <c r="C12" s="226"/>
      <c r="D12" s="226"/>
      <c r="E12" s="226"/>
      <c r="F12" s="226"/>
      <c r="G12" s="226"/>
      <c r="H12" s="227"/>
    </row>
    <row r="13" spans="1:8" x14ac:dyDescent="0.2">
      <c r="A13" s="225"/>
      <c r="B13" s="226"/>
      <c r="C13" s="226"/>
      <c r="D13" s="226"/>
      <c r="E13" s="226"/>
      <c r="F13" s="226"/>
      <c r="G13" s="226"/>
      <c r="H13" s="227"/>
    </row>
    <row r="14" spans="1:8" x14ac:dyDescent="0.2">
      <c r="A14" s="225"/>
      <c r="B14" s="226"/>
      <c r="C14" s="226"/>
      <c r="D14" s="226"/>
      <c r="E14" s="226"/>
      <c r="F14" s="226"/>
      <c r="G14" s="226"/>
      <c r="H14" s="227"/>
    </row>
    <row r="15" spans="1:8" x14ac:dyDescent="0.2">
      <c r="A15" s="225"/>
      <c r="B15" s="226"/>
      <c r="C15" s="226"/>
      <c r="D15" s="226"/>
      <c r="E15" s="226"/>
      <c r="F15" s="226"/>
      <c r="G15" s="226"/>
      <c r="H15" s="227"/>
    </row>
    <row r="16" spans="1:8" x14ac:dyDescent="0.2">
      <c r="A16" s="225"/>
      <c r="B16" s="226"/>
      <c r="C16" s="226"/>
      <c r="D16" s="226"/>
      <c r="E16" s="226"/>
      <c r="F16" s="226"/>
      <c r="G16" s="226"/>
      <c r="H16" s="227"/>
    </row>
    <row r="17" spans="1:8" x14ac:dyDescent="0.2">
      <c r="A17" s="225"/>
      <c r="B17" s="226"/>
      <c r="C17" s="226"/>
      <c r="D17" s="226"/>
      <c r="E17" s="226"/>
      <c r="F17" s="226"/>
      <c r="G17" s="226"/>
      <c r="H17" s="227"/>
    </row>
    <row r="18" spans="1:8" x14ac:dyDescent="0.2">
      <c r="A18" s="225"/>
      <c r="B18" s="226"/>
      <c r="C18" s="226"/>
      <c r="D18" s="226"/>
      <c r="E18" s="226"/>
      <c r="F18" s="226"/>
      <c r="G18" s="226"/>
      <c r="H18" s="227"/>
    </row>
    <row r="19" spans="1:8" x14ac:dyDescent="0.2">
      <c r="A19" s="225"/>
      <c r="B19" s="226"/>
      <c r="C19" s="226"/>
      <c r="D19" s="226"/>
      <c r="E19" s="226"/>
      <c r="F19" s="226"/>
      <c r="G19" s="226"/>
      <c r="H19" s="227"/>
    </row>
    <row r="20" spans="1:8" x14ac:dyDescent="0.2">
      <c r="A20" s="225"/>
      <c r="B20" s="226"/>
      <c r="C20" s="226"/>
      <c r="D20" s="226"/>
      <c r="E20" s="226"/>
      <c r="F20" s="226"/>
      <c r="G20" s="226"/>
      <c r="H20" s="227"/>
    </row>
    <row r="21" spans="1:8" x14ac:dyDescent="0.2">
      <c r="A21" s="225"/>
      <c r="B21" s="226"/>
      <c r="C21" s="226"/>
      <c r="D21" s="226"/>
      <c r="E21" s="226"/>
      <c r="F21" s="226"/>
      <c r="G21" s="226"/>
      <c r="H21" s="227"/>
    </row>
    <row r="22" spans="1:8" x14ac:dyDescent="0.2">
      <c r="A22" s="225"/>
      <c r="B22" s="226"/>
      <c r="C22" s="226"/>
      <c r="D22" s="226"/>
      <c r="E22" s="226"/>
      <c r="F22" s="226"/>
      <c r="G22" s="226"/>
      <c r="H22" s="227"/>
    </row>
    <row r="23" spans="1:8" x14ac:dyDescent="0.2">
      <c r="A23" s="225"/>
      <c r="B23" s="226"/>
      <c r="C23" s="226"/>
      <c r="D23" s="226"/>
      <c r="E23" s="226"/>
      <c r="F23" s="226"/>
      <c r="G23" s="226"/>
      <c r="H23" s="227"/>
    </row>
    <row r="24" spans="1:8" x14ac:dyDescent="0.2">
      <c r="A24" s="225"/>
      <c r="B24" s="226"/>
      <c r="C24" s="226"/>
      <c r="D24" s="226"/>
      <c r="E24" s="226"/>
      <c r="F24" s="226"/>
      <c r="G24" s="226"/>
      <c r="H24" s="227"/>
    </row>
    <row r="25" spans="1:8" x14ac:dyDescent="0.2">
      <c r="A25" s="225"/>
      <c r="B25" s="226"/>
      <c r="C25" s="226"/>
      <c r="D25" s="226"/>
      <c r="E25" s="226"/>
      <c r="F25" s="226"/>
      <c r="G25" s="226"/>
      <c r="H25" s="227"/>
    </row>
    <row r="26" spans="1:8" x14ac:dyDescent="0.2">
      <c r="A26" s="225"/>
      <c r="B26" s="226"/>
      <c r="C26" s="226"/>
      <c r="D26" s="226"/>
      <c r="E26" s="226"/>
      <c r="F26" s="226"/>
      <c r="G26" s="226"/>
      <c r="H26" s="227"/>
    </row>
    <row r="27" spans="1:8" x14ac:dyDescent="0.2">
      <c r="A27" s="225"/>
      <c r="B27" s="226"/>
      <c r="C27" s="226"/>
      <c r="D27" s="226"/>
      <c r="E27" s="226"/>
      <c r="F27" s="226"/>
      <c r="G27" s="226"/>
      <c r="H27" s="227"/>
    </row>
    <row r="28" spans="1:8" x14ac:dyDescent="0.2">
      <c r="A28" s="225"/>
      <c r="B28" s="226"/>
      <c r="C28" s="226"/>
      <c r="D28" s="226"/>
      <c r="E28" s="226"/>
      <c r="F28" s="226"/>
      <c r="G28" s="226"/>
      <c r="H28" s="227"/>
    </row>
    <row r="29" spans="1:8" x14ac:dyDescent="0.2">
      <c r="A29" s="225"/>
      <c r="B29" s="226"/>
      <c r="C29" s="226"/>
      <c r="D29" s="226"/>
      <c r="E29" s="226"/>
      <c r="F29" s="226"/>
      <c r="G29" s="226"/>
      <c r="H29" s="227"/>
    </row>
    <row r="30" spans="1:8" x14ac:dyDescent="0.2">
      <c r="A30" s="225"/>
      <c r="B30" s="226"/>
      <c r="C30" s="226"/>
      <c r="D30" s="226"/>
      <c r="E30" s="226"/>
      <c r="F30" s="226"/>
      <c r="G30" s="226"/>
      <c r="H30" s="227"/>
    </row>
    <row r="31" spans="1:8" x14ac:dyDescent="0.2">
      <c r="A31" s="225"/>
      <c r="B31" s="226"/>
      <c r="C31" s="226"/>
      <c r="D31" s="226"/>
      <c r="E31" s="226"/>
      <c r="F31" s="226"/>
      <c r="G31" s="226"/>
      <c r="H31" s="227"/>
    </row>
    <row r="32" spans="1:8" x14ac:dyDescent="0.2">
      <c r="A32" s="225"/>
      <c r="B32" s="226"/>
      <c r="C32" s="226"/>
      <c r="D32" s="226"/>
      <c r="E32" s="226"/>
      <c r="F32" s="226"/>
      <c r="G32" s="226"/>
      <c r="H32" s="227"/>
    </row>
    <row r="33" spans="1:8" x14ac:dyDescent="0.2">
      <c r="A33" s="225"/>
      <c r="B33" s="226"/>
      <c r="C33" s="226"/>
      <c r="D33" s="226"/>
      <c r="E33" s="226"/>
      <c r="F33" s="226"/>
      <c r="G33" s="226"/>
      <c r="H33" s="227"/>
    </row>
    <row r="34" spans="1:8" x14ac:dyDescent="0.2">
      <c r="A34" s="225"/>
      <c r="B34" s="226"/>
      <c r="C34" s="226"/>
      <c r="D34" s="226"/>
      <c r="E34" s="226"/>
      <c r="F34" s="226"/>
      <c r="G34" s="226"/>
      <c r="H34" s="227"/>
    </row>
    <row r="35" spans="1:8" x14ac:dyDescent="0.2">
      <c r="A35" s="225"/>
      <c r="B35" s="226"/>
      <c r="C35" s="226"/>
      <c r="D35" s="226"/>
      <c r="E35" s="226"/>
      <c r="F35" s="226"/>
      <c r="G35" s="226"/>
      <c r="H35" s="227"/>
    </row>
    <row r="36" spans="1:8" x14ac:dyDescent="0.2">
      <c r="A36" s="225"/>
      <c r="B36" s="226"/>
      <c r="C36" s="226"/>
      <c r="D36" s="226"/>
      <c r="E36" s="226"/>
      <c r="F36" s="226"/>
      <c r="G36" s="226"/>
      <c r="H36" s="227"/>
    </row>
    <row r="37" spans="1:8" x14ac:dyDescent="0.2">
      <c r="A37" s="225"/>
      <c r="B37" s="226"/>
      <c r="C37" s="226"/>
      <c r="D37" s="226"/>
      <c r="E37" s="226"/>
      <c r="F37" s="226"/>
      <c r="G37" s="226"/>
      <c r="H37" s="227"/>
    </row>
    <row r="38" spans="1:8" x14ac:dyDescent="0.2">
      <c r="A38" s="225"/>
      <c r="B38" s="226"/>
      <c r="C38" s="226"/>
      <c r="D38" s="226"/>
      <c r="E38" s="226"/>
      <c r="F38" s="226"/>
      <c r="G38" s="226"/>
      <c r="H38" s="227"/>
    </row>
    <row r="39" spans="1:8" x14ac:dyDescent="0.2">
      <c r="A39" s="225"/>
      <c r="B39" s="226"/>
      <c r="C39" s="226"/>
      <c r="D39" s="226"/>
      <c r="E39" s="226"/>
      <c r="F39" s="226"/>
      <c r="G39" s="226"/>
      <c r="H39" s="227"/>
    </row>
    <row r="40" spans="1:8" x14ac:dyDescent="0.2">
      <c r="A40" s="225"/>
      <c r="B40" s="226"/>
      <c r="C40" s="226"/>
      <c r="D40" s="226"/>
      <c r="E40" s="226"/>
      <c r="F40" s="226"/>
      <c r="G40" s="226"/>
      <c r="H40" s="227"/>
    </row>
    <row r="41" spans="1:8" x14ac:dyDescent="0.2">
      <c r="A41" s="225"/>
      <c r="B41" s="226"/>
      <c r="C41" s="226"/>
      <c r="D41" s="226"/>
      <c r="E41" s="226"/>
      <c r="F41" s="226"/>
      <c r="G41" s="226"/>
      <c r="H41" s="227"/>
    </row>
    <row r="42" spans="1:8" x14ac:dyDescent="0.2">
      <c r="A42" s="225"/>
      <c r="B42" s="226"/>
      <c r="C42" s="226"/>
      <c r="D42" s="226"/>
      <c r="E42" s="226"/>
      <c r="F42" s="226"/>
      <c r="G42" s="226"/>
      <c r="H42" s="227"/>
    </row>
    <row r="43" spans="1:8" x14ac:dyDescent="0.2">
      <c r="A43" s="225"/>
      <c r="B43" s="226"/>
      <c r="C43" s="226"/>
      <c r="D43" s="226"/>
      <c r="E43" s="226"/>
      <c r="F43" s="226"/>
      <c r="G43" s="226"/>
      <c r="H43" s="227"/>
    </row>
    <row r="44" spans="1:8" x14ac:dyDescent="0.2">
      <c r="A44" s="225"/>
      <c r="B44" s="226"/>
      <c r="C44" s="226"/>
      <c r="D44" s="226"/>
      <c r="E44" s="226"/>
      <c r="F44" s="226"/>
      <c r="G44" s="226"/>
      <c r="H44" s="227"/>
    </row>
    <row r="45" spans="1:8" x14ac:dyDescent="0.2">
      <c r="A45" s="228"/>
      <c r="B45" s="229"/>
      <c r="C45" s="229"/>
      <c r="D45" s="229"/>
      <c r="E45" s="229"/>
      <c r="F45" s="229"/>
      <c r="G45" s="229"/>
      <c r="H45" s="230"/>
    </row>
    <row r="46" spans="1:8" ht="48" customHeight="1" x14ac:dyDescent="0.2">
      <c r="A46" s="339" t="s">
        <v>2088</v>
      </c>
      <c r="B46" s="340"/>
      <c r="C46" s="340"/>
      <c r="D46" s="340"/>
      <c r="E46" s="340"/>
      <c r="F46" s="340"/>
      <c r="G46" s="340"/>
      <c r="H46" s="341"/>
    </row>
    <row r="47" spans="1:8" s="141" customFormat="1" ht="36" customHeight="1" x14ac:dyDescent="0.2">
      <c r="A47" s="342"/>
      <c r="B47" s="343"/>
      <c r="C47" s="343"/>
      <c r="D47" s="343"/>
      <c r="E47" s="343"/>
      <c r="F47" s="344"/>
      <c r="G47" s="345" t="s">
        <v>2620</v>
      </c>
      <c r="H47" s="346"/>
    </row>
    <row r="48" spans="1:8" s="143" customFormat="1" ht="60" customHeight="1" x14ac:dyDescent="0.2">
      <c r="A48" s="146" t="str">
        <f>'High Risk Non-Compliant'!B4</f>
        <v>ID</v>
      </c>
      <c r="B48" s="352" t="str">
        <f>'High Risk Non-Compliant'!C4</f>
        <v>Question</v>
      </c>
      <c r="C48" s="352"/>
      <c r="D48" s="353" t="str">
        <f>'High Risk Non-Compliant'!D4</f>
        <v>Additional Info</v>
      </c>
      <c r="E48" s="353"/>
      <c r="F48" s="353"/>
      <c r="G48" s="177">
        <f>'Analyst Report'!B10</f>
        <v>0</v>
      </c>
      <c r="H48" s="176" t="e">
        <f>VLOOKUP('Analyst Report'!B10,'Standards Crosswalk'!A315:B321,2)</f>
        <v>#N/A</v>
      </c>
    </row>
    <row r="49" spans="1:8" ht="144" customHeight="1" x14ac:dyDescent="0.2">
      <c r="A49" s="148" t="str">
        <f>'High Risk Non-Compliant'!B5</f>
        <v>DOCU-04</v>
      </c>
      <c r="B49" s="355" t="str">
        <f>'High Risk Non-Compliant'!C5</f>
        <v>Do you conform with a specific industry standard security framework? (e.g. NIST Cybersecurity Framework, ISO 27001, etc.)</v>
      </c>
      <c r="C49" s="355"/>
      <c r="D49" s="354">
        <f>'High Risk Non-Compliant'!D5</f>
        <v>0</v>
      </c>
      <c r="E49" s="354"/>
      <c r="F49" s="354"/>
      <c r="G49" s="147" t="e">
        <f>IF(VLOOKUP(A49,'High Risk Non-Compliant'!B:K,$H$48,FALSE)=0,"N/A",VLOOKUP(A49,'High Risk Non-Compliant'!B:K,$H$48,FALSE))</f>
        <v>#REF!</v>
      </c>
      <c r="H49" s="147" t="e">
        <f>IF(G49="N/A","N/A",VLOOKUP(G49,'Crosswalk Detail'!A:B,2,FALSE))</f>
        <v>#REF!</v>
      </c>
    </row>
    <row r="50" spans="1:8" ht="144" customHeight="1" x14ac:dyDescent="0.2">
      <c r="A50" s="148" t="str">
        <f>'High Risk Non-Compliant'!B6</f>
        <v>DOCU-06</v>
      </c>
      <c r="B50" s="355" t="str">
        <f>'High Risk Non-Compliant'!C6</f>
        <v>Does your organization have a data privacy policy?</v>
      </c>
      <c r="C50" s="355"/>
      <c r="D50" s="354">
        <f>'High Risk Non-Compliant'!D6</f>
        <v>0</v>
      </c>
      <c r="E50" s="354"/>
      <c r="F50" s="354"/>
      <c r="G50" s="147" t="e">
        <f>IF(VLOOKUP(A50,'High Risk Non-Compliant'!B:K,$H$48,FALSE)=0,"N/A",VLOOKUP(A50,'High Risk Non-Compliant'!B:K,$H$48,FALSE))</f>
        <v>#REF!</v>
      </c>
      <c r="H50" s="147" t="e">
        <f>IF(G50="N/A","N/A",VLOOKUP(G50,'Crosswalk Detail'!A:B,2,FALSE))</f>
        <v>#REF!</v>
      </c>
    </row>
    <row r="51" spans="1:8" ht="144" customHeight="1" x14ac:dyDescent="0.2">
      <c r="A51" s="148" t="str">
        <f>'High Risk Non-Compliant'!B7</f>
        <v>THRD-01</v>
      </c>
      <c r="B51" s="355" t="str">
        <f>'High Risk Non-Compliant'!C7</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C51" s="355"/>
      <c r="D51" s="354">
        <f>'High Risk Non-Compliant'!D7</f>
        <v>0</v>
      </c>
      <c r="E51" s="354"/>
      <c r="F51" s="354"/>
      <c r="G51" s="147" t="e">
        <f>IF(VLOOKUP(A51,'High Risk Non-Compliant'!B:K,$H$48,FALSE)=0,"N/A",VLOOKUP(A51,'High Risk Non-Compliant'!B:K,$H$48,FALSE))</f>
        <v>#REF!</v>
      </c>
      <c r="H51" s="147" t="e">
        <f>IF(G51="N/A","N/A",VLOOKUP(G51,'Crosswalk Detail'!A:B,2,FALSE))</f>
        <v>#REF!</v>
      </c>
    </row>
    <row r="52" spans="1:8" ht="144" customHeight="1" x14ac:dyDescent="0.2">
      <c r="A52" s="148" t="str">
        <f>'High Risk Non-Compliant'!B8</f>
        <v>THRD-02</v>
      </c>
      <c r="B52" s="355" t="str">
        <f>'High Risk Non-Compliant'!C8</f>
        <v>Provide a brief description for why each of these third parties will have access to institution data.</v>
      </c>
      <c r="C52" s="355"/>
      <c r="D52" s="354">
        <f>'High Risk Non-Compliant'!D8</f>
        <v>0</v>
      </c>
      <c r="E52" s="354"/>
      <c r="F52" s="354"/>
      <c r="G52" s="147" t="e">
        <f>IF(VLOOKUP(A52,'High Risk Non-Compliant'!B:K,$H$48,FALSE)=0,"N/A",VLOOKUP(A52,'High Risk Non-Compliant'!B:K,$H$48,FALSE))</f>
        <v>#REF!</v>
      </c>
      <c r="H52" s="147" t="e">
        <f>IF(G52="N/A","N/A",VLOOKUP(G52,'Crosswalk Detail'!A:B,2,FALSE))</f>
        <v>#REF!</v>
      </c>
    </row>
    <row r="53" spans="1:8" ht="144" customHeight="1" x14ac:dyDescent="0.2">
      <c r="A53" s="148" t="str">
        <f>'High Risk Non-Compliant'!B9</f>
        <v>THRD-03</v>
      </c>
      <c r="B53" s="355" t="str">
        <f>'High Risk Non-Compliant'!C9</f>
        <v>What legal agreements (i.e. contracts) do you have in place with these third parties that address liability in the event of a data breach?</v>
      </c>
      <c r="C53" s="355"/>
      <c r="D53" s="354">
        <f>'High Risk Non-Compliant'!D9</f>
        <v>0</v>
      </c>
      <c r="E53" s="354"/>
      <c r="F53" s="354"/>
      <c r="G53" s="147" t="e">
        <f>IF(VLOOKUP(A53,'High Risk Non-Compliant'!B:K,$H$48,FALSE)=0,"N/A",VLOOKUP(A53,'High Risk Non-Compliant'!B:K,$H$48,FALSE))</f>
        <v>#REF!</v>
      </c>
      <c r="H53" s="147" t="e">
        <f>IF(G53="N/A","N/A",VLOOKUP(G53,'Crosswalk Detail'!A:B,2,FALSE))</f>
        <v>#REF!</v>
      </c>
    </row>
    <row r="54" spans="1:8" ht="144" customHeight="1" x14ac:dyDescent="0.2">
      <c r="A54" s="148" t="str">
        <f>'High Risk Non-Compliant'!B10</f>
        <v>THRD-04</v>
      </c>
      <c r="B54" s="356" t="str">
        <f>'High Risk Non-Compliant'!C10</f>
        <v>Describe or provide references to your third party management strategy or provide additional information that may help analysts better understand your environment and how it relates to third-party solutions.</v>
      </c>
      <c r="C54" s="356"/>
      <c r="D54" s="354">
        <f>'High Risk Non-Compliant'!D10</f>
        <v>0</v>
      </c>
      <c r="E54" s="354"/>
      <c r="F54" s="354"/>
      <c r="G54" s="147" t="e">
        <f>IF(VLOOKUP(A54,'High Risk Non-Compliant'!B:K,$H$48,FALSE)=0,"N/A",VLOOKUP(A54,'High Risk Non-Compliant'!B:K,$H$48,FALSE))</f>
        <v>#REF!</v>
      </c>
      <c r="H54" s="147" t="e">
        <f>IF(G54="N/A","N/A",VLOOKUP(G54,'Crosswalk Detail'!A:B,2,FALSE))</f>
        <v>#REF!</v>
      </c>
    </row>
    <row r="55" spans="1:8" ht="144" customHeight="1" x14ac:dyDescent="0.2">
      <c r="A55" s="148" t="str">
        <f>'High Risk Non-Compliant'!B11</f>
        <v>CONS-03</v>
      </c>
      <c r="B55" s="355" t="str">
        <f>'High Risk Non-Compliant'!C11</f>
        <v>Will the consultant require access to hardware in the Institution's data centers?</v>
      </c>
      <c r="C55" s="355"/>
      <c r="D55" s="354">
        <f>'High Risk Non-Compliant'!D11</f>
        <v>0</v>
      </c>
      <c r="E55" s="354"/>
      <c r="F55" s="354"/>
      <c r="G55" s="147" t="e">
        <f>IF(VLOOKUP(A55,'High Risk Non-Compliant'!B:K,$H$48,FALSE)=0,"N/A",VLOOKUP(A55,'High Risk Non-Compliant'!B:K,$H$48,FALSE))</f>
        <v>#REF!</v>
      </c>
      <c r="H55" s="147" t="e">
        <f>IF(G55="N/A","N/A",VLOOKUP(G55,'Crosswalk Detail'!A:B,2,FALSE))</f>
        <v>#REF!</v>
      </c>
    </row>
    <row r="56" spans="1:8" ht="144" customHeight="1" x14ac:dyDescent="0.2">
      <c r="A56" s="148" t="str">
        <f>'High Risk Non-Compliant'!B12</f>
        <v>CONS-06</v>
      </c>
      <c r="B56" s="355" t="str">
        <f>'High Risk Non-Compliant'!C12</f>
        <v>Will any data be transferred to the consultant's possession?</v>
      </c>
      <c r="C56" s="355"/>
      <c r="D56" s="354">
        <f>'High Risk Non-Compliant'!D12</f>
        <v>0</v>
      </c>
      <c r="E56" s="354"/>
      <c r="F56" s="354"/>
      <c r="G56" s="147" t="e">
        <f>IF(VLOOKUP(A56,'High Risk Non-Compliant'!B:K,$H$48,FALSE)=0,"N/A",VLOOKUP(A56,'High Risk Non-Compliant'!B:K,$H$48,FALSE))</f>
        <v>#REF!</v>
      </c>
      <c r="H56" s="147" t="e">
        <f>IF(G56="N/A","N/A",VLOOKUP(G56,'Crosswalk Detail'!A:B,2,FALSE))</f>
        <v>#REF!</v>
      </c>
    </row>
    <row r="57" spans="1:8" ht="144" customHeight="1" x14ac:dyDescent="0.2">
      <c r="A57" s="148" t="str">
        <f>'High Risk Non-Compliant'!B13</f>
        <v>CONS-08</v>
      </c>
      <c r="B57" s="355" t="str">
        <f>'High Risk Non-Compliant'!C13</f>
        <v>Will the consultant need remote access to the Institution's network or systems?</v>
      </c>
      <c r="C57" s="355"/>
      <c r="D57" s="354">
        <f>'High Risk Non-Compliant'!D13</f>
        <v>0</v>
      </c>
      <c r="E57" s="354"/>
      <c r="F57" s="354"/>
      <c r="G57" s="147" t="e">
        <f>IF(VLOOKUP(A57,'High Risk Non-Compliant'!B:K,$H$48,FALSE)=0,"N/A",VLOOKUP(A57,'High Risk Non-Compliant'!B:K,$H$48,FALSE))</f>
        <v>#REF!</v>
      </c>
      <c r="H57" s="147" t="e">
        <f>IF(G57="N/A","N/A",VLOOKUP(G57,'Crosswalk Detail'!A:B,2,FALSE))</f>
        <v>#REF!</v>
      </c>
    </row>
    <row r="58" spans="1:8" ht="144" customHeight="1" x14ac:dyDescent="0.2">
      <c r="A58" s="148" t="str">
        <f>'High Risk Non-Compliant'!B14</f>
        <v>APPL-01</v>
      </c>
      <c r="B58" s="355" t="str">
        <f>'High Risk Non-Compliant'!C14</f>
        <v>Do you support role-based access control (RBAC) for end-users?</v>
      </c>
      <c r="C58" s="355"/>
      <c r="D58" s="354">
        <f>'High Risk Non-Compliant'!D14</f>
        <v>0</v>
      </c>
      <c r="E58" s="354"/>
      <c r="F58" s="354"/>
      <c r="G58" s="147" t="e">
        <f>IF(VLOOKUP(A58,'High Risk Non-Compliant'!B:K,$H$48,FALSE)=0,"N/A",VLOOKUP(A58,'High Risk Non-Compliant'!B:K,$H$48,FALSE))</f>
        <v>#REF!</v>
      </c>
      <c r="H58" s="147" t="e">
        <f>IF(G58="N/A","N/A",VLOOKUP(G58,'Crosswalk Detail'!A:B,2,FALSE))</f>
        <v>#REF!</v>
      </c>
    </row>
    <row r="59" spans="1:8" ht="144" customHeight="1" x14ac:dyDescent="0.2">
      <c r="A59" s="148" t="str">
        <f>'High Risk Non-Compliant'!B15</f>
        <v>APPL-02</v>
      </c>
      <c r="B59" s="355" t="str">
        <f>'High Risk Non-Compliant'!C15</f>
        <v>Do you support role-based access control (RBAC) for system administrators?</v>
      </c>
      <c r="C59" s="355"/>
      <c r="D59" s="354">
        <f>'High Risk Non-Compliant'!D15</f>
        <v>0</v>
      </c>
      <c r="E59" s="354"/>
      <c r="F59" s="354"/>
      <c r="G59" s="147" t="e">
        <f>IF(VLOOKUP(A59,'High Risk Non-Compliant'!B:K,$H$48,FALSE)=0,"N/A",VLOOKUP(A59,'High Risk Non-Compliant'!B:K,$H$48,FALSE))</f>
        <v>#REF!</v>
      </c>
      <c r="H59" s="147" t="e">
        <f>IF(G59="N/A","N/A",VLOOKUP(G59,'Crosswalk Detail'!A:B,2,FALSE))</f>
        <v>#REF!</v>
      </c>
    </row>
    <row r="60" spans="1:8" ht="144" customHeight="1" x14ac:dyDescent="0.2">
      <c r="A60" s="148" t="str">
        <f>'High Risk Non-Compliant'!B16</f>
        <v>APPL-06</v>
      </c>
      <c r="B60" s="355" t="str">
        <f>'High Risk Non-Compliant'!C16</f>
        <v xml:space="preserve">Do you employ a single-tenant environment? </v>
      </c>
      <c r="C60" s="355"/>
      <c r="D60" s="354">
        <f>'High Risk Non-Compliant'!D16</f>
        <v>0</v>
      </c>
      <c r="E60" s="354"/>
      <c r="F60" s="354"/>
      <c r="G60" s="147" t="e">
        <f>IF(VLOOKUP(A60,'High Risk Non-Compliant'!B:K,$H$48,FALSE)=0,"N/A",VLOOKUP(A60,'High Risk Non-Compliant'!B:K,$H$48,FALSE))</f>
        <v>#REF!</v>
      </c>
      <c r="H60" s="147" t="e">
        <f>IF(G60="N/A","N/A",VLOOKUP(G60,'Crosswalk Detail'!A:B,2,FALSE))</f>
        <v>#REF!</v>
      </c>
    </row>
    <row r="61" spans="1:8" ht="144" customHeight="1" x14ac:dyDescent="0.2">
      <c r="A61" s="148" t="str">
        <f>'High Risk Non-Compliant'!B17</f>
        <v>APPL-08</v>
      </c>
      <c r="B61" s="355" t="str">
        <f>'High Risk Non-Compliant'!C17</f>
        <v>Have you or any third party you contract with that may have access or allow access to the institution's data experienced a breach?</v>
      </c>
      <c r="C61" s="355"/>
      <c r="D61" s="354">
        <f>'High Risk Non-Compliant'!D17</f>
        <v>0</v>
      </c>
      <c r="E61" s="354"/>
      <c r="F61" s="354"/>
      <c r="G61" s="147" t="e">
        <f>IF(VLOOKUP(A61,'High Risk Non-Compliant'!B:K,$H$48,FALSE)=0,"N/A",VLOOKUP(A61,'High Risk Non-Compliant'!B:K,$H$48,FALSE))</f>
        <v>#REF!</v>
      </c>
      <c r="H61" s="147" t="e">
        <f>IF(G61="N/A","N/A",VLOOKUP(G61,'Crosswalk Detail'!A:B,2,FALSE))</f>
        <v>#REF!</v>
      </c>
    </row>
    <row r="62" spans="1:8" ht="144" customHeight="1" x14ac:dyDescent="0.2">
      <c r="A62" s="148" t="str">
        <f>'High Risk Non-Compliant'!B18</f>
        <v>APPL-10</v>
      </c>
      <c r="B62" s="355" t="str">
        <f>'High Risk Non-Compliant'!C18</f>
        <v xml:space="preserve">Describe or provide a reference to the overall system and/or application architecture(s), including appropriate diagrams. Include a full description of the data communications architecture for all components of the system. </v>
      </c>
      <c r="C62" s="355"/>
      <c r="D62" s="354">
        <f>'High Risk Non-Compliant'!D18</f>
        <v>0</v>
      </c>
      <c r="E62" s="354"/>
      <c r="F62" s="354"/>
      <c r="G62" s="147" t="e">
        <f>IF(VLOOKUP(A62,'High Risk Non-Compliant'!B:K,$H$48,FALSE)=0,"N/A",VLOOKUP(A62,'High Risk Non-Compliant'!B:K,$H$48,FALSE))</f>
        <v>#REF!</v>
      </c>
      <c r="H62" s="147" t="e">
        <f>IF(G62="N/A","N/A",VLOOKUP(G62,'Crosswalk Detail'!A:B,2,FALSE))</f>
        <v>#REF!</v>
      </c>
    </row>
    <row r="63" spans="1:8" ht="144" customHeight="1" x14ac:dyDescent="0.2">
      <c r="A63" s="148" t="str">
        <f>'High Risk Non-Compliant'!B19</f>
        <v>APPL-11</v>
      </c>
      <c r="B63" s="355" t="str">
        <f>'High Risk Non-Compliant'!C19</f>
        <v>Are databases used in the system segregated from front-end systems? (e.g. web and application servers)</v>
      </c>
      <c r="C63" s="355"/>
      <c r="D63" s="354">
        <f>'High Risk Non-Compliant'!D19</f>
        <v>0</v>
      </c>
      <c r="E63" s="354"/>
      <c r="F63" s="354"/>
      <c r="G63" s="147" t="e">
        <f>IF(VLOOKUP(A63,'High Risk Non-Compliant'!B:K,$H$48,FALSE)=0,"N/A",VLOOKUP(A63,'High Risk Non-Compliant'!B:K,$H$48,FALSE))</f>
        <v>#REF!</v>
      </c>
      <c r="H63" s="147" t="e">
        <f>IF(G63="N/A","N/A",VLOOKUP(G63,'Crosswalk Detail'!A:B,2,FALSE))</f>
        <v>#REF!</v>
      </c>
    </row>
    <row r="64" spans="1:8" ht="144" customHeight="1" x14ac:dyDescent="0.2">
      <c r="A64" s="148" t="str">
        <f>'High Risk Non-Compliant'!B20</f>
        <v>APPL-14</v>
      </c>
      <c r="B64" s="355" t="str">
        <f>'High Risk Non-Compliant'!C20</f>
        <v xml:space="preserve">Can your system take advantage of mobile and/or GPS enabled mobile devices?  </v>
      </c>
      <c r="C64" s="355"/>
      <c r="D64" s="354">
        <f>'High Risk Non-Compliant'!D20</f>
        <v>0</v>
      </c>
      <c r="E64" s="354"/>
      <c r="F64" s="354"/>
      <c r="G64" s="147" t="e">
        <f>IF(VLOOKUP(A64,'High Risk Non-Compliant'!B:K,$H$48,FALSE)=0,"N/A",VLOOKUP(A64,'High Risk Non-Compliant'!B:K,$H$48,FALSE))</f>
        <v>#REF!</v>
      </c>
      <c r="H64" s="147" t="e">
        <f>IF(G64="N/A","N/A",VLOOKUP(G64,'Crosswalk Detail'!A:B,2,FALSE))</f>
        <v>#REF!</v>
      </c>
    </row>
    <row r="65" spans="1:8" ht="144" customHeight="1" x14ac:dyDescent="0.2">
      <c r="A65" s="148" t="str">
        <f>'High Risk Non-Compliant'!B21</f>
        <v>APPL-15</v>
      </c>
      <c r="B65" s="355" t="str">
        <f>'High Risk Non-Compliant'!C21</f>
        <v>Describe or provide a reference to the facilities available in the system to provide separation of duties between security administration and system administration functions.</v>
      </c>
      <c r="C65" s="355"/>
      <c r="D65" s="354">
        <f>'High Risk Non-Compliant'!D21</f>
        <v>0</v>
      </c>
      <c r="E65" s="354"/>
      <c r="F65" s="354"/>
      <c r="G65" s="147" t="e">
        <f>IF(VLOOKUP(A65,'High Risk Non-Compliant'!B:K,$H$48,FALSE)=0,"N/A",VLOOKUP(A65,'High Risk Non-Compliant'!B:K,$H$48,FALSE))</f>
        <v>#REF!</v>
      </c>
      <c r="H65" s="147" t="e">
        <f>IF(G65="N/A","N/A",VLOOKUP(G65,'Crosswalk Detail'!A:B,2,FALSE))</f>
        <v>#REF!</v>
      </c>
    </row>
    <row r="66" spans="1:8" ht="144" customHeight="1" x14ac:dyDescent="0.2">
      <c r="A66" s="148" t="str">
        <f>'High Risk Non-Compliant'!B22</f>
        <v>APPL-16</v>
      </c>
      <c r="B66" s="355" t="str">
        <f>'High Risk Non-Compliant'!C22</f>
        <v>Describe or provide a reference that details how administrator access is handled (e.g. provisioning, principle of least privilege, deprovisioning, etc.)</v>
      </c>
      <c r="C66" s="355"/>
      <c r="D66" s="354">
        <f>'High Risk Non-Compliant'!D22</f>
        <v>0</v>
      </c>
      <c r="E66" s="354"/>
      <c r="F66" s="354"/>
      <c r="G66" s="147" t="e">
        <f>IF(VLOOKUP(A66,'High Risk Non-Compliant'!B:K,$H$48,FALSE)=0,"N/A",VLOOKUP(A66,'High Risk Non-Compliant'!B:K,$H$48,FALSE))</f>
        <v>#REF!</v>
      </c>
      <c r="H66" s="147" t="e">
        <f>IF(G66="N/A","N/A",VLOOKUP(G66,'Crosswalk Detail'!A:B,2,FALSE))</f>
        <v>#REF!</v>
      </c>
    </row>
    <row r="67" spans="1:8" ht="144" customHeight="1" x14ac:dyDescent="0.2">
      <c r="A67" s="148" t="str">
        <f>'High Risk Non-Compliant'!B23</f>
        <v>AAAI-01</v>
      </c>
      <c r="B67" s="355" t="str">
        <f>'High Risk Non-Compliant'!C23</f>
        <v>Can you enforce password/passphrase aging requirements?</v>
      </c>
      <c r="C67" s="355"/>
      <c r="D67" s="354">
        <f>'High Risk Non-Compliant'!D23</f>
        <v>0</v>
      </c>
      <c r="E67" s="354"/>
      <c r="F67" s="354"/>
      <c r="G67" s="147" t="e">
        <f>IF(VLOOKUP(A67,'High Risk Non-Compliant'!B:K,$H$48,FALSE)=0,"N/A",VLOOKUP(A67,'High Risk Non-Compliant'!B:K,$H$48,FALSE))</f>
        <v>#REF!</v>
      </c>
      <c r="H67" s="147" t="e">
        <f>IF(G67="N/A","N/A",VLOOKUP(G67,'Crosswalk Detail'!A:B,2,FALSE))</f>
        <v>#REF!</v>
      </c>
    </row>
    <row r="68" spans="1:8" ht="144" customHeight="1" x14ac:dyDescent="0.2">
      <c r="A68" s="148" t="str">
        <f>'High Risk Non-Compliant'!B24</f>
        <v>AAAI-02</v>
      </c>
      <c r="B68" s="355" t="str">
        <f>'High Risk Non-Compliant'!C24</f>
        <v>Can you enforce password/passphrase complexity requirements [provided by the institution]?</v>
      </c>
      <c r="C68" s="355"/>
      <c r="D68" s="354">
        <f>'High Risk Non-Compliant'!D24</f>
        <v>0</v>
      </c>
      <c r="E68" s="354"/>
      <c r="F68" s="354"/>
      <c r="G68" s="147" t="e">
        <f>IF(VLOOKUP(A68,'High Risk Non-Compliant'!B:K,$H$48,FALSE)=0,"N/A",VLOOKUP(A68,'High Risk Non-Compliant'!B:K,$H$48,FALSE))</f>
        <v>#REF!</v>
      </c>
      <c r="H68" s="147" t="e">
        <f>IF(G68="N/A","N/A",VLOOKUP(G68,'Crosswalk Detail'!A:B,2,FALSE))</f>
        <v>#REF!</v>
      </c>
    </row>
    <row r="69" spans="1:8" ht="144" customHeight="1" x14ac:dyDescent="0.2">
      <c r="A69" s="148" t="str">
        <f>'High Risk Non-Compliant'!B25</f>
        <v>AAAI-03</v>
      </c>
      <c r="B69" s="355" t="str">
        <f>'High Risk Non-Compliant'!C25</f>
        <v>Does the system have password complexity or length limitations and/or restrictions?</v>
      </c>
      <c r="C69" s="355"/>
      <c r="D69" s="354">
        <f>'High Risk Non-Compliant'!D25</f>
        <v>0</v>
      </c>
      <c r="E69" s="354"/>
      <c r="F69" s="354"/>
      <c r="G69" s="147" t="e">
        <f>IF(VLOOKUP(A69,'High Risk Non-Compliant'!B:K,$H$48,FALSE)=0,"N/A",VLOOKUP(A69,'High Risk Non-Compliant'!B:K,$H$48,FALSE))</f>
        <v>#REF!</v>
      </c>
      <c r="H69" s="147" t="e">
        <f>IF(G69="N/A","N/A",VLOOKUP(G69,'Crosswalk Detail'!A:B,2,FALSE))</f>
        <v>#REF!</v>
      </c>
    </row>
    <row r="70" spans="1:8" ht="144" customHeight="1" x14ac:dyDescent="0.2">
      <c r="A70" s="148" t="str">
        <f>'High Risk Non-Compliant'!B26</f>
        <v>AAAI-05</v>
      </c>
      <c r="B70" s="355" t="str">
        <f>'High Risk Non-Compliant'!C26</f>
        <v>Does your web-based interface support authentication, including standards-based single-sign-on? (e.g. InCommon)</v>
      </c>
      <c r="C70" s="355"/>
      <c r="D70" s="354">
        <f>'High Risk Non-Compliant'!D26</f>
        <v>0</v>
      </c>
      <c r="E70" s="354"/>
      <c r="F70" s="354"/>
      <c r="G70" s="147" t="e">
        <f>IF(VLOOKUP(A70,'High Risk Non-Compliant'!B:K,$H$48,FALSE)=0,"N/A",VLOOKUP(A70,'High Risk Non-Compliant'!B:K,$H$48,FALSE))</f>
        <v>#REF!</v>
      </c>
      <c r="H70" s="147" t="e">
        <f>IF(G70="N/A","N/A",VLOOKUP(G70,'Crosswalk Detail'!A:B,2,FALSE))</f>
        <v>#REF!</v>
      </c>
    </row>
    <row r="71" spans="1:8" ht="144" customHeight="1" x14ac:dyDescent="0.2">
      <c r="A71" s="148" t="str">
        <f>'High Risk Non-Compliant'!B27</f>
        <v>AAAI-06</v>
      </c>
      <c r="B71" s="355" t="str">
        <f>'High Risk Non-Compliant'!C27</f>
        <v>Are there any passwords/passphrases hard coded into your systems or products?</v>
      </c>
      <c r="C71" s="355"/>
      <c r="D71" s="354">
        <f>'High Risk Non-Compliant'!D27</f>
        <v>0</v>
      </c>
      <c r="E71" s="354"/>
      <c r="F71" s="354"/>
      <c r="G71" s="147" t="e">
        <f>IF(VLOOKUP(A71,'High Risk Non-Compliant'!B:K,$H$48,FALSE)=0,"N/A",VLOOKUP(A71,'High Risk Non-Compliant'!B:K,$H$48,FALSE))</f>
        <v>#REF!</v>
      </c>
      <c r="H71" s="147" t="e">
        <f>IF(G71="N/A","N/A",VLOOKUP(G71,'Crosswalk Detail'!A:B,2,FALSE))</f>
        <v>#REF!</v>
      </c>
    </row>
    <row r="72" spans="1:8" ht="144" customHeight="1" x14ac:dyDescent="0.2">
      <c r="A72" s="148" t="str">
        <f>'High Risk Non-Compliant'!B28</f>
        <v>AAAI-07</v>
      </c>
      <c r="B72" s="355" t="str">
        <f>'High Risk Non-Compliant'!C28</f>
        <v>Are user account passwords/passphrases visible in administration modules?</v>
      </c>
      <c r="C72" s="355"/>
      <c r="D72" s="354">
        <f>'High Risk Non-Compliant'!D28</f>
        <v>0</v>
      </c>
      <c r="E72" s="354"/>
      <c r="F72" s="354"/>
      <c r="G72" s="147" t="e">
        <f>IF(VLOOKUP(A72,'High Risk Non-Compliant'!B:K,$H$48,FALSE)=0,"N/A",VLOOKUP(A72,'High Risk Non-Compliant'!B:K,$H$48,FALSE))</f>
        <v>#REF!</v>
      </c>
      <c r="H72" s="147" t="e">
        <f>IF(G72="N/A","N/A",VLOOKUP(G72,'Crosswalk Detail'!A:B,2,FALSE))</f>
        <v>#REF!</v>
      </c>
    </row>
    <row r="73" spans="1:8" ht="144" customHeight="1" x14ac:dyDescent="0.2">
      <c r="A73" s="148" t="str">
        <f>'High Risk Non-Compliant'!B29</f>
        <v>AAAI-08</v>
      </c>
      <c r="B73" s="355" t="str">
        <f>'High Risk Non-Compliant'!C29</f>
        <v>Are user account passwords/passphrases stored encrypted?</v>
      </c>
      <c r="C73" s="355"/>
      <c r="D73" s="354">
        <f>'High Risk Non-Compliant'!D29</f>
        <v>0</v>
      </c>
      <c r="E73" s="354"/>
      <c r="F73" s="354"/>
      <c r="G73" s="147" t="e">
        <f>IF(VLOOKUP(A73,'High Risk Non-Compliant'!B:K,$H$48,FALSE)=0,"N/A",VLOOKUP(A73,'High Risk Non-Compliant'!B:K,$H$48,FALSE))</f>
        <v>#REF!</v>
      </c>
      <c r="H73" s="147" t="e">
        <f>IF(G73="N/A","N/A",VLOOKUP(G73,'Crosswalk Detail'!A:B,2,FALSE))</f>
        <v>#REF!</v>
      </c>
    </row>
    <row r="74" spans="1:8" ht="144" customHeight="1" x14ac:dyDescent="0.2">
      <c r="A74" s="148" t="str">
        <f>'High Risk Non-Compliant'!B30</f>
        <v>AAAI-11</v>
      </c>
      <c r="B74" s="355" t="str">
        <f>'High Risk Non-Compliant'!C30</f>
        <v>Will any external authentication or authorization system be utilized by an application with access to the institution's data?</v>
      </c>
      <c r="C74" s="355"/>
      <c r="D74" s="354">
        <f>'High Risk Non-Compliant'!D30</f>
        <v>0</v>
      </c>
      <c r="E74" s="354"/>
      <c r="F74" s="354"/>
      <c r="G74" s="147" t="e">
        <f>IF(VLOOKUP(A74,'High Risk Non-Compliant'!B:K,$H$48,FALSE)=0,"N/A",VLOOKUP(A74,'High Risk Non-Compliant'!B:K,$H$48,FALSE))</f>
        <v>#REF!</v>
      </c>
      <c r="H74" s="147" t="e">
        <f>IF(G74="N/A","N/A",VLOOKUP(G74,'Crosswalk Detail'!A:B,2,FALSE))</f>
        <v>#REF!</v>
      </c>
    </row>
    <row r="75" spans="1:8" ht="144" customHeight="1" x14ac:dyDescent="0.2">
      <c r="A75" s="148" t="str">
        <f>'High Risk Non-Compliant'!B31</f>
        <v>AAAI-13</v>
      </c>
      <c r="B75" s="355" t="str">
        <f>'High Risk Non-Compliant'!C31</f>
        <v>Does the system operate in a mixed authentication mode (i.e. external and local authentication)?</v>
      </c>
      <c r="C75" s="355"/>
      <c r="D75" s="354">
        <f>'High Risk Non-Compliant'!D31</f>
        <v>0</v>
      </c>
      <c r="E75" s="354"/>
      <c r="F75" s="354"/>
      <c r="G75" s="147" t="e">
        <f>IF(VLOOKUP(A75,'High Risk Non-Compliant'!B:K,$H$48,FALSE)=0,"N/A",VLOOKUP(A75,'High Risk Non-Compliant'!B:K,$H$48,FALSE))</f>
        <v>#REF!</v>
      </c>
      <c r="H75" s="147" t="e">
        <f>IF(G75="N/A","N/A",VLOOKUP(G75,'Crosswalk Detail'!A:B,2,FALSE))</f>
        <v>#REF!</v>
      </c>
    </row>
    <row r="76" spans="1:8" ht="144" customHeight="1" x14ac:dyDescent="0.2">
      <c r="A76" s="148" t="str">
        <f>'High Risk Non-Compliant'!B32</f>
        <v>AAAI-14</v>
      </c>
      <c r="B76" s="355" t="str">
        <f>'High Risk Non-Compliant'!C32</f>
        <v>Will any external authentication or authorization system be utilized by a system with access to institution data?</v>
      </c>
      <c r="C76" s="355"/>
      <c r="D76" s="354">
        <f>'High Risk Non-Compliant'!D32</f>
        <v>0</v>
      </c>
      <c r="E76" s="354"/>
      <c r="F76" s="354"/>
      <c r="G76" s="147" t="e">
        <f>IF(VLOOKUP(A76,'High Risk Non-Compliant'!B:K,$H$48,FALSE)=0,"N/A",VLOOKUP(A76,'High Risk Non-Compliant'!B:K,$H$48,FALSE))</f>
        <v>#REF!</v>
      </c>
      <c r="H76" s="147" t="e">
        <f>IF(G76="N/A","N/A",VLOOKUP(G76,'Crosswalk Detail'!A:B,2,FALSE))</f>
        <v>#REF!</v>
      </c>
    </row>
    <row r="77" spans="1:8" ht="144" customHeight="1" x14ac:dyDescent="0.2">
      <c r="A77" s="148" t="str">
        <f>'High Risk Non-Compliant'!B33</f>
        <v>AAAI-15</v>
      </c>
      <c r="B77" s="355" t="str">
        <f>'High Risk Non-Compliant'!C33</f>
        <v>Are audit logs available that include AT LEAST all of the following; login, logout, actions performed, and source IP address?</v>
      </c>
      <c r="C77" s="355"/>
      <c r="D77" s="354">
        <f>'High Risk Non-Compliant'!D33</f>
        <v>0</v>
      </c>
      <c r="E77" s="354"/>
      <c r="F77" s="354"/>
      <c r="G77" s="147" t="e">
        <f>IF(VLOOKUP(A77,'High Risk Non-Compliant'!B:K,$H$48,FALSE)=0,"N/A",VLOOKUP(A77,'High Risk Non-Compliant'!B:K,$H$48,FALSE))</f>
        <v>#REF!</v>
      </c>
      <c r="H77" s="147" t="e">
        <f>IF(G77="N/A","N/A",VLOOKUP(G77,'Crosswalk Detail'!A:B,2,FALSE))</f>
        <v>#REF!</v>
      </c>
    </row>
    <row r="78" spans="1:8" ht="144" customHeight="1" x14ac:dyDescent="0.2">
      <c r="A78" s="148" t="str">
        <f>'High Risk Non-Compliant'!B34</f>
        <v>AAAI-16</v>
      </c>
      <c r="B78" s="355" t="str">
        <f>'High Risk Non-Compliant'!C34</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78" s="355"/>
      <c r="D78" s="354">
        <f>'High Risk Non-Compliant'!D34</f>
        <v>0</v>
      </c>
      <c r="E78" s="354"/>
      <c r="F78" s="354"/>
      <c r="G78" s="147" t="e">
        <f>IF(VLOOKUP(A78,'High Risk Non-Compliant'!B:K,$H$48,FALSE)=0,"N/A",VLOOKUP(A78,'High Risk Non-Compliant'!B:K,$H$48,FALSE))</f>
        <v>#REF!</v>
      </c>
      <c r="H78" s="147" t="e">
        <f>IF(G78="N/A","N/A",VLOOKUP(G78,'Crosswalk Detail'!A:B,2,FALSE))</f>
        <v>#REF!</v>
      </c>
    </row>
    <row r="79" spans="1:8" ht="144" customHeight="1" x14ac:dyDescent="0.2">
      <c r="A79" s="148" t="str">
        <f>'High Risk Non-Compliant'!B35</f>
        <v>BCPL-01</v>
      </c>
      <c r="B79" s="355" t="str">
        <f>'High Risk Non-Compliant'!C35</f>
        <v>Describe or provide a reference to your Business Continuity Plan (BCP).</v>
      </c>
      <c r="C79" s="355"/>
      <c r="D79" s="354">
        <f>'High Risk Non-Compliant'!D35</f>
        <v>0</v>
      </c>
      <c r="E79" s="354"/>
      <c r="F79" s="354"/>
      <c r="G79" s="147" t="e">
        <f>IF(VLOOKUP(A79,'High Risk Non-Compliant'!B:K,$H$48,FALSE)=0,"N/A",VLOOKUP(A79,'High Risk Non-Compliant'!B:K,$H$48,FALSE))</f>
        <v>#REF!</v>
      </c>
      <c r="H79" s="147" t="e">
        <f>IF(G79="N/A","N/A",VLOOKUP(G79,'Crosswalk Detail'!A:B,2,FALSE))</f>
        <v>#REF!</v>
      </c>
    </row>
    <row r="80" spans="1:8" ht="144" customHeight="1" x14ac:dyDescent="0.2">
      <c r="A80" s="148" t="str">
        <f>'High Risk Non-Compliant'!B36</f>
        <v>BCPL-06</v>
      </c>
      <c r="B80" s="355" t="str">
        <f>'High Risk Non-Compliant'!C36</f>
        <v xml:space="preserve">Are all components of the BCP reviewed at least annually and updated as needed to reflect change? </v>
      </c>
      <c r="C80" s="355"/>
      <c r="D80" s="354">
        <f>'High Risk Non-Compliant'!D36</f>
        <v>0</v>
      </c>
      <c r="E80" s="354"/>
      <c r="F80" s="354"/>
      <c r="G80" s="147" t="e">
        <f>IF(VLOOKUP(A80,'High Risk Non-Compliant'!B:K,$H$48,FALSE)=0,"N/A",VLOOKUP(A80,'High Risk Non-Compliant'!B:K,$H$48,FALSE))</f>
        <v>#REF!</v>
      </c>
      <c r="H80" s="147" t="e">
        <f>IF(G80="N/A","N/A",VLOOKUP(G80,'Crosswalk Detail'!A:B,2,FALSE))</f>
        <v>#REF!</v>
      </c>
    </row>
    <row r="81" spans="1:8" ht="144" customHeight="1" x14ac:dyDescent="0.2">
      <c r="A81" s="148" t="str">
        <f>'High Risk Non-Compliant'!B37</f>
        <v>BCPL-07</v>
      </c>
      <c r="B81" s="355" t="str">
        <f>'High Risk Non-Compliant'!C37</f>
        <v xml:space="preserve">Has your BCP been tested in the last year? </v>
      </c>
      <c r="C81" s="355"/>
      <c r="D81" s="354">
        <f>'High Risk Non-Compliant'!D37</f>
        <v>0</v>
      </c>
      <c r="E81" s="354"/>
      <c r="F81" s="354"/>
      <c r="G81" s="147" t="e">
        <f>IF(VLOOKUP(A81,'High Risk Non-Compliant'!B:K,$H$48,FALSE)=0,"N/A",VLOOKUP(A81,'High Risk Non-Compliant'!B:K,$H$48,FALSE))</f>
        <v>#REF!</v>
      </c>
      <c r="H81" s="147" t="e">
        <f>IF(G81="N/A","N/A",VLOOKUP(G81,'Crosswalk Detail'!A:B,2,FALSE))</f>
        <v>#REF!</v>
      </c>
    </row>
    <row r="82" spans="1:8" ht="144" customHeight="1" x14ac:dyDescent="0.2">
      <c r="A82" s="148" t="str">
        <f>'High Risk Non-Compliant'!B38</f>
        <v>CHNG-01</v>
      </c>
      <c r="B82" s="355" t="str">
        <f>'High Risk Non-Compliant'!C38</f>
        <v xml:space="preserve">Do you have a documented and currently followed change management process (CMP)? </v>
      </c>
      <c r="C82" s="355"/>
      <c r="D82" s="354">
        <f>'High Risk Non-Compliant'!D38</f>
        <v>0</v>
      </c>
      <c r="E82" s="354"/>
      <c r="F82" s="354"/>
      <c r="G82" s="147" t="e">
        <f>IF(VLOOKUP(A82,'High Risk Non-Compliant'!B:K,$H$48,FALSE)=0,"N/A",VLOOKUP(A82,'High Risk Non-Compliant'!B:K,$H$48,FALSE))</f>
        <v>#REF!</v>
      </c>
      <c r="H82" s="147" t="e">
        <f>IF(G82="N/A","N/A",VLOOKUP(G82,'Crosswalk Detail'!A:B,2,FALSE))</f>
        <v>#REF!</v>
      </c>
    </row>
    <row r="83" spans="1:8" ht="144" customHeight="1" x14ac:dyDescent="0.2">
      <c r="A83" s="148" t="str">
        <f>'High Risk Non-Compliant'!B39</f>
        <v>CHNG-05</v>
      </c>
      <c r="B83" s="355" t="str">
        <f>'High Risk Non-Compliant'!C39</f>
        <v>Describe or provide a reference to your solution support strategy in relation to maintaining software currency. (i.e. how many concurrent versions are you willing to run and support?)</v>
      </c>
      <c r="C83" s="355"/>
      <c r="D83" s="354">
        <f>'High Risk Non-Compliant'!D39</f>
        <v>0</v>
      </c>
      <c r="E83" s="354"/>
      <c r="F83" s="354"/>
      <c r="G83" s="147" t="e">
        <f>IF(VLOOKUP(A83,'High Risk Non-Compliant'!B:K,$H$48,FALSE)=0,"N/A",VLOOKUP(A83,'High Risk Non-Compliant'!B:K,$H$48,FALSE))</f>
        <v>#REF!</v>
      </c>
      <c r="H83" s="147" t="e">
        <f>IF(G83="N/A","N/A",VLOOKUP(G83,'Crosswalk Detail'!A:B,2,FALSE))</f>
        <v>#REF!</v>
      </c>
    </row>
    <row r="84" spans="1:8" ht="144" customHeight="1" x14ac:dyDescent="0.2">
      <c r="A84" s="148" t="str">
        <f>'High Risk Non-Compliant'!B40</f>
        <v>CHNG-08</v>
      </c>
      <c r="B84" s="355" t="str">
        <f>'High Risk Non-Compliant'!C40</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C84" s="355"/>
      <c r="D84" s="354">
        <f>'High Risk Non-Compliant'!D40</f>
        <v>0</v>
      </c>
      <c r="E84" s="354"/>
      <c r="F84" s="354"/>
      <c r="G84" s="147" t="e">
        <f>IF(VLOOKUP(A84,'High Risk Non-Compliant'!B:K,$H$48,FALSE)=0,"N/A",VLOOKUP(A84,'High Risk Non-Compliant'!B:K,$H$48,FALSE))</f>
        <v>#REF!</v>
      </c>
      <c r="H84" s="147" t="e">
        <f>IF(G84="N/A","N/A",VLOOKUP(G84,'Crosswalk Detail'!A:B,2,FALSE))</f>
        <v>#REF!</v>
      </c>
    </row>
    <row r="85" spans="1:8" ht="144" customHeight="1" x14ac:dyDescent="0.2">
      <c r="A85" s="148" t="str">
        <f>'High Risk Non-Compliant'!B41</f>
        <v>DATA-01</v>
      </c>
      <c r="B85" s="355" t="str">
        <f>'High Risk Non-Compliant'!C41</f>
        <v>Do you physically and logically separate Institution's data from that of other customers?</v>
      </c>
      <c r="C85" s="355"/>
      <c r="D85" s="354">
        <f>'High Risk Non-Compliant'!D41</f>
        <v>0</v>
      </c>
      <c r="E85" s="354"/>
      <c r="F85" s="354"/>
      <c r="G85" s="147" t="e">
        <f>IF(VLOOKUP(A85,'High Risk Non-Compliant'!B:K,$H$48,FALSE)=0,"N/A",VLOOKUP(A85,'High Risk Non-Compliant'!B:K,$H$48,FALSE))</f>
        <v>#REF!</v>
      </c>
      <c r="H85" s="147" t="e">
        <f>IF(G85="N/A","N/A",VLOOKUP(G85,'Crosswalk Detail'!A:B,2,FALSE))</f>
        <v>#REF!</v>
      </c>
    </row>
    <row r="86" spans="1:8" ht="144" customHeight="1" x14ac:dyDescent="0.2">
      <c r="A86" s="148" t="str">
        <f>'High Risk Non-Compliant'!B42</f>
        <v>DATA-03</v>
      </c>
      <c r="B86" s="355" t="str">
        <f>'High Risk Non-Compliant'!C42</f>
        <v>Is sensitive data encrypted in transport? (e.g. system-to-client)</v>
      </c>
      <c r="C86" s="355"/>
      <c r="D86" s="354">
        <f>'High Risk Non-Compliant'!D42</f>
        <v>0</v>
      </c>
      <c r="E86" s="354"/>
      <c r="F86" s="354"/>
      <c r="G86" s="147" t="e">
        <f>IF(VLOOKUP(A86,'High Risk Non-Compliant'!B:K,$H$48,FALSE)=0,"N/A",VLOOKUP(A86,'High Risk Non-Compliant'!B:K,$H$48,FALSE))</f>
        <v>#REF!</v>
      </c>
      <c r="H86" s="147" t="e">
        <f>IF(G86="N/A","N/A",VLOOKUP(G86,'Crosswalk Detail'!A:B,2,FALSE))</f>
        <v>#REF!</v>
      </c>
    </row>
    <row r="87" spans="1:8" ht="144" customHeight="1" x14ac:dyDescent="0.2">
      <c r="A87" s="148" t="str">
        <f>'High Risk Non-Compliant'!B43</f>
        <v>DATA-04</v>
      </c>
      <c r="B87" s="355" t="str">
        <f>'High Risk Non-Compliant'!C43</f>
        <v>Is sensitive data encrypted in storage (e.g. disk encryption, at-rest)?</v>
      </c>
      <c r="C87" s="355"/>
      <c r="D87" s="354">
        <f>'High Risk Non-Compliant'!D43</f>
        <v>0</v>
      </c>
      <c r="E87" s="354"/>
      <c r="F87" s="354"/>
      <c r="G87" s="147" t="e">
        <f>IF(VLOOKUP(A87,'High Risk Non-Compliant'!B:K,$H$48,FALSE)=0,"N/A",VLOOKUP(A87,'High Risk Non-Compliant'!B:K,$H$48,FALSE))</f>
        <v>#REF!</v>
      </c>
      <c r="H87" s="147" t="e">
        <f>IF(G87="N/A","N/A",VLOOKUP(G87,'Crosswalk Detail'!A:B,2,FALSE))</f>
        <v>#REF!</v>
      </c>
    </row>
    <row r="88" spans="1:8" ht="144" customHeight="1" x14ac:dyDescent="0.2">
      <c r="A88" s="148" t="str">
        <f>'High Risk Non-Compliant'!B44</f>
        <v>DATA-05</v>
      </c>
      <c r="B88" s="355" t="str">
        <f>'High Risk Non-Compliant'!C44</f>
        <v>Do you employ or allow any cryptographic modules that do not conform to the Federal Information Processing Standards (FIPS PUB 140-2)?</v>
      </c>
      <c r="C88" s="355"/>
      <c r="D88" s="354">
        <f>'High Risk Non-Compliant'!D44</f>
        <v>0</v>
      </c>
      <c r="E88" s="354"/>
      <c r="F88" s="354"/>
      <c r="G88" s="147" t="e">
        <f>IF(VLOOKUP(A88,'High Risk Non-Compliant'!B:K,$H$48,FALSE)=0,"N/A",VLOOKUP(A88,'High Risk Non-Compliant'!B:K,$H$48,FALSE))</f>
        <v>#REF!</v>
      </c>
      <c r="H88" s="147" t="e">
        <f>IF(G88="N/A","N/A",VLOOKUP(G88,'Crosswalk Detail'!A:B,2,FALSE))</f>
        <v>#REF!</v>
      </c>
    </row>
    <row r="89" spans="1:8" ht="144" customHeight="1" x14ac:dyDescent="0.2">
      <c r="A89" s="148" t="str">
        <f>'High Risk Non-Compliant'!B45</f>
        <v>DATA-06</v>
      </c>
      <c r="B89" s="355" t="str">
        <f>'High Risk Non-Compliant'!C45</f>
        <v>Does your system employ encryption technologies when transmitting sensitive information over TCP/IP networks (e.g., SSH, SSL/TLS, VPN)? (e.g. system-to-system and system-to-client)</v>
      </c>
      <c r="C89" s="355"/>
      <c r="D89" s="354">
        <f>'High Risk Non-Compliant'!D45</f>
        <v>0</v>
      </c>
      <c r="E89" s="354"/>
      <c r="F89" s="354"/>
      <c r="G89" s="147" t="e">
        <f>IF(VLOOKUP(A89,'High Risk Non-Compliant'!B:K,$H$48,FALSE)=0,"N/A",VLOOKUP(A89,'High Risk Non-Compliant'!B:K,$H$48,FALSE))</f>
        <v>#REF!</v>
      </c>
      <c r="H89" s="147" t="e">
        <f>IF(G89="N/A","N/A",VLOOKUP(G89,'Crosswalk Detail'!A:B,2,FALSE))</f>
        <v>#REF!</v>
      </c>
    </row>
    <row r="90" spans="1:8" ht="144" customHeight="1" x14ac:dyDescent="0.2">
      <c r="A90" s="148" t="str">
        <f>'High Risk Non-Compliant'!B46</f>
        <v>DATA-08</v>
      </c>
      <c r="B90" s="355" t="str">
        <f>'High Risk Non-Compliant'!C46</f>
        <v>At the completion of this contract, will data be returned to the institution?</v>
      </c>
      <c r="C90" s="355"/>
      <c r="D90" s="354">
        <f>'High Risk Non-Compliant'!D46</f>
        <v>0</v>
      </c>
      <c r="E90" s="354"/>
      <c r="F90" s="354"/>
      <c r="G90" s="147" t="e">
        <f>IF(VLOOKUP(A90,'High Risk Non-Compliant'!B:K,$H$48,FALSE)=0,"N/A",VLOOKUP(A90,'High Risk Non-Compliant'!B:K,$H$48,FALSE))</f>
        <v>#REF!</v>
      </c>
      <c r="H90" s="147" t="e">
        <f>IF(G90="N/A","N/A",VLOOKUP(G90,'Crosswalk Detail'!A:B,2,FALSE))</f>
        <v>#REF!</v>
      </c>
    </row>
    <row r="91" spans="1:8" ht="144" customHeight="1" x14ac:dyDescent="0.2">
      <c r="A91" s="148" t="str">
        <f>'High Risk Non-Compliant'!B47</f>
        <v>DATA-11</v>
      </c>
      <c r="B91" s="355" t="str">
        <f>'High Risk Non-Compliant'!C47</f>
        <v>Are ownership rights to all data, inputs, outputs, and metadata retained by the institution?</v>
      </c>
      <c r="C91" s="355"/>
      <c r="D91" s="354">
        <f>'High Risk Non-Compliant'!D47</f>
        <v>0</v>
      </c>
      <c r="E91" s="354"/>
      <c r="F91" s="354"/>
      <c r="G91" s="147" t="e">
        <f>IF(VLOOKUP(A91,'High Risk Non-Compliant'!B:K,$H$48,FALSE)=0,"N/A",VLOOKUP(A91,'High Risk Non-Compliant'!B:K,$H$48,FALSE))</f>
        <v>#REF!</v>
      </c>
      <c r="H91" s="147" t="e">
        <f>IF(G91="N/A","N/A",VLOOKUP(G91,'Crosswalk Detail'!A:B,2,FALSE))</f>
        <v>#REF!</v>
      </c>
    </row>
    <row r="92" spans="1:8" ht="144" customHeight="1" x14ac:dyDescent="0.2">
      <c r="A92" s="148" t="str">
        <f>'High Risk Non-Compliant'!B48</f>
        <v>DATA-17</v>
      </c>
      <c r="B92" s="355" t="str">
        <f>'High Risk Non-Compliant'!C48</f>
        <v>Are data backups encrypted?</v>
      </c>
      <c r="C92" s="355"/>
      <c r="D92" s="354">
        <f>'High Risk Non-Compliant'!D48</f>
        <v>0</v>
      </c>
      <c r="E92" s="354"/>
      <c r="F92" s="354"/>
      <c r="G92" s="147" t="e">
        <f>IF(VLOOKUP(A92,'High Risk Non-Compliant'!B:K,$H$48,FALSE)=0,"N/A",VLOOKUP(A92,'High Risk Non-Compliant'!B:K,$H$48,FALSE))</f>
        <v>#REF!</v>
      </c>
      <c r="H92" s="147" t="e">
        <f>IF(G92="N/A","N/A",VLOOKUP(G92,'Crosswalk Detail'!A:B,2,FALSE))</f>
        <v>#REF!</v>
      </c>
    </row>
    <row r="93" spans="1:8" ht="144" customHeight="1" x14ac:dyDescent="0.2">
      <c r="A93" s="148" t="str">
        <f>'High Risk Non-Compliant'!B49</f>
        <v>DATA-23</v>
      </c>
      <c r="B93" s="355" t="str">
        <f>'High Risk Non-Compliant'!C49</f>
        <v>Do you have a media handling process, that is documented and currently implemented, including end-of-life, repurposing, and data sanitization procedures?</v>
      </c>
      <c r="C93" s="355"/>
      <c r="D93" s="354">
        <f>'High Risk Non-Compliant'!D49</f>
        <v>0</v>
      </c>
      <c r="E93" s="354"/>
      <c r="F93" s="354"/>
      <c r="G93" s="147" t="e">
        <f>IF(VLOOKUP(A93,'High Risk Non-Compliant'!B:K,$H$48,FALSE)=0,"N/A",VLOOKUP(A93,'High Risk Non-Compliant'!B:K,$H$48,FALSE))</f>
        <v>#REF!</v>
      </c>
      <c r="H93" s="147" t="e">
        <f>IF(G93="N/A","N/A",VLOOKUP(G93,'Crosswalk Detail'!A:B,2,FALSE))</f>
        <v>#REF!</v>
      </c>
    </row>
    <row r="94" spans="1:8" ht="144" customHeight="1" x14ac:dyDescent="0.2">
      <c r="A94" s="148" t="str">
        <f>'High Risk Non-Compliant'!B50</f>
        <v>DATA-28</v>
      </c>
      <c r="B94" s="355" t="str">
        <f>'High Risk Non-Compliant'!C50</f>
        <v>Is any institution data visible in system administration modules/tools?</v>
      </c>
      <c r="C94" s="355"/>
      <c r="D94" s="354">
        <f>'High Risk Non-Compliant'!D50</f>
        <v>0</v>
      </c>
      <c r="E94" s="354"/>
      <c r="F94" s="354"/>
      <c r="G94" s="147" t="e">
        <f>IF(VLOOKUP(A94,'High Risk Non-Compliant'!B:K,$H$48,FALSE)=0,"N/A",VLOOKUP(A94,'High Risk Non-Compliant'!B:K,$H$48,FALSE))</f>
        <v>#REF!</v>
      </c>
      <c r="H94" s="147" t="e">
        <f>IF(G94="N/A","N/A",VLOOKUP(G94,'Crosswalk Detail'!A:B,2,FALSE))</f>
        <v>#REF!</v>
      </c>
    </row>
    <row r="95" spans="1:8" ht="144" customHeight="1" x14ac:dyDescent="0.2">
      <c r="A95" s="148" t="str">
        <f>'High Risk Non-Compliant'!B51</f>
        <v>DBAS-01</v>
      </c>
      <c r="B95" s="355" t="str">
        <f>'High Risk Non-Compliant'!C51</f>
        <v>Does the database support encryption of specified data elements in storage?</v>
      </c>
      <c r="C95" s="355"/>
      <c r="D95" s="354">
        <f>'High Risk Non-Compliant'!D51</f>
        <v>0</v>
      </c>
      <c r="E95" s="354"/>
      <c r="F95" s="354"/>
      <c r="G95" s="147" t="e">
        <f>IF(VLOOKUP(A95,'High Risk Non-Compliant'!B:K,$H$48,FALSE)=0,"N/A",VLOOKUP(A95,'High Risk Non-Compliant'!B:K,$H$48,FALSE))</f>
        <v>#REF!</v>
      </c>
      <c r="H95" s="147" t="e">
        <f>IF(G95="N/A","N/A",VLOOKUP(G95,'Crosswalk Detail'!A:B,2,FALSE))</f>
        <v>#REF!</v>
      </c>
    </row>
    <row r="96" spans="1:8" ht="144" customHeight="1" x14ac:dyDescent="0.2">
      <c r="A96" s="148" t="str">
        <f>'High Risk Non-Compliant'!B52</f>
        <v>DBAS-02</v>
      </c>
      <c r="B96" s="355" t="str">
        <f>'High Risk Non-Compliant'!C52</f>
        <v>Do you currently use encryption in your database(s)?</v>
      </c>
      <c r="C96" s="355"/>
      <c r="D96" s="354">
        <f>'High Risk Non-Compliant'!D52</f>
        <v>0</v>
      </c>
      <c r="E96" s="354"/>
      <c r="F96" s="354"/>
      <c r="G96" s="147" t="e">
        <f>IF(VLOOKUP(A96,'High Risk Non-Compliant'!B:K,$H$48,FALSE)=0,"N/A",VLOOKUP(A96,'High Risk Non-Compliant'!B:K,$H$48,FALSE))</f>
        <v>#REF!</v>
      </c>
      <c r="H96" s="147" t="e">
        <f>IF(G96="N/A","N/A",VLOOKUP(G96,'Crosswalk Detail'!A:B,2,FALSE))</f>
        <v>#REF!</v>
      </c>
    </row>
    <row r="97" spans="1:8" ht="144" customHeight="1" x14ac:dyDescent="0.2">
      <c r="A97" s="148" t="str">
        <f>'High Risk Non-Compliant'!B53</f>
        <v>DCTR-04</v>
      </c>
      <c r="B97" s="355" t="str">
        <f>'High Risk Non-Compliant'!C53</f>
        <v>Do any of your servers reside in a co-located data center?</v>
      </c>
      <c r="C97" s="355"/>
      <c r="D97" s="354">
        <f>'High Risk Non-Compliant'!D53</f>
        <v>0</v>
      </c>
      <c r="E97" s="354"/>
      <c r="F97" s="354"/>
      <c r="G97" s="147" t="e">
        <f>IF(VLOOKUP(A97,'High Risk Non-Compliant'!B:K,$H$48,FALSE)=0,"N/A",VLOOKUP(A97,'High Risk Non-Compliant'!B:K,$H$48,FALSE))</f>
        <v>#REF!</v>
      </c>
      <c r="H97" s="147" t="e">
        <f>IF(G97="N/A","N/A",VLOOKUP(G97,'Crosswalk Detail'!A:B,2,FALSE))</f>
        <v>#REF!</v>
      </c>
    </row>
    <row r="98" spans="1:8" ht="144" customHeight="1" x14ac:dyDescent="0.2">
      <c r="A98" s="148" t="str">
        <f>'High Risk Non-Compliant'!B54</f>
        <v>DCTR-09</v>
      </c>
      <c r="B98" s="355" t="str">
        <f>'High Risk Non-Compliant'!C54</f>
        <v>Will any institution data leave the Institution's Data Zone?</v>
      </c>
      <c r="C98" s="355"/>
      <c r="D98" s="354">
        <f>'High Risk Non-Compliant'!D54</f>
        <v>0</v>
      </c>
      <c r="E98" s="354"/>
      <c r="F98" s="354"/>
      <c r="G98" s="147" t="e">
        <f>IF(VLOOKUP(A98,'High Risk Non-Compliant'!B:K,$H$48,FALSE)=0,"N/A",VLOOKUP(A98,'High Risk Non-Compliant'!B:K,$H$48,FALSE))</f>
        <v>#REF!</v>
      </c>
      <c r="H98" s="147" t="e">
        <f>IF(G98="N/A","N/A",VLOOKUP(G98,'Crosswalk Detail'!A:B,2,FALSE))</f>
        <v>#REF!</v>
      </c>
    </row>
    <row r="99" spans="1:8" ht="144" customHeight="1" x14ac:dyDescent="0.2">
      <c r="A99" s="148" t="str">
        <f>'High Risk Non-Compliant'!B55</f>
        <v>DRPL-01</v>
      </c>
      <c r="B99" s="355" t="str">
        <f>'High Risk Non-Compliant'!C55</f>
        <v>Describe or provide a reference to your Disaster Recovery Plan (DRP).</v>
      </c>
      <c r="C99" s="355"/>
      <c r="D99" s="354">
        <f>'High Risk Non-Compliant'!D55</f>
        <v>0</v>
      </c>
      <c r="E99" s="354"/>
      <c r="F99" s="354"/>
      <c r="G99" s="147" t="e">
        <f>IF(VLOOKUP(A99,'High Risk Non-Compliant'!B:K,$H$48,FALSE)=0,"N/A",VLOOKUP(A99,'High Risk Non-Compliant'!B:K,$H$48,FALSE))</f>
        <v>#REF!</v>
      </c>
      <c r="H99" s="147" t="e">
        <f>IF(G99="N/A","N/A",VLOOKUP(G99,'Crosswalk Detail'!A:B,2,FALSE))</f>
        <v>#REF!</v>
      </c>
    </row>
    <row r="100" spans="1:8" ht="144" customHeight="1" x14ac:dyDescent="0.2">
      <c r="A100" s="148" t="str">
        <f>'High Risk Non-Compliant'!B56</f>
        <v>DRPL-07</v>
      </c>
      <c r="B100" s="355" t="str">
        <f>'High Risk Non-Compliant'!C56</f>
        <v>Is there a defined problem/issue escalation plan in your DRP for impacted clients?</v>
      </c>
      <c r="C100" s="355"/>
      <c r="D100" s="354">
        <f>'High Risk Non-Compliant'!D56</f>
        <v>0</v>
      </c>
      <c r="E100" s="354"/>
      <c r="F100" s="354"/>
      <c r="G100" s="147" t="e">
        <f>IF(VLOOKUP(A100,'High Risk Non-Compliant'!B:K,$H$48,FALSE)=0,"N/A",VLOOKUP(A100,'High Risk Non-Compliant'!B:K,$H$48,FALSE))</f>
        <v>#REF!</v>
      </c>
      <c r="H100" s="147" t="e">
        <f>IF(G100="N/A","N/A",VLOOKUP(G100,'Crosswalk Detail'!A:B,2,FALSE))</f>
        <v>#REF!</v>
      </c>
    </row>
    <row r="101" spans="1:8" ht="144" customHeight="1" x14ac:dyDescent="0.2">
      <c r="A101" s="148" t="str">
        <f>'High Risk Non-Compliant'!B57</f>
        <v>FIDP-01</v>
      </c>
      <c r="B101" s="355" t="str">
        <f>'High Risk Non-Compliant'!C57</f>
        <v>Are you utilizing a web application firewall (WAF)?</v>
      </c>
      <c r="C101" s="355"/>
      <c r="D101" s="354">
        <f>'High Risk Non-Compliant'!D57</f>
        <v>0</v>
      </c>
      <c r="E101" s="354"/>
      <c r="F101" s="354"/>
      <c r="G101" s="147" t="e">
        <f>IF(VLOOKUP(A101,'High Risk Non-Compliant'!B:K,$H$48,FALSE)=0,"N/A",VLOOKUP(A101,'High Risk Non-Compliant'!B:K,$H$48,FALSE))</f>
        <v>#REF!</v>
      </c>
      <c r="H101" s="147" t="e">
        <f>IF(G101="N/A","N/A",VLOOKUP(G101,'Crosswalk Detail'!A:B,2,FALSE))</f>
        <v>#REF!</v>
      </c>
    </row>
    <row r="102" spans="1:8" ht="144" customHeight="1" x14ac:dyDescent="0.2">
      <c r="A102" s="148" t="str">
        <f>'High Risk Non-Compliant'!B58</f>
        <v>FIDP-02</v>
      </c>
      <c r="B102" s="355" t="str">
        <f>'High Risk Non-Compliant'!C58</f>
        <v>Are you utilizing a stateful packet inspection (SPI) firewall?</v>
      </c>
      <c r="C102" s="355"/>
      <c r="D102" s="354">
        <f>'High Risk Non-Compliant'!D58</f>
        <v>0</v>
      </c>
      <c r="E102" s="354"/>
      <c r="F102" s="354"/>
      <c r="G102" s="147" t="e">
        <f>IF(VLOOKUP(A102,'High Risk Non-Compliant'!B:K,$H$48,FALSE)=0,"N/A",VLOOKUP(A102,'High Risk Non-Compliant'!B:K,$H$48,FALSE))</f>
        <v>#REF!</v>
      </c>
      <c r="H102" s="147" t="e">
        <f>IF(G102="N/A","N/A",VLOOKUP(G102,'Crosswalk Detail'!A:B,2,FALSE))</f>
        <v>#REF!</v>
      </c>
    </row>
    <row r="103" spans="1:8" ht="144" customHeight="1" x14ac:dyDescent="0.2">
      <c r="A103" s="148" t="str">
        <f>'High Risk Non-Compliant'!B59</f>
        <v>FIDP-04</v>
      </c>
      <c r="B103" s="355" t="str">
        <f>'High Risk Non-Compliant'!C59</f>
        <v>Do you have a documented policy for firewall change requests?</v>
      </c>
      <c r="C103" s="355"/>
      <c r="D103" s="354">
        <f>'High Risk Non-Compliant'!D59</f>
        <v>0</v>
      </c>
      <c r="E103" s="354"/>
      <c r="F103" s="354"/>
      <c r="G103" s="147" t="e">
        <f>IF(VLOOKUP(A103,'High Risk Non-Compliant'!B:K,$H$48,FALSE)=0,"N/A",VLOOKUP(A103,'High Risk Non-Compliant'!B:K,$H$48,FALSE))</f>
        <v>#REF!</v>
      </c>
      <c r="H103" s="147" t="e">
        <f>IF(G103="N/A","N/A",VLOOKUP(G103,'Crosswalk Detail'!A:B,2,FALSE))</f>
        <v>#REF!</v>
      </c>
    </row>
    <row r="104" spans="1:8" ht="144" customHeight="1" x14ac:dyDescent="0.2">
      <c r="A104" s="148" t="str">
        <f>'High Risk Non-Compliant'!B60</f>
        <v>FIDP-05</v>
      </c>
      <c r="B104" s="355" t="str">
        <f>'High Risk Non-Compliant'!C60</f>
        <v>Have you implemented an Intrusion Detection System (network-based)?</v>
      </c>
      <c r="C104" s="355"/>
      <c r="D104" s="354">
        <f>'High Risk Non-Compliant'!D60</f>
        <v>0</v>
      </c>
      <c r="E104" s="354"/>
      <c r="F104" s="354"/>
      <c r="G104" s="147" t="e">
        <f>IF(VLOOKUP(A104,'High Risk Non-Compliant'!B:K,$H$48,FALSE)=0,"N/A",VLOOKUP(A104,'High Risk Non-Compliant'!B:K,$H$48,FALSE))</f>
        <v>#REF!</v>
      </c>
      <c r="H104" s="147" t="e">
        <f>IF(G104="N/A","N/A",VLOOKUP(G104,'Crosswalk Detail'!A:B,2,FALSE))</f>
        <v>#REF!</v>
      </c>
    </row>
    <row r="105" spans="1:8" ht="144" customHeight="1" x14ac:dyDescent="0.2">
      <c r="A105" s="148" t="str">
        <f>'High Risk Non-Compliant'!B61</f>
        <v>FIDP-07</v>
      </c>
      <c r="B105" s="355" t="str">
        <f>'High Risk Non-Compliant'!C61</f>
        <v>Do you employ host-based intrusion detection?</v>
      </c>
      <c r="C105" s="355"/>
      <c r="D105" s="354">
        <f>'High Risk Non-Compliant'!D61</f>
        <v>0</v>
      </c>
      <c r="E105" s="354"/>
      <c r="F105" s="354"/>
      <c r="G105" s="147" t="e">
        <f>IF(VLOOKUP(A105,'High Risk Non-Compliant'!B:K,$H$48,FALSE)=0,"N/A",VLOOKUP(A105,'High Risk Non-Compliant'!B:K,$H$48,FALSE))</f>
        <v>#REF!</v>
      </c>
      <c r="H105" s="147" t="e">
        <f>IF(G105="N/A","N/A",VLOOKUP(G105,'Crosswalk Detail'!A:B,2,FALSE))</f>
        <v>#REF!</v>
      </c>
    </row>
    <row r="106" spans="1:8" ht="144" customHeight="1" x14ac:dyDescent="0.2">
      <c r="A106" s="148" t="str">
        <f>'High Risk Non-Compliant'!B62</f>
        <v>FIDP-12</v>
      </c>
      <c r="B106" s="355" t="str">
        <f>'High Risk Non-Compliant'!C62</f>
        <v>Are audit logs available for all changes to the network, firewall, IDS, and IPS systems?</v>
      </c>
      <c r="C106" s="355"/>
      <c r="D106" s="354">
        <f>'High Risk Non-Compliant'!D62</f>
        <v>0</v>
      </c>
      <c r="E106" s="354"/>
      <c r="F106" s="354"/>
      <c r="G106" s="147" t="e">
        <f>IF(VLOOKUP(A106,'High Risk Non-Compliant'!B:K,$H$48,FALSE)=0,"N/A",VLOOKUP(A106,'High Risk Non-Compliant'!B:K,$H$48,FALSE))</f>
        <v>#REF!</v>
      </c>
      <c r="H106" s="147" t="e">
        <f>IF(G106="N/A","N/A",VLOOKUP(G106,'Crosswalk Detail'!A:B,2,FALSE))</f>
        <v>#REF!</v>
      </c>
    </row>
    <row r="107" spans="1:8" ht="144" customHeight="1" x14ac:dyDescent="0.2">
      <c r="A107" s="148" t="str">
        <f>'High Risk Non-Compliant'!B63</f>
        <v>MAPP-03</v>
      </c>
      <c r="B107" s="355" t="str">
        <f>'High Risk Non-Compliant'!C63</f>
        <v>Is the application available from a trusted source (e.g., iTunes App Store, Android Market, BB World)?</v>
      </c>
      <c r="C107" s="355"/>
      <c r="D107" s="354">
        <f>'High Risk Non-Compliant'!D63</f>
        <v>0</v>
      </c>
      <c r="E107" s="354"/>
      <c r="F107" s="354"/>
      <c r="G107" s="147" t="e">
        <f>IF(VLOOKUP(A107,'High Risk Non-Compliant'!B:K,$H$48,FALSE)=0,"N/A",VLOOKUP(A107,'High Risk Non-Compliant'!B:K,$H$48,FALSE))</f>
        <v>#REF!</v>
      </c>
      <c r="H107" s="147" t="e">
        <f>IF(G107="N/A","N/A",VLOOKUP(G107,'Crosswalk Detail'!A:B,2,FALSE))</f>
        <v>#REF!</v>
      </c>
    </row>
    <row r="108" spans="1:8" ht="144" customHeight="1" x14ac:dyDescent="0.2">
      <c r="A108" s="148" t="str">
        <f>'High Risk Non-Compliant'!B64</f>
        <v>MAPP-05</v>
      </c>
      <c r="B108" s="355" t="str">
        <f>'High Risk Non-Compliant'!C64</f>
        <v>Is Institution's data encrypted in transport?</v>
      </c>
      <c r="C108" s="355"/>
      <c r="D108" s="354">
        <f>'High Risk Non-Compliant'!D64</f>
        <v>0</v>
      </c>
      <c r="E108" s="354"/>
      <c r="F108" s="354"/>
      <c r="G108" s="147" t="e">
        <f>IF(VLOOKUP(A108,'High Risk Non-Compliant'!B:K,$H$48,FALSE)=0,"N/A",VLOOKUP(A108,'High Risk Non-Compliant'!B:K,$H$48,FALSE))</f>
        <v>#REF!</v>
      </c>
      <c r="H108" s="147" t="e">
        <f>IF(G108="N/A","N/A",VLOOKUP(G108,'Crosswalk Detail'!A:B,2,FALSE))</f>
        <v>#REF!</v>
      </c>
    </row>
    <row r="109" spans="1:8" ht="144" customHeight="1" x14ac:dyDescent="0.2">
      <c r="A109" s="148" t="str">
        <f>'High Risk Non-Compliant'!B65</f>
        <v>MAPP-06</v>
      </c>
      <c r="B109" s="355" t="str">
        <f>'High Risk Non-Compliant'!C65</f>
        <v>Is Institution's data encrypted in storage? (e.g. disk encryption, at-rest)</v>
      </c>
      <c r="C109" s="355"/>
      <c r="D109" s="354">
        <f>'High Risk Non-Compliant'!D65</f>
        <v>0</v>
      </c>
      <c r="E109" s="354"/>
      <c r="F109" s="354"/>
      <c r="G109" s="147" t="e">
        <f>IF(VLOOKUP(A109,'High Risk Non-Compliant'!B:K,$H$48,FALSE)=0,"N/A",VLOOKUP(A109,'High Risk Non-Compliant'!B:K,$H$48,FALSE))</f>
        <v>#REF!</v>
      </c>
      <c r="H109" s="147" t="e">
        <f>IF(G109="N/A","N/A",VLOOKUP(G109,'Crosswalk Detail'!A:B,2,FALSE))</f>
        <v>#REF!</v>
      </c>
    </row>
    <row r="110" spans="1:8" ht="144" customHeight="1" x14ac:dyDescent="0.2">
      <c r="A110" s="148" t="str">
        <f>'High Risk Non-Compliant'!B66</f>
        <v>MAPP-07</v>
      </c>
      <c r="B110" s="355" t="str">
        <f>'High Risk Non-Compliant'!C66</f>
        <v>Does the mobile application support Kerberos, CAS, or Active Directory authentication?</v>
      </c>
      <c r="C110" s="355"/>
      <c r="D110" s="354">
        <f>'High Risk Non-Compliant'!D66</f>
        <v>0</v>
      </c>
      <c r="E110" s="354"/>
      <c r="F110" s="354"/>
      <c r="G110" s="147" t="e">
        <f>IF(VLOOKUP(A110,'High Risk Non-Compliant'!B:K,$H$48,FALSE)=0,"N/A",VLOOKUP(A110,'High Risk Non-Compliant'!B:K,$H$48,FALSE))</f>
        <v>#REF!</v>
      </c>
      <c r="H110" s="147" t="e">
        <f>IF(G110="N/A","N/A",VLOOKUP(G110,'Crosswalk Detail'!A:B,2,FALSE))</f>
        <v>#REF!</v>
      </c>
    </row>
    <row r="111" spans="1:8" ht="144" customHeight="1" x14ac:dyDescent="0.2">
      <c r="A111" s="148" t="str">
        <f>'High Risk Non-Compliant'!B67</f>
        <v>MAPP-09</v>
      </c>
      <c r="B111" s="355" t="str">
        <f>'High Risk Non-Compliant'!C67</f>
        <v>Does the application adhere to secure coding practices (e.g. OWASP, etc.)?</v>
      </c>
      <c r="C111" s="355"/>
      <c r="D111" s="354">
        <f>'High Risk Non-Compliant'!D67</f>
        <v>0</v>
      </c>
      <c r="E111" s="354"/>
      <c r="F111" s="354"/>
      <c r="G111" s="147" t="e">
        <f>IF(VLOOKUP(A111,'High Risk Non-Compliant'!B:K,$H$48,FALSE)=0,"N/A",VLOOKUP(A111,'High Risk Non-Compliant'!B:K,$H$48,FALSE))</f>
        <v>#REF!</v>
      </c>
      <c r="H111" s="147" t="e">
        <f>IF(G111="N/A","N/A",VLOOKUP(G111,'Crosswalk Detail'!A:B,2,FALSE))</f>
        <v>#REF!</v>
      </c>
    </row>
    <row r="112" spans="1:8" ht="144" customHeight="1" x14ac:dyDescent="0.2">
      <c r="A112" s="148" t="str">
        <f>'High Risk Non-Compliant'!B68</f>
        <v>MAPP-10</v>
      </c>
      <c r="B112" s="355" t="str">
        <f>'High Risk Non-Compliant'!C68</f>
        <v>Has the application been tested for vulnerabilities by a third party?</v>
      </c>
      <c r="C112" s="355"/>
      <c r="D112" s="354">
        <f>'High Risk Non-Compliant'!D68</f>
        <v>0</v>
      </c>
      <c r="E112" s="354"/>
      <c r="F112" s="354"/>
      <c r="G112" s="147" t="e">
        <f>IF(VLOOKUP(A112,'High Risk Non-Compliant'!B:K,$H$48,FALSE)=0,"N/A",VLOOKUP(A112,'High Risk Non-Compliant'!B:K,$H$48,FALSE))</f>
        <v>#REF!</v>
      </c>
      <c r="H112" s="147" t="e">
        <f>IF(G112="N/A","N/A",VLOOKUP(G112,'Crosswalk Detail'!A:B,2,FALSE))</f>
        <v>#REF!</v>
      </c>
    </row>
    <row r="113" spans="1:8" ht="144" customHeight="1" x14ac:dyDescent="0.2">
      <c r="A113" s="148" t="str">
        <f>'High Risk Non-Compliant'!B69</f>
        <v>MAPP-11</v>
      </c>
      <c r="B113" s="355" t="str">
        <f>'High Risk Non-Compliant'!C69</f>
        <v>State the party that performed the vulnerability test and the date it was conducted?</v>
      </c>
      <c r="C113" s="355"/>
      <c r="D113" s="354">
        <f>'High Risk Non-Compliant'!D69</f>
        <v>0</v>
      </c>
      <c r="E113" s="354"/>
      <c r="F113" s="354"/>
      <c r="G113" s="147" t="e">
        <f>IF(VLOOKUP(A113,'High Risk Non-Compliant'!B:K,$H$48,FALSE)=0,"N/A",VLOOKUP(A113,'High Risk Non-Compliant'!B:K,$H$48,FALSE))</f>
        <v>#REF!</v>
      </c>
      <c r="H113" s="147" t="e">
        <f>IF(G113="N/A","N/A",VLOOKUP(G113,'Crosswalk Detail'!A:B,2,FALSE))</f>
        <v>#REF!</v>
      </c>
    </row>
    <row r="114" spans="1:8" ht="144" customHeight="1" x14ac:dyDescent="0.2">
      <c r="A114" s="148" t="str">
        <f>'High Risk Non-Compliant'!B70</f>
        <v>PHYS-02</v>
      </c>
      <c r="B114" s="355" t="str">
        <f>'High Risk Non-Compliant'!C70</f>
        <v>Are employees allowed to take home Institution's data in any form?</v>
      </c>
      <c r="C114" s="355"/>
      <c r="D114" s="354">
        <f>'High Risk Non-Compliant'!D70</f>
        <v>0</v>
      </c>
      <c r="E114" s="354"/>
      <c r="F114" s="354"/>
      <c r="G114" s="147" t="e">
        <f>IF(VLOOKUP(A114,'High Risk Non-Compliant'!B:K,$H$48,FALSE)=0,"N/A",VLOOKUP(A114,'High Risk Non-Compliant'!B:K,$H$48,FALSE))</f>
        <v>#REF!</v>
      </c>
      <c r="H114" s="147" t="e">
        <f>IF(G114="N/A","N/A",VLOOKUP(G114,'Crosswalk Detail'!A:B,2,FALSE))</f>
        <v>#REF!</v>
      </c>
    </row>
    <row r="115" spans="1:8" ht="144" customHeight="1" x14ac:dyDescent="0.2">
      <c r="A115" s="148" t="str">
        <f>'High Risk Non-Compliant'!B71</f>
        <v>PPPR-02</v>
      </c>
      <c r="B115" s="355" t="str">
        <f>'High Risk Non-Compliant'!C71</f>
        <v>Do you have a documented patch management process?</v>
      </c>
      <c r="C115" s="355"/>
      <c r="D115" s="354">
        <f>'High Risk Non-Compliant'!D71</f>
        <v>0</v>
      </c>
      <c r="E115" s="354"/>
      <c r="F115" s="354"/>
      <c r="G115" s="147" t="e">
        <f>IF(VLOOKUP(A115,'High Risk Non-Compliant'!B:K,$H$48,FALSE)=0,"N/A",VLOOKUP(A115,'High Risk Non-Compliant'!B:K,$H$48,FALSE))</f>
        <v>#REF!</v>
      </c>
      <c r="H115" s="147" t="e">
        <f>IF(G115="N/A","N/A",VLOOKUP(G115,'Crosswalk Detail'!A:B,2,FALSE))</f>
        <v>#REF!</v>
      </c>
    </row>
    <row r="116" spans="1:8" ht="144" customHeight="1" x14ac:dyDescent="0.2">
      <c r="A116" s="148" t="str">
        <f>'High Risk Non-Compliant'!B72</f>
        <v>PPPR-04</v>
      </c>
      <c r="B116" s="355" t="str">
        <f>'High Risk Non-Compliant'!C72</f>
        <v>Have your developers been trained in secure coding techniques?</v>
      </c>
      <c r="C116" s="355"/>
      <c r="D116" s="354">
        <f>'High Risk Non-Compliant'!D72</f>
        <v>0</v>
      </c>
      <c r="E116" s="354"/>
      <c r="F116" s="354"/>
      <c r="G116" s="147" t="e">
        <f>IF(VLOOKUP(A116,'High Risk Non-Compliant'!B:K,$H$48,FALSE)=0,"N/A",VLOOKUP(A116,'High Risk Non-Compliant'!B:K,$H$48,FALSE))</f>
        <v>#REF!</v>
      </c>
      <c r="H116" s="147" t="e">
        <f>IF(G116="N/A","N/A",VLOOKUP(G116,'Crosswalk Detail'!A:B,2,FALSE))</f>
        <v>#REF!</v>
      </c>
    </row>
    <row r="117" spans="1:8" ht="144" customHeight="1" x14ac:dyDescent="0.2">
      <c r="A117" s="148" t="str">
        <f>'High Risk Non-Compliant'!B73</f>
        <v>PPPR-06</v>
      </c>
      <c r="B117" s="355" t="str">
        <f>'High Risk Non-Compliant'!C73</f>
        <v>Do you subject your code to static code analysis and/or static application security testing prior to release?</v>
      </c>
      <c r="C117" s="355"/>
      <c r="D117" s="354">
        <f>'High Risk Non-Compliant'!D73</f>
        <v>0</v>
      </c>
      <c r="E117" s="354"/>
      <c r="F117" s="354"/>
      <c r="G117" s="147" t="e">
        <f>IF(VLOOKUP(A117,'High Risk Non-Compliant'!B:K,$H$48,FALSE)=0,"N/A",VLOOKUP(A117,'High Risk Non-Compliant'!B:K,$H$48,FALSE))</f>
        <v>#REF!</v>
      </c>
      <c r="H117" s="147" t="e">
        <f>IF(G117="N/A","N/A",VLOOKUP(G117,'Crosswalk Detail'!A:B,2,FALSE))</f>
        <v>#REF!</v>
      </c>
    </row>
    <row r="118" spans="1:8" ht="144" customHeight="1" x14ac:dyDescent="0.2">
      <c r="A118" s="148" t="str">
        <f>'High Risk Non-Compliant'!B74</f>
        <v>PPPR-10</v>
      </c>
      <c r="B118" s="355" t="str">
        <f>'High Risk Non-Compliant'!C74</f>
        <v>Do you have a formal incident response plan?</v>
      </c>
      <c r="C118" s="355"/>
      <c r="D118" s="354">
        <f>'High Risk Non-Compliant'!D74</f>
        <v>0</v>
      </c>
      <c r="E118" s="354"/>
      <c r="F118" s="354"/>
      <c r="G118" s="147" t="e">
        <f>IF(VLOOKUP(A118,'High Risk Non-Compliant'!B:K,$H$48,FALSE)=0,"N/A",VLOOKUP(A118,'High Risk Non-Compliant'!B:K,$H$48,FALSE))</f>
        <v>#REF!</v>
      </c>
      <c r="H118" s="147" t="e">
        <f>IF(G118="N/A","N/A",VLOOKUP(G118,'Crosswalk Detail'!A:B,2,FALSE))</f>
        <v>#REF!</v>
      </c>
    </row>
    <row r="119" spans="1:8" ht="144" customHeight="1" x14ac:dyDescent="0.2">
      <c r="A119" s="148" t="str">
        <f>'High Risk Non-Compliant'!B75</f>
        <v>PPPR-11</v>
      </c>
      <c r="B119" s="355" t="str">
        <f>'High Risk Non-Compliant'!C75</f>
        <v>Will you comply with applicable breach notification laws?</v>
      </c>
      <c r="C119" s="355"/>
      <c r="D119" s="354">
        <f>'High Risk Non-Compliant'!D75</f>
        <v>0</v>
      </c>
      <c r="E119" s="354"/>
      <c r="F119" s="354"/>
      <c r="G119" s="147" t="e">
        <f>IF(VLOOKUP(A119,'High Risk Non-Compliant'!B:K,$H$48,FALSE)=0,"N/A",VLOOKUP(A119,'High Risk Non-Compliant'!B:K,$H$48,FALSE))</f>
        <v>#REF!</v>
      </c>
      <c r="H119" s="147" t="e">
        <f>IF(G119="N/A","N/A",VLOOKUP(G119,'Crosswalk Detail'!A:B,2,FALSE))</f>
        <v>#REF!</v>
      </c>
    </row>
    <row r="120" spans="1:8" ht="144" customHeight="1" x14ac:dyDescent="0.2">
      <c r="A120" s="148" t="str">
        <f>'High Risk Non-Compliant'!B76</f>
        <v>PPPR-16</v>
      </c>
      <c r="B120" s="355" t="str">
        <f>'High Risk Non-Compliant'!C76</f>
        <v>Do you have documented information security policy?</v>
      </c>
      <c r="C120" s="355"/>
      <c r="D120" s="354">
        <f>'High Risk Non-Compliant'!D76</f>
        <v>0</v>
      </c>
      <c r="E120" s="354"/>
      <c r="F120" s="354"/>
      <c r="G120" s="147" t="e">
        <f>IF(VLOOKUP(A120,'High Risk Non-Compliant'!B:K,$H$48,FALSE)=0,"N/A",VLOOKUP(A120,'High Risk Non-Compliant'!B:K,$H$48,FALSE))</f>
        <v>#REF!</v>
      </c>
      <c r="H120" s="147" t="e">
        <f>IF(G120="N/A","N/A",VLOOKUP(G120,'Crosswalk Detail'!A:B,2,FALSE))</f>
        <v>#REF!</v>
      </c>
    </row>
    <row r="121" spans="1:8" ht="144" customHeight="1" x14ac:dyDescent="0.2">
      <c r="A121" s="148" t="str">
        <f>'High Risk Non-Compliant'!B77</f>
        <v>PPPR-17</v>
      </c>
      <c r="B121" s="355" t="str">
        <f>'High Risk Non-Compliant'!C77</f>
        <v>Do you have an information security awareness program?</v>
      </c>
      <c r="C121" s="355"/>
      <c r="D121" s="354">
        <f>'High Risk Non-Compliant'!D77</f>
        <v>0</v>
      </c>
      <c r="E121" s="354"/>
      <c r="F121" s="354"/>
      <c r="G121" s="147" t="e">
        <f>IF(VLOOKUP(A121,'High Risk Non-Compliant'!B:K,$H$48,FALSE)=0,"N/A",VLOOKUP(A121,'High Risk Non-Compliant'!B:K,$H$48,FALSE))</f>
        <v>#REF!</v>
      </c>
      <c r="H121" s="147" t="e">
        <f>IF(G121="N/A","N/A",VLOOKUP(G121,'Crosswalk Detail'!A:B,2,FALSE))</f>
        <v>#REF!</v>
      </c>
    </row>
    <row r="122" spans="1:8" ht="144" customHeight="1" x14ac:dyDescent="0.2">
      <c r="A122" s="148" t="str">
        <f>'High Risk Non-Compliant'!B78</f>
        <v>SYST-01</v>
      </c>
      <c r="B122" s="355" t="str">
        <f>'High Risk Non-Compliant'!C78</f>
        <v>Are systems that support this service managed via a separate management network?</v>
      </c>
      <c r="C122" s="355"/>
      <c r="D122" s="354">
        <f>'High Risk Non-Compliant'!D78</f>
        <v>0</v>
      </c>
      <c r="E122" s="354"/>
      <c r="F122" s="354"/>
      <c r="G122" s="147" t="e">
        <f>IF(VLOOKUP(A122,'High Risk Non-Compliant'!B:K,$H$48,FALSE)=0,"N/A",VLOOKUP(A122,'High Risk Non-Compliant'!B:K,$H$48,FALSE))</f>
        <v>#REF!</v>
      </c>
      <c r="H122" s="147" t="e">
        <f>IF(G122="N/A","N/A",VLOOKUP(G122,'Crosswalk Detail'!A:B,2,FALSE))</f>
        <v>#REF!</v>
      </c>
    </row>
    <row r="123" spans="1:8" ht="144" customHeight="1" x14ac:dyDescent="0.2">
      <c r="A123" s="148" t="str">
        <f>'High Risk Non-Compliant'!B79</f>
        <v>VULN-01</v>
      </c>
      <c r="B123" s="355" t="str">
        <f>'High Risk Non-Compliant'!C79</f>
        <v>Are your applications scanned externally for vulnerabilities?</v>
      </c>
      <c r="C123" s="355"/>
      <c r="D123" s="354">
        <f>'High Risk Non-Compliant'!D79</f>
        <v>0</v>
      </c>
      <c r="E123" s="354"/>
      <c r="F123" s="354"/>
      <c r="G123" s="147" t="e">
        <f>IF(VLOOKUP(A123,'High Risk Non-Compliant'!B:K,$H$48,FALSE)=0,"N/A",VLOOKUP(A123,'High Risk Non-Compliant'!B:K,$H$48,FALSE))</f>
        <v>#REF!</v>
      </c>
      <c r="H123" s="147" t="e">
        <f>IF(G123="N/A","N/A",VLOOKUP(G123,'Crosswalk Detail'!A:B,2,FALSE))</f>
        <v>#REF!</v>
      </c>
    </row>
    <row r="124" spans="1:8" ht="144" customHeight="1" x14ac:dyDescent="0.2">
      <c r="A124" s="148" t="str">
        <f>'High Risk Non-Compliant'!B80</f>
        <v>VULN-04</v>
      </c>
      <c r="B124" s="355" t="str">
        <f>'High Risk Non-Compliant'!C80</f>
        <v>Are your systems scanned externally for vulnerabilities?</v>
      </c>
      <c r="C124" s="355"/>
      <c r="D124" s="354">
        <f>'High Risk Non-Compliant'!D80</f>
        <v>0</v>
      </c>
      <c r="E124" s="354"/>
      <c r="F124" s="354"/>
      <c r="G124" s="147" t="e">
        <f>IF(VLOOKUP(A124,'High Risk Non-Compliant'!B:K,$H$48,FALSE)=0,"N/A",VLOOKUP(A124,'High Risk Non-Compliant'!B:K,$H$48,FALSE))</f>
        <v>#REF!</v>
      </c>
      <c r="H124" s="147" t="e">
        <f>IF(G124="N/A","N/A",VLOOKUP(G124,'Crosswalk Detail'!A:B,2,FALSE))</f>
        <v>#REF!</v>
      </c>
    </row>
    <row r="125" spans="1:8" ht="144" customHeight="1" x14ac:dyDescent="0.2">
      <c r="A125" s="148" t="str">
        <f>'High Risk Non-Compliant'!B81</f>
        <v>VULN-05</v>
      </c>
      <c r="B125" s="355" t="str">
        <f>'High Risk Non-Compliant'!C81</f>
        <v>Have your systems had an external vulnerability assessment in the last year?</v>
      </c>
      <c r="C125" s="355"/>
      <c r="D125" s="354">
        <f>'High Risk Non-Compliant'!D81</f>
        <v>0</v>
      </c>
      <c r="E125" s="354"/>
      <c r="F125" s="354"/>
      <c r="G125" s="147" t="e">
        <f>IF(VLOOKUP(A125,'High Risk Non-Compliant'!B:K,$H$48,FALSE)=0,"N/A",VLOOKUP(A125,'High Risk Non-Compliant'!B:K,$H$48,FALSE))</f>
        <v>#REF!</v>
      </c>
      <c r="H125" s="147" t="e">
        <f>IF(G125="N/A","N/A",VLOOKUP(G125,'Crosswalk Detail'!A:B,2,FALSE))</f>
        <v>#REF!</v>
      </c>
    </row>
    <row r="126" spans="1:8" ht="144" customHeight="1" x14ac:dyDescent="0.2">
      <c r="A126" s="148" t="str">
        <f>'High Risk Non-Compliant'!B82</f>
        <v>VULN-09</v>
      </c>
      <c r="B126" s="355" t="str">
        <f>'High Risk Non-Compliant'!C82</f>
        <v>Will you allow the institution to perform its own security testing of your systems and/or application provided that testing is performed at a mutually agreed upon time and date?</v>
      </c>
      <c r="C126" s="355"/>
      <c r="D126" s="354">
        <f>'High Risk Non-Compliant'!D82</f>
        <v>0</v>
      </c>
      <c r="E126" s="354"/>
      <c r="F126" s="354"/>
      <c r="G126" s="147" t="e">
        <f>IF(VLOOKUP(A126,'High Risk Non-Compliant'!B:K,$H$48,FALSE)=0,"N/A",VLOOKUP(A126,'High Risk Non-Compliant'!B:K,$H$48,FALSE))</f>
        <v>#REF!</v>
      </c>
      <c r="H126" s="147" t="e">
        <f>IF(G126="N/A","N/A",VLOOKUP(G126,'Crosswalk Detail'!A:B,2,FALSE))</f>
        <v>#REF!</v>
      </c>
    </row>
    <row r="127" spans="1:8" ht="144" customHeight="1" x14ac:dyDescent="0.2">
      <c r="A127" s="148" t="str">
        <f>'High Risk Non-Compliant'!B83</f>
        <v>HIPA-03</v>
      </c>
      <c r="B127" s="355" t="str">
        <f>'High Risk Non-Compliant'!C83</f>
        <v>Has your organization designated HIPAA Privacy and Security officers as required by the Rules?</v>
      </c>
      <c r="C127" s="355"/>
      <c r="D127" s="354">
        <f>'High Risk Non-Compliant'!D83</f>
        <v>0</v>
      </c>
      <c r="E127" s="354"/>
      <c r="F127" s="354"/>
      <c r="G127" s="147" t="e">
        <f>IF(VLOOKUP(A127,'High Risk Non-Compliant'!B:K,$H$48,FALSE)=0,"N/A",VLOOKUP(A127,'High Risk Non-Compliant'!B:K,$H$48,FALSE))</f>
        <v>#REF!</v>
      </c>
      <c r="H127" s="147" t="e">
        <f>IF(G127="N/A","N/A",VLOOKUP(G127,'Crosswalk Detail'!A:B,2,FALSE))</f>
        <v>#REF!</v>
      </c>
    </row>
    <row r="128" spans="1:8" ht="144" customHeight="1" x14ac:dyDescent="0.2">
      <c r="A128" s="148" t="str">
        <f>'High Risk Non-Compliant'!B84</f>
        <v>HIPA-04</v>
      </c>
      <c r="B128" s="355" t="str">
        <f>'High Risk Non-Compliant'!C84</f>
        <v>Do you comply with the requirements of the Health Information Technology for Economic and Clinical Health Act (HITECH)?</v>
      </c>
      <c r="C128" s="355"/>
      <c r="D128" s="354">
        <f>'High Risk Non-Compliant'!D84</f>
        <v>0</v>
      </c>
      <c r="E128" s="354"/>
      <c r="F128" s="354"/>
      <c r="G128" s="147" t="e">
        <f>IF(VLOOKUP(A128,'High Risk Non-Compliant'!B:K,$H$48,FALSE)=0,"N/A",VLOOKUP(A128,'High Risk Non-Compliant'!B:K,$H$48,FALSE))</f>
        <v>#REF!</v>
      </c>
      <c r="H128" s="147" t="e">
        <f>IF(G128="N/A","N/A",VLOOKUP(G128,'Crosswalk Detail'!A:B,2,FALSE))</f>
        <v>#REF!</v>
      </c>
    </row>
    <row r="129" spans="1:8" ht="144" customHeight="1" x14ac:dyDescent="0.2">
      <c r="A129" s="148" t="str">
        <f>'High Risk Non-Compliant'!B85</f>
        <v>HIPA-06</v>
      </c>
      <c r="B129" s="355" t="str">
        <f>'High Risk Non-Compliant'!C85</f>
        <v>Do you have a plan to comply with the Breach Notification requirements if there is a breach of data?</v>
      </c>
      <c r="C129" s="355"/>
      <c r="D129" s="354">
        <f>'High Risk Non-Compliant'!D85</f>
        <v>0</v>
      </c>
      <c r="E129" s="354"/>
      <c r="F129" s="354"/>
      <c r="G129" s="147" t="e">
        <f>IF(VLOOKUP(A129,'High Risk Non-Compliant'!B:K,$H$48,FALSE)=0,"N/A",VLOOKUP(A129,'High Risk Non-Compliant'!B:K,$H$48,FALSE))</f>
        <v>#REF!</v>
      </c>
      <c r="H129" s="147" t="e">
        <f>IF(G129="N/A","N/A",VLOOKUP(G129,'Crosswalk Detail'!A:B,2,FALSE))</f>
        <v>#REF!</v>
      </c>
    </row>
    <row r="130" spans="1:8" ht="144" customHeight="1" x14ac:dyDescent="0.2">
      <c r="A130" s="148" t="str">
        <f>'High Risk Non-Compliant'!B86</f>
        <v>HIPA-07</v>
      </c>
      <c r="B130" s="355" t="str">
        <f>'High Risk Non-Compliant'!C86</f>
        <v>Have you conducted a risk analysis as required under the Security Rule?</v>
      </c>
      <c r="C130" s="355"/>
      <c r="D130" s="354">
        <f>'High Risk Non-Compliant'!D86</f>
        <v>0</v>
      </c>
      <c r="E130" s="354"/>
      <c r="F130" s="354"/>
      <c r="G130" s="147" t="e">
        <f>IF(VLOOKUP(A130,'High Risk Non-Compliant'!B:K,$H$48,FALSE)=0,"N/A",VLOOKUP(A130,'High Risk Non-Compliant'!B:K,$H$48,FALSE))</f>
        <v>#REF!</v>
      </c>
      <c r="H130" s="147" t="e">
        <f>IF(G130="N/A","N/A",VLOOKUP(G130,'Crosswalk Detail'!A:B,2,FALSE))</f>
        <v>#REF!</v>
      </c>
    </row>
    <row r="131" spans="1:8" ht="144" customHeight="1" x14ac:dyDescent="0.2">
      <c r="A131" s="148" t="str">
        <f>'High Risk Non-Compliant'!B87</f>
        <v>HIPA-14</v>
      </c>
      <c r="B131" s="355" t="str">
        <f>'High Risk Non-Compliant'!C87</f>
        <v>Are passwords visible in plain text, whether when stored or entered, including service level accounts (i.e. database accounts, etc.)?</v>
      </c>
      <c r="C131" s="355"/>
      <c r="D131" s="354">
        <f>'High Risk Non-Compliant'!D87</f>
        <v>0</v>
      </c>
      <c r="E131" s="354"/>
      <c r="F131" s="354"/>
      <c r="G131" s="147" t="e">
        <f>IF(VLOOKUP(A131,'High Risk Non-Compliant'!B:K,$H$48,FALSE)=0,"N/A",VLOOKUP(A131,'High Risk Non-Compliant'!B:K,$H$48,FALSE))</f>
        <v>#REF!</v>
      </c>
      <c r="H131" s="147" t="e">
        <f>IF(G131="N/A","N/A",VLOOKUP(G131,'Crosswalk Detail'!A:B,2,FALSE))</f>
        <v>#REF!</v>
      </c>
    </row>
    <row r="132" spans="1:8" ht="144" customHeight="1" x14ac:dyDescent="0.2">
      <c r="A132" s="148" t="str">
        <f>'High Risk Non-Compliant'!B88</f>
        <v>PCID-03</v>
      </c>
      <c r="B132" s="355" t="str">
        <f>'High Risk Non-Compliant'!C88</f>
        <v>Do you have a current, executed within the past year, Attestation of Compliance (AoC) or Report on Compliance (RoC)?</v>
      </c>
      <c r="C132" s="355"/>
      <c r="D132" s="354">
        <f>'High Risk Non-Compliant'!D88</f>
        <v>0</v>
      </c>
      <c r="E132" s="354"/>
      <c r="F132" s="354"/>
      <c r="G132" s="147" t="e">
        <f>IF(VLOOKUP(A132,'High Risk Non-Compliant'!B:K,$H$48,FALSE)=0,"N/A",VLOOKUP(A132,'High Risk Non-Compliant'!B:K,$H$48,FALSE))</f>
        <v>#REF!</v>
      </c>
      <c r="H132" s="147" t="e">
        <f>IF(G132="N/A","N/A",VLOOKUP(G132,'Crosswalk Detail'!A:B,2,FALSE))</f>
        <v>#REF!</v>
      </c>
    </row>
    <row r="133" spans="1:8" ht="144" customHeight="1" x14ac:dyDescent="0.2">
      <c r="A133" s="148" t="str">
        <f>'High Risk Non-Compliant'!B89</f>
        <v>PCID-06</v>
      </c>
      <c r="B133" s="355" t="str">
        <f>'High Risk Non-Compliant'!C89</f>
        <v>Are you classified as a merchant?  If so, what level (1, 2, 3, 4)?</v>
      </c>
      <c r="C133" s="355"/>
      <c r="D133" s="354">
        <f>'High Risk Non-Compliant'!D89</f>
        <v>0</v>
      </c>
      <c r="E133" s="354"/>
      <c r="F133" s="354"/>
      <c r="G133" s="147" t="e">
        <f>IF(VLOOKUP(A133,'High Risk Non-Compliant'!B:K,$H$48,FALSE)=0,"N/A",VLOOKUP(A133,'High Risk Non-Compliant'!B:K,$H$48,FALSE))</f>
        <v>#REF!</v>
      </c>
      <c r="H133" s="147" t="e">
        <f>IF(G133="N/A","N/A",VLOOKUP(G133,'Crosswalk Detail'!A:B,2,FALSE))</f>
        <v>#REF!</v>
      </c>
    </row>
    <row r="134" spans="1:8" ht="144" customHeight="1" x14ac:dyDescent="0.2">
      <c r="A134" s="148" t="str">
        <f>'High Risk Non-Compliant'!B90</f>
        <v>PCID-09</v>
      </c>
      <c r="B134" s="355" t="str">
        <f>'High Risk Non-Compliant'!C90</f>
        <v>Can the application be installed in a PCI DSS compliant manner ?</v>
      </c>
      <c r="C134" s="355"/>
      <c r="D134" s="354">
        <f>'High Risk Non-Compliant'!D90</f>
        <v>0</v>
      </c>
      <c r="E134" s="354"/>
      <c r="F134" s="354"/>
      <c r="G134" s="147" t="e">
        <f>IF(VLOOKUP(A134,'High Risk Non-Compliant'!B:K,$H$48,FALSE)=0,"N/A",VLOOKUP(A134,'High Risk Non-Compliant'!B:K,$H$48,FALSE))</f>
        <v>#REF!</v>
      </c>
      <c r="H134" s="147" t="e">
        <f>IF(G134="N/A","N/A",VLOOKUP(G134,'Crosswalk Detail'!A:B,2,FALSE))</f>
        <v>#REF!</v>
      </c>
    </row>
    <row r="135" spans="1:8" ht="144" customHeight="1" x14ac:dyDescent="0.2">
      <c r="A135" s="148" t="str">
        <f>'High Risk Non-Compliant'!B91</f>
        <v>COMP-04</v>
      </c>
      <c r="B135" s="355" t="str">
        <f>'High Risk Non-Compliant'!C91</f>
        <v>Have you had a significant breach in the last 5 years?</v>
      </c>
      <c r="C135" s="355"/>
      <c r="D135" s="354">
        <f>'High Risk Non-Compliant'!D91</f>
        <v>0</v>
      </c>
      <c r="E135" s="354"/>
      <c r="F135" s="354"/>
      <c r="G135" s="147" t="e">
        <f>IF(VLOOKUP(A135,'High Risk Non-Compliant'!B:K,$H$48,FALSE)=0,"N/A",VLOOKUP(A135,'High Risk Non-Compliant'!B:K,$H$48,FALSE))</f>
        <v>#REF!</v>
      </c>
      <c r="H135" s="147" t="e">
        <f>IF(G135="N/A","N/A",VLOOKUP(G135,'Crosswalk Detail'!A:B,2,FALSE))</f>
        <v>#REF!</v>
      </c>
    </row>
    <row r="136" spans="1:8" ht="144" customHeight="1" x14ac:dyDescent="0.2">
      <c r="A136" s="148" t="str">
        <f>'High Risk Non-Compliant'!B92</f>
        <v>COMP-05</v>
      </c>
      <c r="B136" s="355" t="str">
        <f>'High Risk Non-Compliant'!C92</f>
        <v>Do you have a dedicated Information Security staff or office?</v>
      </c>
      <c r="C136" s="355"/>
      <c r="D136" s="354">
        <f>'High Risk Non-Compliant'!D92</f>
        <v>0</v>
      </c>
      <c r="E136" s="354"/>
      <c r="F136" s="354"/>
      <c r="G136" s="147" t="e">
        <f>IF(VLOOKUP(A136,'High Risk Non-Compliant'!B:K,$H$48,FALSE)=0,"N/A",VLOOKUP(A136,'High Risk Non-Compliant'!B:K,$H$48,FALSE))</f>
        <v>#REF!</v>
      </c>
      <c r="H136" s="147" t="e">
        <f>IF(G136="N/A","N/A",VLOOKUP(G136,'Crosswalk Detail'!A:B,2,FALSE))</f>
        <v>#REF!</v>
      </c>
    </row>
    <row r="137" spans="1:8" ht="144" customHeight="1" x14ac:dyDescent="0.2">
      <c r="A137" s="148" t="str">
        <f>'High Risk Non-Compliant'!B93</f>
        <v>COMP-07</v>
      </c>
      <c r="B137" s="355" t="str">
        <f>'High Risk Non-Compliant'!C93</f>
        <v>Use this area to share information about your environment that will assist those who are assessing your company data security program.</v>
      </c>
      <c r="C137" s="355"/>
      <c r="D137" s="354">
        <f>'High Risk Non-Compliant'!D93</f>
        <v>0</v>
      </c>
      <c r="E137" s="354"/>
      <c r="F137" s="354"/>
      <c r="G137" s="147" t="e">
        <f>IF(VLOOKUP(A137,'High Risk Non-Compliant'!B:K,$H$48,FALSE)=0,"N/A",VLOOKUP(A137,'High Risk Non-Compliant'!B:K,$H$48,FALSE))</f>
        <v>#REF!</v>
      </c>
      <c r="H137" s="147" t="e">
        <f>IF(G137="N/A","N/A",VLOOKUP(G137,'Crosswalk Detail'!A:B,2,FALSE))</f>
        <v>#REF!</v>
      </c>
    </row>
    <row r="138" spans="1:8" ht="144" customHeight="1" x14ac:dyDescent="0.2">
      <c r="A138" s="148">
        <f>'High Risk Non-Compliant'!B94</f>
        <v>0</v>
      </c>
      <c r="B138" s="355">
        <f>'High Risk Non-Compliant'!C94</f>
        <v>0</v>
      </c>
      <c r="C138" s="355"/>
      <c r="D138" s="354">
        <f>'High Risk Non-Compliant'!D94</f>
        <v>0</v>
      </c>
      <c r="E138" s="354"/>
      <c r="F138" s="354"/>
      <c r="G138" s="147" t="e">
        <f>IF(VLOOKUP(A138,'High Risk Non-Compliant'!B:K,$H$48,FALSE)=0,"N/A",VLOOKUP(A138,'High Risk Non-Compliant'!B:K,$H$48,FALSE))</f>
        <v>#REF!</v>
      </c>
      <c r="H138" s="147" t="e">
        <f>IF(G138="N/A","N/A",VLOOKUP(G138,'Crosswalk Detail'!A:B,2,FALSE))</f>
        <v>#REF!</v>
      </c>
    </row>
    <row r="139" spans="1:8" ht="144" customHeight="1" x14ac:dyDescent="0.2">
      <c r="A139" s="148">
        <f>'High Risk Non-Compliant'!B95</f>
        <v>0</v>
      </c>
      <c r="B139" s="355">
        <f>'High Risk Non-Compliant'!C95</f>
        <v>0</v>
      </c>
      <c r="C139" s="355"/>
      <c r="D139" s="354">
        <f>'High Risk Non-Compliant'!D95</f>
        <v>0</v>
      </c>
      <c r="E139" s="354"/>
      <c r="F139" s="354"/>
      <c r="G139" s="147" t="e">
        <f>IF(VLOOKUP(A139,'High Risk Non-Compliant'!B:K,$H$48,FALSE)=0,"N/A",VLOOKUP(A139,'High Risk Non-Compliant'!B:K,$H$48,FALSE))</f>
        <v>#REF!</v>
      </c>
      <c r="H139" s="147" t="e">
        <f>IF(G139="N/A","N/A",VLOOKUP(G139,'Crosswalk Detail'!A:B,2,FALSE))</f>
        <v>#REF!</v>
      </c>
    </row>
    <row r="140" spans="1:8" ht="144" customHeight="1" x14ac:dyDescent="0.2">
      <c r="A140" s="148">
        <f>'High Risk Non-Compliant'!B96</f>
        <v>0</v>
      </c>
      <c r="B140" s="355">
        <f>'High Risk Non-Compliant'!C96</f>
        <v>0</v>
      </c>
      <c r="C140" s="355"/>
      <c r="D140" s="354">
        <f>'High Risk Non-Compliant'!D96</f>
        <v>0</v>
      </c>
      <c r="E140" s="354"/>
      <c r="F140" s="354"/>
      <c r="G140" s="147" t="e">
        <f>IF(VLOOKUP(A140,'High Risk Non-Compliant'!B:K,$H$48,FALSE)=0,"N/A",VLOOKUP(A140,'High Risk Non-Compliant'!B:K,$H$48,FALSE))</f>
        <v>#REF!</v>
      </c>
      <c r="H140" s="147" t="e">
        <f>IF(G140="N/A","N/A",VLOOKUP(G140,'Crosswalk Detail'!A:B,2,FALSE))</f>
        <v>#REF!</v>
      </c>
    </row>
    <row r="141" spans="1:8" ht="144" customHeight="1" x14ac:dyDescent="0.2">
      <c r="A141" s="148">
        <f>'High Risk Non-Compliant'!B97</f>
        <v>0</v>
      </c>
      <c r="B141" s="355">
        <f>'High Risk Non-Compliant'!C97</f>
        <v>0</v>
      </c>
      <c r="C141" s="355"/>
      <c r="D141" s="354">
        <f>'High Risk Non-Compliant'!D97</f>
        <v>0</v>
      </c>
      <c r="E141" s="354"/>
      <c r="F141" s="354"/>
      <c r="G141" s="147" t="e">
        <f>IF(VLOOKUP(A141,'High Risk Non-Compliant'!B:K,$H$48,FALSE)=0,"N/A",VLOOKUP(A141,'High Risk Non-Compliant'!B:K,$H$48,FALSE))</f>
        <v>#REF!</v>
      </c>
      <c r="H141" s="147" t="e">
        <f>IF(G141="N/A","N/A",VLOOKUP(G141,'Crosswalk Detail'!A:B,2,FALSE))</f>
        <v>#REF!</v>
      </c>
    </row>
    <row r="142" spans="1:8" ht="144" customHeight="1" x14ac:dyDescent="0.2">
      <c r="A142" s="148">
        <f>'High Risk Non-Compliant'!B98</f>
        <v>0</v>
      </c>
      <c r="B142" s="355">
        <f>'High Risk Non-Compliant'!C98</f>
        <v>0</v>
      </c>
      <c r="C142" s="355"/>
      <c r="D142" s="354">
        <f>'High Risk Non-Compliant'!D98</f>
        <v>0</v>
      </c>
      <c r="E142" s="354"/>
      <c r="F142" s="354"/>
      <c r="G142" s="147" t="e">
        <f>IF(VLOOKUP(A142,'High Risk Non-Compliant'!B:K,$H$48,FALSE)=0,"N/A",VLOOKUP(A142,'High Risk Non-Compliant'!B:K,$H$48,FALSE))</f>
        <v>#REF!</v>
      </c>
      <c r="H142" s="147" t="e">
        <f>IF(G142="N/A","N/A",VLOOKUP(G142,'Crosswalk Detail'!A:B,2,FALSE))</f>
        <v>#REF!</v>
      </c>
    </row>
    <row r="143" spans="1:8" ht="144" customHeight="1" x14ac:dyDescent="0.2">
      <c r="A143" s="148">
        <f>'High Risk Non-Compliant'!B99</f>
        <v>0</v>
      </c>
      <c r="B143" s="355">
        <f>'High Risk Non-Compliant'!C99</f>
        <v>0</v>
      </c>
      <c r="C143" s="355"/>
      <c r="D143" s="354">
        <f>'High Risk Non-Compliant'!D99</f>
        <v>0</v>
      </c>
      <c r="E143" s="354"/>
      <c r="F143" s="354"/>
      <c r="G143" s="147" t="e">
        <f>IF(VLOOKUP(A143,'High Risk Non-Compliant'!B:K,$H$48,FALSE)=0,"N/A",VLOOKUP(A143,'High Risk Non-Compliant'!B:K,$H$48,FALSE))</f>
        <v>#REF!</v>
      </c>
      <c r="H143" s="147" t="e">
        <f>IF(G143="N/A","N/A",VLOOKUP(G143,'Crosswalk Detail'!A:B,2,FALSE))</f>
        <v>#REF!</v>
      </c>
    </row>
    <row r="144" spans="1:8" ht="144" customHeight="1" x14ac:dyDescent="0.2">
      <c r="A144" s="148">
        <f>'High Risk Non-Compliant'!B100</f>
        <v>0</v>
      </c>
      <c r="B144" s="355">
        <f>'High Risk Non-Compliant'!C100</f>
        <v>0</v>
      </c>
      <c r="C144" s="355"/>
      <c r="D144" s="354">
        <f>'High Risk Non-Compliant'!D100</f>
        <v>0</v>
      </c>
      <c r="E144" s="354"/>
      <c r="F144" s="354"/>
      <c r="G144" s="147" t="e">
        <f>IF(VLOOKUP(A144,'High Risk Non-Compliant'!B:K,$H$48,FALSE)=0,"N/A",VLOOKUP(A144,'High Risk Non-Compliant'!B:K,$H$48,FALSE))</f>
        <v>#REF!</v>
      </c>
      <c r="H144" s="147" t="e">
        <f>IF(G144="N/A","N/A",VLOOKUP(G144,'Crosswalk Detail'!A:B,2,FALSE))</f>
        <v>#REF!</v>
      </c>
    </row>
    <row r="145" spans="1:8" ht="144" customHeight="1" x14ac:dyDescent="0.2">
      <c r="A145" s="148">
        <f>'High Risk Non-Compliant'!B101</f>
        <v>0</v>
      </c>
      <c r="B145" s="355">
        <f>'High Risk Non-Compliant'!C101</f>
        <v>0</v>
      </c>
      <c r="C145" s="355"/>
      <c r="D145" s="354">
        <f>'High Risk Non-Compliant'!D101</f>
        <v>0</v>
      </c>
      <c r="E145" s="354"/>
      <c r="F145" s="354"/>
      <c r="G145" s="147" t="e">
        <f>IF(VLOOKUP(A145,'High Risk Non-Compliant'!B:K,$H$48,FALSE)=0,"N/A",VLOOKUP(A145,'High Risk Non-Compliant'!B:K,$H$48,FALSE))</f>
        <v>#REF!</v>
      </c>
      <c r="H145" s="147" t="e">
        <f>IF(G145="N/A","N/A",VLOOKUP(G145,'Crosswalk Detail'!A:B,2,FALSE))</f>
        <v>#REF!</v>
      </c>
    </row>
    <row r="146" spans="1:8" ht="144" customHeight="1" x14ac:dyDescent="0.2">
      <c r="A146" s="148">
        <f>'High Risk Non-Compliant'!B102</f>
        <v>0</v>
      </c>
      <c r="B146" s="355">
        <f>'High Risk Non-Compliant'!C102</f>
        <v>0</v>
      </c>
      <c r="C146" s="355"/>
      <c r="D146" s="354">
        <f>'High Risk Non-Compliant'!D102</f>
        <v>0</v>
      </c>
      <c r="E146" s="354"/>
      <c r="F146" s="354"/>
      <c r="G146" s="147" t="e">
        <f>IF(VLOOKUP(A146,'High Risk Non-Compliant'!B:K,$H$48,FALSE)=0,"N/A",VLOOKUP(A146,'High Risk Non-Compliant'!B:K,$H$48,FALSE))</f>
        <v>#REF!</v>
      </c>
      <c r="H146" s="147" t="e">
        <f>IF(G146="N/A","N/A",VLOOKUP(G146,'Crosswalk Detail'!A:B,2,FALSE))</f>
        <v>#REF!</v>
      </c>
    </row>
    <row r="147" spans="1:8" ht="144" customHeight="1" x14ac:dyDescent="0.2">
      <c r="A147" s="148">
        <f>'High Risk Non-Compliant'!B103</f>
        <v>0</v>
      </c>
      <c r="B147" s="355">
        <f>'High Risk Non-Compliant'!C103</f>
        <v>0</v>
      </c>
      <c r="C147" s="355"/>
      <c r="D147" s="354">
        <f>'High Risk Non-Compliant'!D103</f>
        <v>0</v>
      </c>
      <c r="E147" s="354"/>
      <c r="F147" s="354"/>
      <c r="G147" s="147" t="e">
        <f>IF(VLOOKUP(A147,'High Risk Non-Compliant'!B:K,$H$48,FALSE)=0,"N/A",VLOOKUP(A147,'High Risk Non-Compliant'!B:K,$H$48,FALSE))</f>
        <v>#REF!</v>
      </c>
      <c r="H147" s="147" t="e">
        <f>IF(G147="N/A","N/A",VLOOKUP(G147,'Crosswalk Detail'!A:B,2,FALSE))</f>
        <v>#REF!</v>
      </c>
    </row>
    <row r="148" spans="1:8" ht="144" customHeight="1" x14ac:dyDescent="0.2">
      <c r="A148" s="148">
        <f>'High Risk Non-Compliant'!B104</f>
        <v>0</v>
      </c>
      <c r="B148" s="355">
        <f>'High Risk Non-Compliant'!C104</f>
        <v>0</v>
      </c>
      <c r="C148" s="355"/>
      <c r="D148" s="354">
        <f>'High Risk Non-Compliant'!D104</f>
        <v>0</v>
      </c>
      <c r="E148" s="354"/>
      <c r="F148" s="354"/>
      <c r="G148" s="147" t="e">
        <f>IF(VLOOKUP(A148,'High Risk Non-Compliant'!B:K,$H$48,FALSE)=0,"N/A",VLOOKUP(A148,'High Risk Non-Compliant'!B:K,$H$48,FALSE))</f>
        <v>#REF!</v>
      </c>
      <c r="H148" s="147" t="e">
        <f>IF(G148="N/A","N/A",VLOOKUP(G148,'Crosswalk Detail'!A:B,2,FALSE))</f>
        <v>#REF!</v>
      </c>
    </row>
    <row r="149" spans="1:8" ht="144" customHeight="1" x14ac:dyDescent="0.2">
      <c r="A149" s="148">
        <f>'High Risk Non-Compliant'!B105</f>
        <v>0</v>
      </c>
      <c r="B149" s="355">
        <f>'High Risk Non-Compliant'!C105</f>
        <v>0</v>
      </c>
      <c r="C149" s="355"/>
      <c r="D149" s="354">
        <f>'High Risk Non-Compliant'!D105</f>
        <v>0</v>
      </c>
      <c r="E149" s="354"/>
      <c r="F149" s="354"/>
      <c r="G149" s="147" t="e">
        <f>IF(VLOOKUP(A149,'High Risk Non-Compliant'!B:K,$H$48,FALSE)=0,"N/A",VLOOKUP(A149,'High Risk Non-Compliant'!B:K,$H$48,FALSE))</f>
        <v>#REF!</v>
      </c>
      <c r="H149" s="147" t="e">
        <f>IF(G149="N/A","N/A",VLOOKUP(G149,'Crosswalk Detail'!A:B,2,FALSE))</f>
        <v>#REF!</v>
      </c>
    </row>
    <row r="150" spans="1:8" ht="144" customHeight="1" x14ac:dyDescent="0.2">
      <c r="A150" s="148">
        <f>'High Risk Non-Compliant'!B106</f>
        <v>0</v>
      </c>
      <c r="B150" s="355">
        <f>'High Risk Non-Compliant'!C106</f>
        <v>0</v>
      </c>
      <c r="C150" s="355"/>
      <c r="D150" s="354">
        <f>'High Risk Non-Compliant'!D106</f>
        <v>0</v>
      </c>
      <c r="E150" s="354"/>
      <c r="F150" s="354"/>
      <c r="G150" s="147" t="e">
        <f>IF(VLOOKUP(A150,'High Risk Non-Compliant'!B:K,$H$48,FALSE)=0,"N/A",VLOOKUP(A150,'High Risk Non-Compliant'!B:K,$H$48,FALSE))</f>
        <v>#REF!</v>
      </c>
      <c r="H150" s="147" t="e">
        <f>IF(G150="N/A","N/A",VLOOKUP(G150,'Crosswalk Detail'!A:B,2,FALSE))</f>
        <v>#REF!</v>
      </c>
    </row>
    <row r="151" spans="1:8" ht="144" customHeight="1" x14ac:dyDescent="0.2">
      <c r="A151" s="148">
        <f>'High Risk Non-Compliant'!B107</f>
        <v>0</v>
      </c>
      <c r="B151" s="355">
        <f>'High Risk Non-Compliant'!C107</f>
        <v>0</v>
      </c>
      <c r="C151" s="355"/>
      <c r="D151" s="354">
        <f>'High Risk Non-Compliant'!D107</f>
        <v>0</v>
      </c>
      <c r="E151" s="354"/>
      <c r="F151" s="354"/>
      <c r="G151" s="147" t="e">
        <f>IF(VLOOKUP(A151,'High Risk Non-Compliant'!B:K,$H$48,FALSE)=0,"N/A",VLOOKUP(A151,'High Risk Non-Compliant'!B:K,$H$48,FALSE))</f>
        <v>#REF!</v>
      </c>
      <c r="H151" s="147" t="e">
        <f>IF(G151="N/A","N/A",VLOOKUP(G151,'Crosswalk Detail'!A:B,2,FALSE))</f>
        <v>#REF!</v>
      </c>
    </row>
    <row r="152" spans="1:8" ht="144" customHeight="1" x14ac:dyDescent="0.2">
      <c r="A152" s="148">
        <f>'High Risk Non-Compliant'!B108</f>
        <v>0</v>
      </c>
      <c r="B152" s="355">
        <f>'High Risk Non-Compliant'!C108</f>
        <v>0</v>
      </c>
      <c r="C152" s="355"/>
      <c r="D152" s="354">
        <f>'High Risk Non-Compliant'!D108</f>
        <v>0</v>
      </c>
      <c r="E152" s="354"/>
      <c r="F152" s="354"/>
      <c r="G152" s="147" t="e">
        <f>IF(VLOOKUP(A152,'High Risk Non-Compliant'!B:K,$H$48,FALSE)=0,"N/A",VLOOKUP(A152,'High Risk Non-Compliant'!B:K,$H$48,FALSE))</f>
        <v>#REF!</v>
      </c>
      <c r="H152" s="147" t="e">
        <f>IF(G152="N/A","N/A",VLOOKUP(G152,'Crosswalk Detail'!A:B,2,FALSE))</f>
        <v>#REF!</v>
      </c>
    </row>
    <row r="153" spans="1:8" ht="144" customHeight="1" x14ac:dyDescent="0.2">
      <c r="A153" s="148">
        <f>'High Risk Non-Compliant'!B109</f>
        <v>0</v>
      </c>
      <c r="B153" s="355">
        <f>'High Risk Non-Compliant'!C109</f>
        <v>0</v>
      </c>
      <c r="C153" s="355"/>
      <c r="D153" s="354">
        <f>'High Risk Non-Compliant'!D109</f>
        <v>0</v>
      </c>
      <c r="E153" s="354"/>
      <c r="F153" s="354"/>
      <c r="G153" s="147" t="e">
        <f>IF(VLOOKUP(A153,'High Risk Non-Compliant'!B:K,$H$48,FALSE)=0,"N/A",VLOOKUP(A153,'High Risk Non-Compliant'!B:K,$H$48,FALSE))</f>
        <v>#REF!</v>
      </c>
      <c r="H153" s="147" t="e">
        <f>IF(G153="N/A","N/A",VLOOKUP(G153,'Crosswalk Detail'!A:B,2,FALSE))</f>
        <v>#REF!</v>
      </c>
    </row>
    <row r="154" spans="1:8" ht="144" customHeight="1" x14ac:dyDescent="0.2">
      <c r="A154" s="148">
        <f>'High Risk Non-Compliant'!B110</f>
        <v>0</v>
      </c>
      <c r="B154" s="355">
        <f>'High Risk Non-Compliant'!C110</f>
        <v>0</v>
      </c>
      <c r="C154" s="355"/>
      <c r="D154" s="354">
        <f>'High Risk Non-Compliant'!D110</f>
        <v>0</v>
      </c>
      <c r="E154" s="354"/>
      <c r="F154" s="354"/>
      <c r="G154" s="147" t="e">
        <f>IF(VLOOKUP(A154,'High Risk Non-Compliant'!B:K,$H$48,FALSE)=0,"N/A",VLOOKUP(A154,'High Risk Non-Compliant'!B:K,$H$48,FALSE))</f>
        <v>#REF!</v>
      </c>
      <c r="H154" s="147" t="e">
        <f>IF(G154="N/A","N/A",VLOOKUP(G154,'Crosswalk Detail'!A:B,2,FALSE))</f>
        <v>#REF!</v>
      </c>
    </row>
    <row r="155" spans="1:8" ht="144" customHeight="1" x14ac:dyDescent="0.2">
      <c r="A155" s="148">
        <f>'High Risk Non-Compliant'!B111</f>
        <v>0</v>
      </c>
      <c r="B155" s="355">
        <f>'High Risk Non-Compliant'!C111</f>
        <v>0</v>
      </c>
      <c r="C155" s="355"/>
      <c r="D155" s="354">
        <f>'High Risk Non-Compliant'!D111</f>
        <v>0</v>
      </c>
      <c r="E155" s="354"/>
      <c r="F155" s="354"/>
      <c r="G155" s="147" t="e">
        <f>IF(VLOOKUP(A155,'High Risk Non-Compliant'!B:K,$H$48,FALSE)=0,"N/A",VLOOKUP(A155,'High Risk Non-Compliant'!B:K,$H$48,FALSE))</f>
        <v>#REF!</v>
      </c>
      <c r="H155" s="147" t="e">
        <f>IF(G155="N/A","N/A",VLOOKUP(G155,'Crosswalk Detail'!A:B,2,FALSE))</f>
        <v>#REF!</v>
      </c>
    </row>
    <row r="156" spans="1:8" ht="144" customHeight="1" x14ac:dyDescent="0.2">
      <c r="A156" s="148">
        <f>'High Risk Non-Compliant'!B112</f>
        <v>0</v>
      </c>
      <c r="B156" s="355">
        <f>'High Risk Non-Compliant'!C112</f>
        <v>0</v>
      </c>
      <c r="C156" s="355"/>
      <c r="D156" s="354">
        <f>'High Risk Non-Compliant'!D112</f>
        <v>0</v>
      </c>
      <c r="E156" s="354"/>
      <c r="F156" s="354"/>
      <c r="G156" s="147" t="e">
        <f>IF(VLOOKUP(A156,'High Risk Non-Compliant'!B:K,$H$48,FALSE)=0,"N/A",VLOOKUP(A156,'High Risk Non-Compliant'!B:K,$H$48,FALSE))</f>
        <v>#REF!</v>
      </c>
      <c r="H156" s="147" t="e">
        <f>IF(G156="N/A","N/A",VLOOKUP(G156,'Crosswalk Detail'!A:B,2,FALSE))</f>
        <v>#REF!</v>
      </c>
    </row>
    <row r="157" spans="1:8" ht="144" customHeight="1" x14ac:dyDescent="0.2">
      <c r="A157" s="148">
        <f>'High Risk Non-Compliant'!B113</f>
        <v>0</v>
      </c>
      <c r="B157" s="355">
        <f>'High Risk Non-Compliant'!C113</f>
        <v>0</v>
      </c>
      <c r="C157" s="355"/>
      <c r="D157" s="354">
        <f>'High Risk Non-Compliant'!D113</f>
        <v>0</v>
      </c>
      <c r="E157" s="354"/>
      <c r="F157" s="354"/>
      <c r="G157" s="147" t="e">
        <f>IF(VLOOKUP(A157,'High Risk Non-Compliant'!B:K,$H$48,FALSE)=0,"N/A",VLOOKUP(A157,'High Risk Non-Compliant'!B:K,$H$48,FALSE))</f>
        <v>#REF!</v>
      </c>
      <c r="H157" s="147" t="e">
        <f>IF(G157="N/A","N/A",VLOOKUP(G157,'Crosswalk Detail'!A:B,2,FALSE))</f>
        <v>#REF!</v>
      </c>
    </row>
    <row r="158" spans="1:8" ht="144" customHeight="1" x14ac:dyDescent="0.2">
      <c r="A158" s="148">
        <f>'High Risk Non-Compliant'!B114</f>
        <v>0</v>
      </c>
      <c r="B158" s="355">
        <f>'High Risk Non-Compliant'!C114</f>
        <v>0</v>
      </c>
      <c r="C158" s="355"/>
      <c r="D158" s="354">
        <f>'High Risk Non-Compliant'!D114</f>
        <v>0</v>
      </c>
      <c r="E158" s="354"/>
      <c r="F158" s="354"/>
      <c r="G158" s="147" t="e">
        <f>IF(VLOOKUP(A158,'High Risk Non-Compliant'!B:K,$H$48,FALSE)=0,"N/A",VLOOKUP(A158,'High Risk Non-Compliant'!B:K,$H$48,FALSE))</f>
        <v>#REF!</v>
      </c>
      <c r="H158" s="147" t="e">
        <f>IF(G158="N/A","N/A",VLOOKUP(G158,'Crosswalk Detail'!A:B,2,FALSE))</f>
        <v>#REF!</v>
      </c>
    </row>
    <row r="159" spans="1:8" ht="144" customHeight="1" x14ac:dyDescent="0.2">
      <c r="A159" s="148">
        <f>'High Risk Non-Compliant'!B115</f>
        <v>0</v>
      </c>
      <c r="B159" s="355">
        <f>'High Risk Non-Compliant'!C115</f>
        <v>0</v>
      </c>
      <c r="C159" s="355"/>
      <c r="D159" s="354">
        <f>'High Risk Non-Compliant'!D115</f>
        <v>0</v>
      </c>
      <c r="E159" s="354"/>
      <c r="F159" s="354"/>
      <c r="G159" s="147" t="e">
        <f>IF(VLOOKUP(A159,'High Risk Non-Compliant'!B:K,$H$48,FALSE)=0,"N/A",VLOOKUP(A159,'High Risk Non-Compliant'!B:K,$H$48,FALSE))</f>
        <v>#REF!</v>
      </c>
      <c r="H159" s="147" t="e">
        <f>IF(G159="N/A","N/A",VLOOKUP(G159,'Crosswalk Detail'!A:B,2,FALSE))</f>
        <v>#REF!</v>
      </c>
    </row>
    <row r="160" spans="1:8" ht="144" customHeight="1" x14ac:dyDescent="0.2">
      <c r="A160" s="148">
        <f>'High Risk Non-Compliant'!B116</f>
        <v>0</v>
      </c>
      <c r="B160" s="355">
        <f>'High Risk Non-Compliant'!C116</f>
        <v>0</v>
      </c>
      <c r="C160" s="355"/>
      <c r="D160" s="354">
        <f>'High Risk Non-Compliant'!D116</f>
        <v>0</v>
      </c>
      <c r="E160" s="354"/>
      <c r="F160" s="354"/>
      <c r="G160" s="147" t="e">
        <f>IF(VLOOKUP(A160,'High Risk Non-Compliant'!B:K,$H$48,FALSE)=0,"N/A",VLOOKUP(A160,'High Risk Non-Compliant'!B:K,$H$48,FALSE))</f>
        <v>#REF!</v>
      </c>
      <c r="H160" s="147" t="e">
        <f>IF(G160="N/A","N/A",VLOOKUP(G160,'Crosswalk Detail'!A:B,2,FALSE))</f>
        <v>#REF!</v>
      </c>
    </row>
    <row r="161" spans="1:8" ht="144" customHeight="1" x14ac:dyDescent="0.2">
      <c r="A161" s="148">
        <f>'High Risk Non-Compliant'!B117</f>
        <v>0</v>
      </c>
      <c r="B161" s="355">
        <f>'High Risk Non-Compliant'!C117</f>
        <v>0</v>
      </c>
      <c r="C161" s="355"/>
      <c r="D161" s="354">
        <f>'High Risk Non-Compliant'!D117</f>
        <v>0</v>
      </c>
      <c r="E161" s="354"/>
      <c r="F161" s="354"/>
      <c r="G161" s="147" t="e">
        <f>IF(VLOOKUP(A161,'High Risk Non-Compliant'!B:K,$H$48,FALSE)=0,"N/A",VLOOKUP(A161,'High Risk Non-Compliant'!B:K,$H$48,FALSE))</f>
        <v>#REF!</v>
      </c>
      <c r="H161" s="147" t="e">
        <f>IF(G161="N/A","N/A",VLOOKUP(G161,'Crosswalk Detail'!A:B,2,FALSE))</f>
        <v>#REF!</v>
      </c>
    </row>
    <row r="162" spans="1:8" ht="144" customHeight="1" x14ac:dyDescent="0.2">
      <c r="A162" s="148">
        <f>'High Risk Non-Compliant'!B118</f>
        <v>0</v>
      </c>
      <c r="B162" s="355">
        <f>'High Risk Non-Compliant'!C118</f>
        <v>0</v>
      </c>
      <c r="C162" s="355"/>
      <c r="D162" s="354">
        <f>'High Risk Non-Compliant'!D118</f>
        <v>0</v>
      </c>
      <c r="E162" s="354"/>
      <c r="F162" s="354"/>
      <c r="G162" s="147" t="e">
        <f>IF(VLOOKUP(A162,'High Risk Non-Compliant'!B:K,$H$48,FALSE)=0,"N/A",VLOOKUP(A162,'High Risk Non-Compliant'!B:K,$H$48,FALSE))</f>
        <v>#REF!</v>
      </c>
      <c r="H162" s="147" t="e">
        <f>IF(G162="N/A","N/A",VLOOKUP(G162,'Crosswalk Detail'!A:B,2,FALSE))</f>
        <v>#REF!</v>
      </c>
    </row>
    <row r="163" spans="1:8" ht="144" customHeight="1" x14ac:dyDescent="0.2">
      <c r="A163" s="148">
        <f>'High Risk Non-Compliant'!B119</f>
        <v>0</v>
      </c>
      <c r="B163" s="355">
        <f>'High Risk Non-Compliant'!C119</f>
        <v>0</v>
      </c>
      <c r="C163" s="355"/>
      <c r="D163" s="354">
        <f>'High Risk Non-Compliant'!D119</f>
        <v>0</v>
      </c>
      <c r="E163" s="354"/>
      <c r="F163" s="354"/>
      <c r="G163" s="147" t="e">
        <f>IF(VLOOKUP(A163,'High Risk Non-Compliant'!B:K,$H$48,FALSE)=0,"N/A",VLOOKUP(A163,'High Risk Non-Compliant'!B:K,$H$48,FALSE))</f>
        <v>#REF!</v>
      </c>
      <c r="H163" s="147" t="e">
        <f>IF(G163="N/A","N/A",VLOOKUP(G163,'Crosswalk Detail'!A:B,2,FALSE))</f>
        <v>#REF!</v>
      </c>
    </row>
    <row r="164" spans="1:8" ht="144" customHeight="1" x14ac:dyDescent="0.2">
      <c r="A164" s="148">
        <f>'High Risk Non-Compliant'!B120</f>
        <v>0</v>
      </c>
      <c r="B164" s="355">
        <f>'High Risk Non-Compliant'!C120</f>
        <v>0</v>
      </c>
      <c r="C164" s="355"/>
      <c r="D164" s="354">
        <f>'High Risk Non-Compliant'!D120</f>
        <v>0</v>
      </c>
      <c r="E164" s="354"/>
      <c r="F164" s="354"/>
      <c r="G164" s="147" t="e">
        <f>IF(VLOOKUP(A164,'High Risk Non-Compliant'!B:K,$H$48,FALSE)=0,"N/A",VLOOKUP(A164,'High Risk Non-Compliant'!B:K,$H$48,FALSE))</f>
        <v>#REF!</v>
      </c>
      <c r="H164" s="147" t="e">
        <f>IF(G164="N/A","N/A",VLOOKUP(G164,'Crosswalk Detail'!A:B,2,FALSE))</f>
        <v>#REF!</v>
      </c>
    </row>
    <row r="165" spans="1:8" ht="144" customHeight="1" x14ac:dyDescent="0.2">
      <c r="A165" s="148">
        <f>'High Risk Non-Compliant'!B121</f>
        <v>0</v>
      </c>
      <c r="B165" s="355">
        <f>'High Risk Non-Compliant'!C121</f>
        <v>0</v>
      </c>
      <c r="C165" s="355"/>
      <c r="D165" s="354">
        <f>'High Risk Non-Compliant'!D121</f>
        <v>0</v>
      </c>
      <c r="E165" s="354"/>
      <c r="F165" s="354"/>
      <c r="G165" s="147" t="e">
        <f>IF(VLOOKUP(A165,'High Risk Non-Compliant'!B:K,$H$48,FALSE)=0,"N/A",VLOOKUP(A165,'High Risk Non-Compliant'!B:K,$H$48,FALSE))</f>
        <v>#REF!</v>
      </c>
      <c r="H165" s="147" t="e">
        <f>IF(G165="N/A","N/A",VLOOKUP(G165,'Crosswalk Detail'!A:B,2,FALSE))</f>
        <v>#REF!</v>
      </c>
    </row>
    <row r="166" spans="1:8" ht="144" customHeight="1" x14ac:dyDescent="0.2">
      <c r="A166" s="148">
        <f>'High Risk Non-Compliant'!B122</f>
        <v>0</v>
      </c>
      <c r="B166" s="355">
        <f>'High Risk Non-Compliant'!C122</f>
        <v>0</v>
      </c>
      <c r="C166" s="355"/>
      <c r="D166" s="354">
        <f>'High Risk Non-Compliant'!D122</f>
        <v>0</v>
      </c>
      <c r="E166" s="354"/>
      <c r="F166" s="354"/>
      <c r="G166" s="147" t="e">
        <f>IF(VLOOKUP(A166,'High Risk Non-Compliant'!B:K,$H$48,FALSE)=0,"N/A",VLOOKUP(A166,'High Risk Non-Compliant'!B:K,$H$48,FALSE))</f>
        <v>#REF!</v>
      </c>
      <c r="H166" s="147" t="e">
        <f>IF(G166="N/A","N/A",VLOOKUP(G166,'Crosswalk Detail'!A:B,2,FALSE))</f>
        <v>#REF!</v>
      </c>
    </row>
    <row r="167" spans="1:8" ht="144" customHeight="1" x14ac:dyDescent="0.2">
      <c r="A167" s="148">
        <f>'High Risk Non-Compliant'!B123</f>
        <v>0</v>
      </c>
      <c r="B167" s="355">
        <f>'High Risk Non-Compliant'!C123</f>
        <v>0</v>
      </c>
      <c r="C167" s="355"/>
      <c r="D167" s="354">
        <f>'High Risk Non-Compliant'!D123</f>
        <v>0</v>
      </c>
      <c r="E167" s="354"/>
      <c r="F167" s="354"/>
      <c r="G167" s="147" t="e">
        <f>IF(VLOOKUP(A167,'High Risk Non-Compliant'!B:K,$H$48,FALSE)=0,"N/A",VLOOKUP(A167,'High Risk Non-Compliant'!B:K,$H$48,FALSE))</f>
        <v>#REF!</v>
      </c>
      <c r="H167" s="147" t="e">
        <f>IF(G167="N/A","N/A",VLOOKUP(G167,'Crosswalk Detail'!A:B,2,FALSE))</f>
        <v>#REF!</v>
      </c>
    </row>
    <row r="168" spans="1:8" ht="144" customHeight="1" x14ac:dyDescent="0.2">
      <c r="A168" s="148">
        <f>'High Risk Non-Compliant'!B124</f>
        <v>0</v>
      </c>
      <c r="B168" s="355">
        <f>'High Risk Non-Compliant'!C124</f>
        <v>0</v>
      </c>
      <c r="C168" s="355"/>
      <c r="D168" s="354">
        <f>'High Risk Non-Compliant'!D124</f>
        <v>0</v>
      </c>
      <c r="E168" s="354"/>
      <c r="F168" s="354"/>
      <c r="G168" s="147" t="e">
        <f>IF(VLOOKUP(A168,'High Risk Non-Compliant'!B:K,$H$48,FALSE)=0,"N/A",VLOOKUP(A168,'High Risk Non-Compliant'!B:K,$H$48,FALSE))</f>
        <v>#REF!</v>
      </c>
      <c r="H168" s="147" t="e">
        <f>IF(G168="N/A","N/A",VLOOKUP(G168,'Crosswalk Detail'!A:B,2,FALSE))</f>
        <v>#REF!</v>
      </c>
    </row>
    <row r="169" spans="1:8" ht="144" customHeight="1" x14ac:dyDescent="0.2">
      <c r="A169" s="148">
        <f>'High Risk Non-Compliant'!B125</f>
        <v>0</v>
      </c>
      <c r="B169" s="355">
        <f>'High Risk Non-Compliant'!C125</f>
        <v>0</v>
      </c>
      <c r="C169" s="355"/>
      <c r="D169" s="354">
        <f>'High Risk Non-Compliant'!D125</f>
        <v>0</v>
      </c>
      <c r="E169" s="354"/>
      <c r="F169" s="354"/>
      <c r="G169" s="147" t="e">
        <f>IF(VLOOKUP(A169,'High Risk Non-Compliant'!B:K,$H$48,FALSE)=0,"N/A",VLOOKUP(A169,'High Risk Non-Compliant'!B:K,$H$48,FALSE))</f>
        <v>#REF!</v>
      </c>
      <c r="H169" s="147" t="e">
        <f>IF(G169="N/A","N/A",VLOOKUP(G169,'Crosswalk Detail'!A:B,2,FALSE))</f>
        <v>#REF!</v>
      </c>
    </row>
    <row r="170" spans="1:8" ht="144" customHeight="1" x14ac:dyDescent="0.2">
      <c r="A170" s="148">
        <f>'High Risk Non-Compliant'!B126</f>
        <v>0</v>
      </c>
      <c r="B170" s="355">
        <f>'High Risk Non-Compliant'!C126</f>
        <v>0</v>
      </c>
      <c r="C170" s="355"/>
      <c r="D170" s="354">
        <f>'High Risk Non-Compliant'!D126</f>
        <v>0</v>
      </c>
      <c r="E170" s="354"/>
      <c r="F170" s="354"/>
      <c r="G170" s="147" t="e">
        <f>IF(VLOOKUP(A170,'High Risk Non-Compliant'!B:K,$H$48,FALSE)=0,"N/A",VLOOKUP(A170,'High Risk Non-Compliant'!B:K,$H$48,FALSE))</f>
        <v>#REF!</v>
      </c>
      <c r="H170" s="147" t="e">
        <f>IF(G170="N/A","N/A",VLOOKUP(G170,'Crosswalk Detail'!A:B,2,FALSE))</f>
        <v>#REF!</v>
      </c>
    </row>
    <row r="171" spans="1:8" ht="144" customHeight="1" x14ac:dyDescent="0.2">
      <c r="A171" s="148">
        <f>'High Risk Non-Compliant'!B127</f>
        <v>0</v>
      </c>
      <c r="B171" s="355">
        <f>'High Risk Non-Compliant'!C127</f>
        <v>0</v>
      </c>
      <c r="C171" s="355"/>
      <c r="D171" s="354">
        <f>'High Risk Non-Compliant'!D127</f>
        <v>0</v>
      </c>
      <c r="E171" s="354"/>
      <c r="F171" s="354"/>
      <c r="G171" s="147" t="e">
        <f>IF(VLOOKUP(A171,'High Risk Non-Compliant'!B:K,$H$48,FALSE)=0,"N/A",VLOOKUP(A171,'High Risk Non-Compliant'!B:K,$H$48,FALSE))</f>
        <v>#REF!</v>
      </c>
      <c r="H171" s="147" t="e">
        <f>IF(G171="N/A","N/A",VLOOKUP(G171,'Crosswalk Detail'!A:B,2,FALSE))</f>
        <v>#REF!</v>
      </c>
    </row>
    <row r="172" spans="1:8" ht="144" customHeight="1" x14ac:dyDescent="0.2">
      <c r="A172" s="148">
        <f>'High Risk Non-Compliant'!B128</f>
        <v>0</v>
      </c>
      <c r="B172" s="355">
        <f>'High Risk Non-Compliant'!C128</f>
        <v>0</v>
      </c>
      <c r="C172" s="355"/>
      <c r="D172" s="354">
        <f>'High Risk Non-Compliant'!D128</f>
        <v>0</v>
      </c>
      <c r="E172" s="354"/>
      <c r="F172" s="354"/>
      <c r="G172" s="147" t="e">
        <f>IF(VLOOKUP(A172,'High Risk Non-Compliant'!B:K,$H$48,FALSE)=0,"N/A",VLOOKUP(A172,'High Risk Non-Compliant'!B:K,$H$48,FALSE))</f>
        <v>#REF!</v>
      </c>
      <c r="H172" s="147" t="e">
        <f>IF(G172="N/A","N/A",VLOOKUP(G172,'Crosswalk Detail'!A:B,2,FALSE))</f>
        <v>#REF!</v>
      </c>
    </row>
    <row r="173" spans="1:8" ht="144" customHeight="1" x14ac:dyDescent="0.2">
      <c r="A173" s="148">
        <f>'High Risk Non-Compliant'!B129</f>
        <v>0</v>
      </c>
      <c r="B173" s="355">
        <f>'High Risk Non-Compliant'!C129</f>
        <v>0</v>
      </c>
      <c r="C173" s="355"/>
      <c r="D173" s="354">
        <f>'High Risk Non-Compliant'!D129</f>
        <v>0</v>
      </c>
      <c r="E173" s="354"/>
      <c r="F173" s="354"/>
      <c r="G173" s="147" t="e">
        <f>IF(VLOOKUP(A173,'High Risk Non-Compliant'!B:K,$H$48,FALSE)=0,"N/A",VLOOKUP(A173,'High Risk Non-Compliant'!B:K,$H$48,FALSE))</f>
        <v>#REF!</v>
      </c>
      <c r="H173" s="147" t="e">
        <f>IF(G173="N/A","N/A",VLOOKUP(G173,'Crosswalk Detail'!A:B,2,FALSE))</f>
        <v>#REF!</v>
      </c>
    </row>
    <row r="174" spans="1:8" ht="144" customHeight="1" x14ac:dyDescent="0.2">
      <c r="A174" s="148">
        <f>'High Risk Non-Compliant'!B130</f>
        <v>0</v>
      </c>
      <c r="B174" s="355">
        <f>'High Risk Non-Compliant'!C130</f>
        <v>0</v>
      </c>
      <c r="C174" s="355"/>
      <c r="D174" s="354">
        <f>'High Risk Non-Compliant'!D130</f>
        <v>0</v>
      </c>
      <c r="E174" s="354"/>
      <c r="F174" s="354"/>
      <c r="G174" s="147" t="e">
        <f>IF(VLOOKUP(A174,'High Risk Non-Compliant'!B:K,$H$48,FALSE)=0,"N/A",VLOOKUP(A174,'High Risk Non-Compliant'!B:K,$H$48,FALSE))</f>
        <v>#REF!</v>
      </c>
      <c r="H174" s="147" t="e">
        <f>IF(G174="N/A","N/A",VLOOKUP(G174,'Crosswalk Detail'!A:B,2,FALSE))</f>
        <v>#REF!</v>
      </c>
    </row>
    <row r="175" spans="1:8" ht="144" customHeight="1" x14ac:dyDescent="0.2">
      <c r="A175" s="148">
        <f>'High Risk Non-Compliant'!B131</f>
        <v>0</v>
      </c>
      <c r="B175" s="355">
        <f>'High Risk Non-Compliant'!C131</f>
        <v>0</v>
      </c>
      <c r="C175" s="355"/>
      <c r="D175" s="354">
        <f>'High Risk Non-Compliant'!D131</f>
        <v>0</v>
      </c>
      <c r="E175" s="354"/>
      <c r="F175" s="354"/>
      <c r="G175" s="147" t="e">
        <f>IF(VLOOKUP(A175,'High Risk Non-Compliant'!B:K,$H$48,FALSE)=0,"N/A",VLOOKUP(A175,'High Risk Non-Compliant'!B:K,$H$48,FALSE))</f>
        <v>#REF!</v>
      </c>
      <c r="H175" s="147" t="e">
        <f>IF(G175="N/A","N/A",VLOOKUP(G175,'Crosswalk Detail'!A:B,2,FALSE))</f>
        <v>#REF!</v>
      </c>
    </row>
    <row r="176" spans="1:8" ht="144" customHeight="1" x14ac:dyDescent="0.2">
      <c r="A176" s="148">
        <f>'High Risk Non-Compliant'!B132</f>
        <v>0</v>
      </c>
      <c r="B176" s="355">
        <f>'High Risk Non-Compliant'!C132</f>
        <v>0</v>
      </c>
      <c r="C176" s="355"/>
      <c r="D176" s="354">
        <f>'High Risk Non-Compliant'!D132</f>
        <v>0</v>
      </c>
      <c r="E176" s="354"/>
      <c r="F176" s="354"/>
      <c r="G176" s="147" t="e">
        <f>IF(VLOOKUP(A176,'High Risk Non-Compliant'!B:K,$H$48,FALSE)=0,"N/A",VLOOKUP(A176,'High Risk Non-Compliant'!B:K,$H$48,FALSE))</f>
        <v>#REF!</v>
      </c>
      <c r="H176" s="147" t="e">
        <f>IF(G176="N/A","N/A",VLOOKUP(G176,'Crosswalk Detail'!A:B,2,FALSE))</f>
        <v>#REF!</v>
      </c>
    </row>
    <row r="177" spans="1:8" ht="144" customHeight="1" x14ac:dyDescent="0.2">
      <c r="A177" s="148">
        <f>'High Risk Non-Compliant'!B133</f>
        <v>0</v>
      </c>
      <c r="B177" s="355">
        <f>'High Risk Non-Compliant'!C133</f>
        <v>0</v>
      </c>
      <c r="C177" s="355"/>
      <c r="D177" s="354">
        <f>'High Risk Non-Compliant'!D133</f>
        <v>0</v>
      </c>
      <c r="E177" s="354"/>
      <c r="F177" s="354"/>
      <c r="G177" s="147" t="e">
        <f>IF(VLOOKUP(A177,'High Risk Non-Compliant'!B:K,$H$48,FALSE)=0,"N/A",VLOOKUP(A177,'High Risk Non-Compliant'!B:K,$H$48,FALSE))</f>
        <v>#REF!</v>
      </c>
      <c r="H177" s="147" t="e">
        <f>IF(G177="N/A","N/A",VLOOKUP(G177,'Crosswalk Detail'!A:B,2,FALSE))</f>
        <v>#REF!</v>
      </c>
    </row>
    <row r="178" spans="1:8" ht="144" customHeight="1" x14ac:dyDescent="0.2">
      <c r="A178" s="148">
        <f>'High Risk Non-Compliant'!B134</f>
        <v>0</v>
      </c>
      <c r="B178" s="355">
        <f>'High Risk Non-Compliant'!C134</f>
        <v>0</v>
      </c>
      <c r="C178" s="355"/>
      <c r="D178" s="354">
        <f>'High Risk Non-Compliant'!D134</f>
        <v>0</v>
      </c>
      <c r="E178" s="354"/>
      <c r="F178" s="354"/>
      <c r="G178" s="147" t="e">
        <f>IF(VLOOKUP(A178,'High Risk Non-Compliant'!B:K,$H$48,FALSE)=0,"N/A",VLOOKUP(A178,'High Risk Non-Compliant'!B:K,$H$48,FALSE))</f>
        <v>#REF!</v>
      </c>
      <c r="H178" s="147" t="e">
        <f>IF(G178="N/A","N/A",VLOOKUP(G178,'Crosswalk Detail'!A:B,2,FALSE))</f>
        <v>#REF!</v>
      </c>
    </row>
    <row r="179" spans="1:8" ht="144" customHeight="1" x14ac:dyDescent="0.2">
      <c r="A179" s="148">
        <f>'High Risk Non-Compliant'!B135</f>
        <v>0</v>
      </c>
      <c r="B179" s="355">
        <f>'High Risk Non-Compliant'!C135</f>
        <v>0</v>
      </c>
      <c r="C179" s="355"/>
      <c r="D179" s="354">
        <f>'High Risk Non-Compliant'!D135</f>
        <v>0</v>
      </c>
      <c r="E179" s="354"/>
      <c r="F179" s="354"/>
      <c r="G179" s="147" t="e">
        <f>IF(VLOOKUP(A179,'High Risk Non-Compliant'!B:K,$H$48,FALSE)=0,"N/A",VLOOKUP(A179,'High Risk Non-Compliant'!B:K,$H$48,FALSE))</f>
        <v>#REF!</v>
      </c>
      <c r="H179" s="147" t="e">
        <f>IF(G179="N/A","N/A",VLOOKUP(G179,'Crosswalk Detail'!A:B,2,FALSE))</f>
        <v>#REF!</v>
      </c>
    </row>
    <row r="180" spans="1:8" ht="144" customHeight="1" x14ac:dyDescent="0.2">
      <c r="A180" s="148">
        <f>'High Risk Non-Compliant'!B136</f>
        <v>0</v>
      </c>
      <c r="B180" s="355">
        <f>'High Risk Non-Compliant'!C136</f>
        <v>0</v>
      </c>
      <c r="C180" s="355"/>
      <c r="D180" s="354">
        <f>'High Risk Non-Compliant'!D136</f>
        <v>0</v>
      </c>
      <c r="E180" s="354"/>
      <c r="F180" s="354"/>
      <c r="G180" s="147" t="e">
        <f>IF(VLOOKUP(A180,'High Risk Non-Compliant'!B:K,$H$48,FALSE)=0,"N/A",VLOOKUP(A180,'High Risk Non-Compliant'!B:K,$H$48,FALSE))</f>
        <v>#REF!</v>
      </c>
      <c r="H180" s="147" t="e">
        <f>IF(G180="N/A","N/A",VLOOKUP(G180,'Crosswalk Detail'!A:B,2,FALSE))</f>
        <v>#REF!</v>
      </c>
    </row>
    <row r="181" spans="1:8" ht="144" customHeight="1" x14ac:dyDescent="0.2">
      <c r="A181" s="148">
        <f>'High Risk Non-Compliant'!B137</f>
        <v>0</v>
      </c>
      <c r="B181" s="355">
        <f>'High Risk Non-Compliant'!C137</f>
        <v>0</v>
      </c>
      <c r="C181" s="355"/>
      <c r="D181" s="354">
        <f>'High Risk Non-Compliant'!D137</f>
        <v>0</v>
      </c>
      <c r="E181" s="354"/>
      <c r="F181" s="354"/>
      <c r="G181" s="147" t="e">
        <f>IF(VLOOKUP(A181,'High Risk Non-Compliant'!B:K,$H$48,FALSE)=0,"N/A",VLOOKUP(A181,'High Risk Non-Compliant'!B:K,$H$48,FALSE))</f>
        <v>#REF!</v>
      </c>
      <c r="H181" s="147" t="e">
        <f>IF(G181="N/A","N/A",VLOOKUP(G181,'Crosswalk Detail'!A:B,2,FALSE))</f>
        <v>#REF!</v>
      </c>
    </row>
    <row r="182" spans="1:8" ht="144" customHeight="1" x14ac:dyDescent="0.2">
      <c r="A182" s="148">
        <f>'High Risk Non-Compliant'!B138</f>
        <v>0</v>
      </c>
      <c r="B182" s="355">
        <f>'High Risk Non-Compliant'!C138</f>
        <v>0</v>
      </c>
      <c r="C182" s="355"/>
      <c r="D182" s="354">
        <f>'High Risk Non-Compliant'!D138</f>
        <v>0</v>
      </c>
      <c r="E182" s="354"/>
      <c r="F182" s="354"/>
      <c r="G182" s="147" t="e">
        <f>IF(VLOOKUP(A182,'High Risk Non-Compliant'!B:K,$H$48,FALSE)=0,"N/A",VLOOKUP(A182,'High Risk Non-Compliant'!B:K,$H$48,FALSE))</f>
        <v>#REF!</v>
      </c>
      <c r="H182" s="147" t="e">
        <f>IF(G182="N/A","N/A",VLOOKUP(G182,'Crosswalk Detail'!A:B,2,FALSE))</f>
        <v>#REF!</v>
      </c>
    </row>
    <row r="183" spans="1:8" ht="144" customHeight="1" x14ac:dyDescent="0.2">
      <c r="A183" s="148">
        <f>'High Risk Non-Compliant'!B139</f>
        <v>0</v>
      </c>
      <c r="B183" s="355">
        <f>'High Risk Non-Compliant'!C139</f>
        <v>0</v>
      </c>
      <c r="C183" s="355"/>
      <c r="D183" s="354">
        <f>'High Risk Non-Compliant'!D139</f>
        <v>0</v>
      </c>
      <c r="E183" s="354"/>
      <c r="F183" s="354"/>
      <c r="G183" s="147" t="e">
        <f>IF(VLOOKUP(A183,'High Risk Non-Compliant'!B:K,$H$48,FALSE)=0,"N/A",VLOOKUP(A183,'High Risk Non-Compliant'!B:K,$H$48,FALSE))</f>
        <v>#REF!</v>
      </c>
      <c r="H183" s="147" t="e">
        <f>IF(G183="N/A","N/A",VLOOKUP(G183,'Crosswalk Detail'!A:B,2,FALSE))</f>
        <v>#REF!</v>
      </c>
    </row>
    <row r="184" spans="1:8" ht="144" customHeight="1" x14ac:dyDescent="0.2">
      <c r="A184" s="148">
        <f>'High Risk Non-Compliant'!B140</f>
        <v>0</v>
      </c>
      <c r="B184" s="355">
        <f>'High Risk Non-Compliant'!C140</f>
        <v>0</v>
      </c>
      <c r="C184" s="355"/>
      <c r="D184" s="354">
        <f>'High Risk Non-Compliant'!D140</f>
        <v>0</v>
      </c>
      <c r="E184" s="354"/>
      <c r="F184" s="354"/>
      <c r="G184" s="147" t="e">
        <f>IF(VLOOKUP(A184,'High Risk Non-Compliant'!B:K,$H$48,FALSE)=0,"N/A",VLOOKUP(A184,'High Risk Non-Compliant'!B:K,$H$48,FALSE))</f>
        <v>#REF!</v>
      </c>
      <c r="H184" s="147" t="e">
        <f>IF(G184="N/A","N/A",VLOOKUP(G184,'Crosswalk Detail'!A:B,2,FALSE))</f>
        <v>#REF!</v>
      </c>
    </row>
    <row r="185" spans="1:8" ht="144" customHeight="1" x14ac:dyDescent="0.2">
      <c r="A185" s="148">
        <f>'High Risk Non-Compliant'!B141</f>
        <v>0</v>
      </c>
      <c r="B185" s="355">
        <f>'High Risk Non-Compliant'!C141</f>
        <v>0</v>
      </c>
      <c r="C185" s="355"/>
      <c r="D185" s="354">
        <f>'High Risk Non-Compliant'!D141</f>
        <v>0</v>
      </c>
      <c r="E185" s="354"/>
      <c r="F185" s="354"/>
      <c r="G185" s="147" t="e">
        <f>IF(VLOOKUP(A185,'High Risk Non-Compliant'!B:K,$H$48,FALSE)=0,"N/A",VLOOKUP(A185,'High Risk Non-Compliant'!B:K,$H$48,FALSE))</f>
        <v>#REF!</v>
      </c>
      <c r="H185" s="147" t="e">
        <f>IF(G185="N/A","N/A",VLOOKUP(G185,'Crosswalk Detail'!A:B,2,FALSE))</f>
        <v>#REF!</v>
      </c>
    </row>
    <row r="186" spans="1:8" ht="144" customHeight="1" x14ac:dyDescent="0.2">
      <c r="A186" s="148">
        <f>'High Risk Non-Compliant'!B142</f>
        <v>0</v>
      </c>
      <c r="B186" s="355">
        <f>'High Risk Non-Compliant'!C142</f>
        <v>0</v>
      </c>
      <c r="C186" s="355"/>
      <c r="D186" s="354">
        <f>'High Risk Non-Compliant'!D142</f>
        <v>0</v>
      </c>
      <c r="E186" s="354"/>
      <c r="F186" s="354"/>
      <c r="G186" s="147" t="e">
        <f>IF(VLOOKUP(A186,'High Risk Non-Compliant'!B:K,$H$48,FALSE)=0,"N/A",VLOOKUP(A186,'High Risk Non-Compliant'!B:K,$H$48,FALSE))</f>
        <v>#REF!</v>
      </c>
      <c r="H186" s="147" t="e">
        <f>IF(G186="N/A","N/A",VLOOKUP(G186,'Crosswalk Detail'!A:B,2,FALSE))</f>
        <v>#REF!</v>
      </c>
    </row>
    <row r="187" spans="1:8" ht="144" customHeight="1" x14ac:dyDescent="0.2">
      <c r="A187" s="148">
        <f>'High Risk Non-Compliant'!B143</f>
        <v>0</v>
      </c>
      <c r="B187" s="355">
        <f>'High Risk Non-Compliant'!C143</f>
        <v>0</v>
      </c>
      <c r="C187" s="355"/>
      <c r="D187" s="354">
        <f>'High Risk Non-Compliant'!D143</f>
        <v>0</v>
      </c>
      <c r="E187" s="354"/>
      <c r="F187" s="354"/>
      <c r="G187" s="147" t="e">
        <f>IF(VLOOKUP(A187,'High Risk Non-Compliant'!B:K,$H$48,FALSE)=0,"N/A",VLOOKUP(A187,'High Risk Non-Compliant'!B:K,$H$48,FALSE))</f>
        <v>#REF!</v>
      </c>
      <c r="H187" s="147" t="e">
        <f>IF(G187="N/A","N/A",VLOOKUP(G187,'Crosswalk Detail'!A:B,2,FALSE))</f>
        <v>#REF!</v>
      </c>
    </row>
    <row r="188" spans="1:8" ht="144" customHeight="1" x14ac:dyDescent="0.2">
      <c r="A188" s="148">
        <f>'High Risk Non-Compliant'!B144</f>
        <v>0</v>
      </c>
      <c r="B188" s="355">
        <f>'High Risk Non-Compliant'!C144</f>
        <v>0</v>
      </c>
      <c r="C188" s="355"/>
      <c r="D188" s="354">
        <f>'High Risk Non-Compliant'!D144</f>
        <v>0</v>
      </c>
      <c r="E188" s="354"/>
      <c r="F188" s="354"/>
      <c r="G188" s="147" t="e">
        <f>IF(VLOOKUP(A188,'High Risk Non-Compliant'!B:K,$H$48,FALSE)=0,"N/A",VLOOKUP(A188,'High Risk Non-Compliant'!B:K,$H$48,FALSE))</f>
        <v>#REF!</v>
      </c>
      <c r="H188" s="147" t="e">
        <f>IF(G188="N/A","N/A",VLOOKUP(G188,'Crosswalk Detail'!A:B,2,FALSE))</f>
        <v>#REF!</v>
      </c>
    </row>
    <row r="189" spans="1:8" ht="144" customHeight="1" x14ac:dyDescent="0.2">
      <c r="A189" s="148">
        <f>'High Risk Non-Compliant'!B145</f>
        <v>0</v>
      </c>
      <c r="B189" s="355">
        <f>'High Risk Non-Compliant'!C145</f>
        <v>0</v>
      </c>
      <c r="C189" s="355"/>
      <c r="D189" s="354">
        <f>'High Risk Non-Compliant'!D145</f>
        <v>0</v>
      </c>
      <c r="E189" s="354"/>
      <c r="F189" s="354"/>
      <c r="G189" s="147" t="e">
        <f>IF(VLOOKUP(A189,'High Risk Non-Compliant'!B:K,$H$48,FALSE)=0,"N/A",VLOOKUP(A189,'High Risk Non-Compliant'!B:K,$H$48,FALSE))</f>
        <v>#REF!</v>
      </c>
      <c r="H189" s="147" t="e">
        <f>IF(G189="N/A","N/A",VLOOKUP(G189,'Crosswalk Detail'!A:B,2,FALSE))</f>
        <v>#REF!</v>
      </c>
    </row>
    <row r="190" spans="1:8" ht="144" customHeight="1" x14ac:dyDescent="0.2">
      <c r="A190" s="148">
        <f>'High Risk Non-Compliant'!B146</f>
        <v>0</v>
      </c>
      <c r="B190" s="355">
        <f>'High Risk Non-Compliant'!C146</f>
        <v>0</v>
      </c>
      <c r="C190" s="355"/>
      <c r="D190" s="354">
        <f>'High Risk Non-Compliant'!D146</f>
        <v>0</v>
      </c>
      <c r="E190" s="354"/>
      <c r="F190" s="354"/>
      <c r="G190" s="147" t="e">
        <f>IF(VLOOKUP(A190,'High Risk Non-Compliant'!B:K,$H$48,FALSE)=0,"N/A",VLOOKUP(A190,'High Risk Non-Compliant'!B:K,$H$48,FALSE))</f>
        <v>#REF!</v>
      </c>
      <c r="H190" s="147" t="e">
        <f>IF(G190="N/A","N/A",VLOOKUP(G190,'Crosswalk Detail'!A:B,2,FALSE))</f>
        <v>#REF!</v>
      </c>
    </row>
    <row r="191" spans="1:8" ht="144" customHeight="1" x14ac:dyDescent="0.2">
      <c r="A191" s="148">
        <f>'High Risk Non-Compliant'!B147</f>
        <v>0</v>
      </c>
      <c r="B191" s="355">
        <f>'High Risk Non-Compliant'!C147</f>
        <v>0</v>
      </c>
      <c r="C191" s="355"/>
      <c r="D191" s="354">
        <f>'High Risk Non-Compliant'!D147</f>
        <v>0</v>
      </c>
      <c r="E191" s="354"/>
      <c r="F191" s="354"/>
      <c r="G191" s="147" t="e">
        <f>IF(VLOOKUP(A191,'High Risk Non-Compliant'!B:K,$H$48,FALSE)=0,"N/A",VLOOKUP(A191,'High Risk Non-Compliant'!B:K,$H$48,FALSE))</f>
        <v>#REF!</v>
      </c>
      <c r="H191" s="147" t="e">
        <f>IF(G191="N/A","N/A",VLOOKUP(G191,'Crosswalk Detail'!A:B,2,FALSE))</f>
        <v>#REF!</v>
      </c>
    </row>
    <row r="192" spans="1:8" ht="144" customHeight="1" x14ac:dyDescent="0.2">
      <c r="A192" s="148">
        <f>'High Risk Non-Compliant'!B148</f>
        <v>0</v>
      </c>
      <c r="B192" s="355">
        <f>'High Risk Non-Compliant'!C148</f>
        <v>0</v>
      </c>
      <c r="C192" s="355"/>
      <c r="D192" s="354">
        <f>'High Risk Non-Compliant'!D148</f>
        <v>0</v>
      </c>
      <c r="E192" s="354"/>
      <c r="F192" s="354"/>
      <c r="G192" s="147" t="e">
        <f>IF(VLOOKUP(A192,'High Risk Non-Compliant'!B:K,$H$48,FALSE)=0,"N/A",VLOOKUP(A192,'High Risk Non-Compliant'!B:K,$H$48,FALSE))</f>
        <v>#REF!</v>
      </c>
      <c r="H192" s="147" t="e">
        <f>IF(G192="N/A","N/A",VLOOKUP(G192,'Crosswalk Detail'!A:B,2,FALSE))</f>
        <v>#REF!</v>
      </c>
    </row>
    <row r="193" spans="1:8" ht="144" customHeight="1" x14ac:dyDescent="0.2">
      <c r="A193" s="148">
        <f>'High Risk Non-Compliant'!B149</f>
        <v>0</v>
      </c>
      <c r="B193" s="355">
        <f>'High Risk Non-Compliant'!C149</f>
        <v>0</v>
      </c>
      <c r="C193" s="355"/>
      <c r="D193" s="354">
        <f>'High Risk Non-Compliant'!D149</f>
        <v>0</v>
      </c>
      <c r="E193" s="354"/>
      <c r="F193" s="354"/>
      <c r="G193" s="147" t="e">
        <f>IF(VLOOKUP(A193,'High Risk Non-Compliant'!B:K,$H$48,FALSE)=0,"N/A",VLOOKUP(A193,'High Risk Non-Compliant'!B:K,$H$48,FALSE))</f>
        <v>#REF!</v>
      </c>
      <c r="H193" s="147" t="e">
        <f>IF(G193="N/A","N/A",VLOOKUP(G193,'Crosswalk Detail'!A:B,2,FALSE))</f>
        <v>#REF!</v>
      </c>
    </row>
    <row r="194" spans="1:8" ht="144" customHeight="1" x14ac:dyDescent="0.2">
      <c r="A194" s="148">
        <f>'High Risk Non-Compliant'!B150</f>
        <v>0</v>
      </c>
      <c r="B194" s="355">
        <f>'High Risk Non-Compliant'!C150</f>
        <v>0</v>
      </c>
      <c r="C194" s="355"/>
      <c r="D194" s="354">
        <f>'High Risk Non-Compliant'!D150</f>
        <v>0</v>
      </c>
      <c r="E194" s="354"/>
      <c r="F194" s="354"/>
      <c r="G194" s="147" t="e">
        <f>IF(VLOOKUP(A194,'High Risk Non-Compliant'!B:K,$H$48,FALSE)=0,"N/A",VLOOKUP(A194,'High Risk Non-Compliant'!B:K,$H$48,FALSE))</f>
        <v>#REF!</v>
      </c>
      <c r="H194" s="147" t="e">
        <f>IF(G194="N/A","N/A",VLOOKUP(G194,'Crosswalk Detail'!A:B,2,FALSE))</f>
        <v>#REF!</v>
      </c>
    </row>
    <row r="195" spans="1:8" ht="144" customHeight="1" x14ac:dyDescent="0.2">
      <c r="A195" s="148">
        <f>'High Risk Non-Compliant'!B151</f>
        <v>0</v>
      </c>
      <c r="B195" s="355">
        <f>'High Risk Non-Compliant'!C151</f>
        <v>0</v>
      </c>
      <c r="C195" s="355"/>
      <c r="D195" s="354">
        <f>'High Risk Non-Compliant'!D151</f>
        <v>0</v>
      </c>
      <c r="E195" s="354"/>
      <c r="F195" s="354"/>
      <c r="G195" s="147" t="e">
        <f>IF(VLOOKUP(A195,'High Risk Non-Compliant'!B:K,$H$48,FALSE)=0,"N/A",VLOOKUP(A195,'High Risk Non-Compliant'!B:K,$H$48,FALSE))</f>
        <v>#REF!</v>
      </c>
      <c r="H195" s="147" t="e">
        <f>IF(G195="N/A","N/A",VLOOKUP(G195,'Crosswalk Detail'!A:B,2,FALSE))</f>
        <v>#REF!</v>
      </c>
    </row>
    <row r="196" spans="1:8" ht="144" customHeight="1" x14ac:dyDescent="0.2">
      <c r="A196" s="148">
        <f>'High Risk Non-Compliant'!B152</f>
        <v>0</v>
      </c>
      <c r="B196" s="355">
        <f>'High Risk Non-Compliant'!C152</f>
        <v>0</v>
      </c>
      <c r="C196" s="355"/>
      <c r="D196" s="354">
        <f>'High Risk Non-Compliant'!D152</f>
        <v>0</v>
      </c>
      <c r="E196" s="354"/>
      <c r="F196" s="354"/>
      <c r="G196" s="147" t="e">
        <f>IF(VLOOKUP(A196,'High Risk Non-Compliant'!B:K,$H$48,FALSE)=0,"N/A",VLOOKUP(A196,'High Risk Non-Compliant'!B:K,$H$48,FALSE))</f>
        <v>#REF!</v>
      </c>
      <c r="H196" s="147" t="e">
        <f>IF(G196="N/A","N/A",VLOOKUP(G196,'Crosswalk Detail'!A:B,2,FALSE))</f>
        <v>#REF!</v>
      </c>
    </row>
    <row r="197" spans="1:8" ht="144" customHeight="1" x14ac:dyDescent="0.2">
      <c r="A197" s="148">
        <f>'High Risk Non-Compliant'!B153</f>
        <v>0</v>
      </c>
      <c r="B197" s="355">
        <f>'High Risk Non-Compliant'!C153</f>
        <v>0</v>
      </c>
      <c r="C197" s="355"/>
      <c r="D197" s="354">
        <f>'High Risk Non-Compliant'!D153</f>
        <v>0</v>
      </c>
      <c r="E197" s="354"/>
      <c r="F197" s="354"/>
      <c r="G197" s="147" t="e">
        <f>IF(VLOOKUP(A197,'High Risk Non-Compliant'!B:K,$H$48,FALSE)=0,"N/A",VLOOKUP(A197,'High Risk Non-Compliant'!B:K,$H$48,FALSE))</f>
        <v>#REF!</v>
      </c>
      <c r="H197" s="147" t="e">
        <f>IF(G197="N/A","N/A",VLOOKUP(G197,'Crosswalk Detail'!A:B,2,FALSE))</f>
        <v>#REF!</v>
      </c>
    </row>
    <row r="198" spans="1:8" ht="144" customHeight="1" x14ac:dyDescent="0.2">
      <c r="A198" s="148">
        <f>'High Risk Non-Compliant'!B154</f>
        <v>0</v>
      </c>
      <c r="B198" s="355">
        <f>'High Risk Non-Compliant'!C154</f>
        <v>0</v>
      </c>
      <c r="C198" s="355"/>
      <c r="D198" s="354">
        <f>'High Risk Non-Compliant'!D154</f>
        <v>0</v>
      </c>
      <c r="E198" s="354"/>
      <c r="F198" s="354"/>
      <c r="G198" s="147" t="e">
        <f>IF(VLOOKUP(A198,'High Risk Non-Compliant'!B:K,$H$48,FALSE)=0,"N/A",VLOOKUP(A198,'High Risk Non-Compliant'!B:K,$H$48,FALSE))</f>
        <v>#REF!</v>
      </c>
      <c r="H198" s="147" t="e">
        <f>IF(G198="N/A","N/A",VLOOKUP(G198,'Crosswalk Detail'!A:B,2,FALSE))</f>
        <v>#REF!</v>
      </c>
    </row>
    <row r="199" spans="1:8" ht="144" customHeight="1" x14ac:dyDescent="0.2">
      <c r="A199" s="148">
        <f>'High Risk Non-Compliant'!B155</f>
        <v>0</v>
      </c>
      <c r="B199" s="355">
        <f>'High Risk Non-Compliant'!C155</f>
        <v>0</v>
      </c>
      <c r="C199" s="355"/>
      <c r="D199" s="354">
        <f>'High Risk Non-Compliant'!D155</f>
        <v>0</v>
      </c>
      <c r="E199" s="354"/>
      <c r="F199" s="354"/>
      <c r="G199" s="147" t="e">
        <f>IF(VLOOKUP(A199,'High Risk Non-Compliant'!B:K,$H$48,FALSE)=0,"N/A",VLOOKUP(A199,'High Risk Non-Compliant'!B:K,$H$48,FALSE))</f>
        <v>#REF!</v>
      </c>
      <c r="H199" s="147" t="e">
        <f>IF(G199="N/A","N/A",VLOOKUP(G199,'Crosswalk Detail'!A:B,2,FALSE))</f>
        <v>#REF!</v>
      </c>
    </row>
    <row r="200" spans="1:8" ht="144" customHeight="1" x14ac:dyDescent="0.2">
      <c r="A200" s="148">
        <f>'High Risk Non-Compliant'!B156</f>
        <v>0</v>
      </c>
      <c r="B200" s="355">
        <f>'High Risk Non-Compliant'!C156</f>
        <v>0</v>
      </c>
      <c r="C200" s="355"/>
      <c r="D200" s="354">
        <f>'High Risk Non-Compliant'!D156</f>
        <v>0</v>
      </c>
      <c r="E200" s="354"/>
      <c r="F200" s="354"/>
      <c r="G200" s="147" t="e">
        <f>IF(VLOOKUP(A200,'High Risk Non-Compliant'!B:K,$H$48,FALSE)=0,"N/A",VLOOKUP(A200,'High Risk Non-Compliant'!B:K,$H$48,FALSE))</f>
        <v>#REF!</v>
      </c>
      <c r="H200" s="147" t="e">
        <f>IF(G200="N/A","N/A",VLOOKUP(G200,'Crosswalk Detail'!A:B,2,FALSE))</f>
        <v>#REF!</v>
      </c>
    </row>
    <row r="201" spans="1:8" ht="144" customHeight="1" x14ac:dyDescent="0.2">
      <c r="A201" s="148">
        <f>'High Risk Non-Compliant'!B157</f>
        <v>0</v>
      </c>
      <c r="B201" s="355">
        <f>'High Risk Non-Compliant'!C157</f>
        <v>0</v>
      </c>
      <c r="C201" s="355"/>
      <c r="D201" s="354">
        <f>'High Risk Non-Compliant'!D157</f>
        <v>0</v>
      </c>
      <c r="E201" s="354"/>
      <c r="F201" s="354"/>
      <c r="G201" s="147" t="e">
        <f>IF(VLOOKUP(A201,'High Risk Non-Compliant'!B:K,$H$48,FALSE)=0,"N/A",VLOOKUP(A201,'High Risk Non-Compliant'!B:K,$H$48,FALSE))</f>
        <v>#REF!</v>
      </c>
      <c r="H201" s="147" t="e">
        <f>IF(G201="N/A","N/A",VLOOKUP(G201,'Crosswalk Detail'!A:B,2,FALSE))</f>
        <v>#REF!</v>
      </c>
    </row>
    <row r="202" spans="1:8" ht="144" customHeight="1" x14ac:dyDescent="0.2">
      <c r="A202" s="148">
        <f>'High Risk Non-Compliant'!B158</f>
        <v>0</v>
      </c>
      <c r="B202" s="355">
        <f>'High Risk Non-Compliant'!C158</f>
        <v>0</v>
      </c>
      <c r="C202" s="355"/>
      <c r="D202" s="354">
        <f>'High Risk Non-Compliant'!D158</f>
        <v>0</v>
      </c>
      <c r="E202" s="354"/>
      <c r="F202" s="354"/>
      <c r="G202" s="147" t="e">
        <f>IF(VLOOKUP(A202,'High Risk Non-Compliant'!B:K,$H$48,FALSE)=0,"N/A",VLOOKUP(A202,'High Risk Non-Compliant'!B:K,$H$48,FALSE))</f>
        <v>#REF!</v>
      </c>
      <c r="H202" s="147" t="e">
        <f>IF(G202="N/A","N/A",VLOOKUP(G202,'Crosswalk Detail'!A:B,2,FALSE))</f>
        <v>#REF!</v>
      </c>
    </row>
    <row r="203" spans="1:8" ht="144" customHeight="1" x14ac:dyDescent="0.2">
      <c r="A203" s="148">
        <f>'High Risk Non-Compliant'!B159</f>
        <v>0</v>
      </c>
      <c r="B203" s="355">
        <f>'High Risk Non-Compliant'!C159</f>
        <v>0</v>
      </c>
      <c r="C203" s="355"/>
      <c r="D203" s="354">
        <f>'High Risk Non-Compliant'!D159</f>
        <v>0</v>
      </c>
      <c r="E203" s="354"/>
      <c r="F203" s="354"/>
      <c r="G203" s="147" t="e">
        <f>IF(VLOOKUP(A203,'High Risk Non-Compliant'!B:K,$H$48,FALSE)=0,"N/A",VLOOKUP(A203,'High Risk Non-Compliant'!B:K,$H$48,FALSE))</f>
        <v>#REF!</v>
      </c>
      <c r="H203" s="147" t="e">
        <f>IF(G203="N/A","N/A",VLOOKUP(G203,'Crosswalk Detail'!A:B,2,FALSE))</f>
        <v>#REF!</v>
      </c>
    </row>
    <row r="204" spans="1:8" ht="144" customHeight="1" x14ac:dyDescent="0.2">
      <c r="A204" s="148">
        <f>'High Risk Non-Compliant'!B160</f>
        <v>0</v>
      </c>
      <c r="B204" s="355">
        <f>'High Risk Non-Compliant'!C160</f>
        <v>0</v>
      </c>
      <c r="C204" s="355"/>
      <c r="D204" s="354">
        <f>'High Risk Non-Compliant'!D160</f>
        <v>0</v>
      </c>
      <c r="E204" s="354"/>
      <c r="F204" s="354"/>
      <c r="G204" s="147" t="e">
        <f>IF(VLOOKUP(A204,'High Risk Non-Compliant'!B:K,$H$48,FALSE)=0,"N/A",VLOOKUP(A204,'High Risk Non-Compliant'!B:K,$H$48,FALSE))</f>
        <v>#REF!</v>
      </c>
      <c r="H204" s="147" t="e">
        <f>IF(G204="N/A","N/A",VLOOKUP(G204,'Crosswalk Detail'!A:B,2,FALSE))</f>
        <v>#REF!</v>
      </c>
    </row>
    <row r="205" spans="1:8" ht="144" customHeight="1" x14ac:dyDescent="0.2">
      <c r="A205" s="148">
        <f>'High Risk Non-Compliant'!B161</f>
        <v>0</v>
      </c>
      <c r="B205" s="355">
        <f>'High Risk Non-Compliant'!C161</f>
        <v>0</v>
      </c>
      <c r="C205" s="355"/>
      <c r="D205" s="354">
        <f>'High Risk Non-Compliant'!D161</f>
        <v>0</v>
      </c>
      <c r="E205" s="354"/>
      <c r="F205" s="354"/>
      <c r="G205" s="147" t="e">
        <f>IF(VLOOKUP(A205,'High Risk Non-Compliant'!B:K,$H$48,FALSE)=0,"N/A",VLOOKUP(A205,'High Risk Non-Compliant'!B:K,$H$48,FALSE))</f>
        <v>#REF!</v>
      </c>
      <c r="H205" s="147" t="e">
        <f>IF(G205="N/A","N/A",VLOOKUP(G205,'Crosswalk Detail'!A:B,2,FALSE))</f>
        <v>#REF!</v>
      </c>
    </row>
    <row r="206" spans="1:8" ht="144" customHeight="1" x14ac:dyDescent="0.2">
      <c r="A206" s="148">
        <f>'High Risk Non-Compliant'!B162</f>
        <v>0</v>
      </c>
      <c r="B206" s="355">
        <f>'High Risk Non-Compliant'!C162</f>
        <v>0</v>
      </c>
      <c r="C206" s="355"/>
      <c r="D206" s="354">
        <f>'High Risk Non-Compliant'!D162</f>
        <v>0</v>
      </c>
      <c r="E206" s="354"/>
      <c r="F206" s="354"/>
      <c r="G206" s="147" t="e">
        <f>IF(VLOOKUP(A206,'High Risk Non-Compliant'!B:K,$H$48,FALSE)=0,"N/A",VLOOKUP(A206,'High Risk Non-Compliant'!B:K,$H$48,FALSE))</f>
        <v>#REF!</v>
      </c>
      <c r="H206" s="147" t="e">
        <f>IF(G206="N/A","N/A",VLOOKUP(G206,'Crosswalk Detail'!A:B,2,FALSE))</f>
        <v>#REF!</v>
      </c>
    </row>
    <row r="207" spans="1:8" ht="144" customHeight="1" x14ac:dyDescent="0.2">
      <c r="A207" s="148">
        <f>'High Risk Non-Compliant'!B163</f>
        <v>0</v>
      </c>
      <c r="B207" s="355">
        <f>'High Risk Non-Compliant'!C163</f>
        <v>0</v>
      </c>
      <c r="C207" s="355"/>
      <c r="D207" s="354">
        <f>'High Risk Non-Compliant'!D163</f>
        <v>0</v>
      </c>
      <c r="E207" s="354"/>
      <c r="F207" s="354"/>
      <c r="G207" s="147" t="e">
        <f>IF(VLOOKUP(A207,'High Risk Non-Compliant'!B:K,$H$48,FALSE)=0,"N/A",VLOOKUP(A207,'High Risk Non-Compliant'!B:K,$H$48,FALSE))</f>
        <v>#REF!</v>
      </c>
      <c r="H207" s="147" t="e">
        <f>IF(G207="N/A","N/A",VLOOKUP(G207,'Crosswalk Detail'!A:B,2,FALSE))</f>
        <v>#REF!</v>
      </c>
    </row>
    <row r="208" spans="1:8" ht="144" customHeight="1" x14ac:dyDescent="0.2">
      <c r="A208" s="148">
        <f>'High Risk Non-Compliant'!B164</f>
        <v>0</v>
      </c>
      <c r="B208" s="355">
        <f>'High Risk Non-Compliant'!C164</f>
        <v>0</v>
      </c>
      <c r="C208" s="355"/>
      <c r="D208" s="354">
        <f>'High Risk Non-Compliant'!D164</f>
        <v>0</v>
      </c>
      <c r="E208" s="354"/>
      <c r="F208" s="354"/>
      <c r="G208" s="147" t="e">
        <f>IF(VLOOKUP(A208,'High Risk Non-Compliant'!B:K,$H$48,FALSE)=0,"N/A",VLOOKUP(A208,'High Risk Non-Compliant'!B:K,$H$48,FALSE))</f>
        <v>#REF!</v>
      </c>
      <c r="H208" s="147" t="e">
        <f>IF(G208="N/A","N/A",VLOOKUP(G208,'Crosswalk Detail'!A:B,2,FALSE))</f>
        <v>#REF!</v>
      </c>
    </row>
    <row r="209" spans="1:8" ht="144" customHeight="1" x14ac:dyDescent="0.2">
      <c r="A209" s="148">
        <f>'High Risk Non-Compliant'!B165</f>
        <v>0</v>
      </c>
      <c r="B209" s="355">
        <f>'High Risk Non-Compliant'!C165</f>
        <v>0</v>
      </c>
      <c r="C209" s="355"/>
      <c r="D209" s="354">
        <f>'High Risk Non-Compliant'!D165</f>
        <v>0</v>
      </c>
      <c r="E209" s="354"/>
      <c r="F209" s="354"/>
      <c r="G209" s="147" t="e">
        <f>IF(VLOOKUP(A209,'High Risk Non-Compliant'!B:K,$H$48,FALSE)=0,"N/A",VLOOKUP(A209,'High Risk Non-Compliant'!B:K,$H$48,FALSE))</f>
        <v>#REF!</v>
      </c>
      <c r="H209" s="147" t="e">
        <f>IF(G209="N/A","N/A",VLOOKUP(G209,'Crosswalk Detail'!A:B,2,FALSE))</f>
        <v>#REF!</v>
      </c>
    </row>
    <row r="210" spans="1:8" ht="144" customHeight="1" x14ac:dyDescent="0.2">
      <c r="A210" s="148">
        <f>'High Risk Non-Compliant'!B166</f>
        <v>0</v>
      </c>
      <c r="B210" s="355">
        <f>'High Risk Non-Compliant'!C166</f>
        <v>0</v>
      </c>
      <c r="C210" s="355"/>
      <c r="D210" s="354">
        <f>'High Risk Non-Compliant'!D166</f>
        <v>0</v>
      </c>
      <c r="E210" s="354"/>
      <c r="F210" s="354"/>
      <c r="G210" s="147" t="e">
        <f>IF(VLOOKUP(A210,'High Risk Non-Compliant'!B:K,$H$48,FALSE)=0,"N/A",VLOOKUP(A210,'High Risk Non-Compliant'!B:K,$H$48,FALSE))</f>
        <v>#REF!</v>
      </c>
      <c r="H210" s="147" t="e">
        <f>IF(G210="N/A","N/A",VLOOKUP(G210,'Crosswalk Detail'!A:B,2,FALSE))</f>
        <v>#REF!</v>
      </c>
    </row>
    <row r="211" spans="1:8" ht="144" customHeight="1" x14ac:dyDescent="0.2">
      <c r="A211" s="148">
        <f>'High Risk Non-Compliant'!B167</f>
        <v>0</v>
      </c>
      <c r="B211" s="355">
        <f>'High Risk Non-Compliant'!C167</f>
        <v>0</v>
      </c>
      <c r="C211" s="355"/>
      <c r="D211" s="354">
        <f>'High Risk Non-Compliant'!D167</f>
        <v>0</v>
      </c>
      <c r="E211" s="354"/>
      <c r="F211" s="354"/>
      <c r="G211" s="147" t="e">
        <f>IF(VLOOKUP(A211,'High Risk Non-Compliant'!B:K,$H$48,FALSE)=0,"N/A",VLOOKUP(A211,'High Risk Non-Compliant'!B:K,$H$48,FALSE))</f>
        <v>#REF!</v>
      </c>
      <c r="H211" s="147" t="e">
        <f>IF(G211="N/A","N/A",VLOOKUP(G211,'Crosswalk Detail'!A:B,2,FALSE))</f>
        <v>#REF!</v>
      </c>
    </row>
    <row r="212" spans="1:8" ht="144" customHeight="1" x14ac:dyDescent="0.2">
      <c r="A212" s="148">
        <f>'High Risk Non-Compliant'!B168</f>
        <v>0</v>
      </c>
      <c r="B212" s="355">
        <f>'High Risk Non-Compliant'!C168</f>
        <v>0</v>
      </c>
      <c r="C212" s="355"/>
      <c r="D212" s="354">
        <f>'High Risk Non-Compliant'!D168</f>
        <v>0</v>
      </c>
      <c r="E212" s="354"/>
      <c r="F212" s="354"/>
      <c r="G212" s="147" t="e">
        <f>IF(VLOOKUP(A212,'High Risk Non-Compliant'!B:K,$H$48,FALSE)=0,"N/A",VLOOKUP(A212,'High Risk Non-Compliant'!B:K,$H$48,FALSE))</f>
        <v>#REF!</v>
      </c>
      <c r="H212" s="147" t="e">
        <f>IF(G212="N/A","N/A",VLOOKUP(G212,'Crosswalk Detail'!A:B,2,FALSE))</f>
        <v>#REF!</v>
      </c>
    </row>
    <row r="213" spans="1:8" ht="144" customHeight="1" x14ac:dyDescent="0.2">
      <c r="A213" s="148">
        <f>'High Risk Non-Compliant'!B169</f>
        <v>0</v>
      </c>
      <c r="B213" s="355">
        <f>'High Risk Non-Compliant'!C169</f>
        <v>0</v>
      </c>
      <c r="C213" s="355"/>
      <c r="D213" s="354">
        <f>'High Risk Non-Compliant'!D169</f>
        <v>0</v>
      </c>
      <c r="E213" s="354"/>
      <c r="F213" s="354"/>
      <c r="G213" s="147" t="e">
        <f>IF(VLOOKUP(A213,'High Risk Non-Compliant'!B:K,$H$48,FALSE)=0,"N/A",VLOOKUP(A213,'High Risk Non-Compliant'!B:K,$H$48,FALSE))</f>
        <v>#REF!</v>
      </c>
      <c r="H213" s="147" t="e">
        <f>IF(G213="N/A","N/A",VLOOKUP(G213,'Crosswalk Detail'!A:B,2,FALSE))</f>
        <v>#REF!</v>
      </c>
    </row>
    <row r="214" spans="1:8" ht="144" customHeight="1" x14ac:dyDescent="0.2">
      <c r="A214" s="148">
        <f>'High Risk Non-Compliant'!B170</f>
        <v>0</v>
      </c>
      <c r="B214" s="355">
        <f>'High Risk Non-Compliant'!C170</f>
        <v>0</v>
      </c>
      <c r="C214" s="355"/>
      <c r="D214" s="354">
        <f>'High Risk Non-Compliant'!D170</f>
        <v>0</v>
      </c>
      <c r="E214" s="354"/>
      <c r="F214" s="354"/>
      <c r="G214" s="147" t="e">
        <f>IF(VLOOKUP(A214,'High Risk Non-Compliant'!B:K,$H$48,FALSE)=0,"N/A",VLOOKUP(A214,'High Risk Non-Compliant'!B:K,$H$48,FALSE))</f>
        <v>#REF!</v>
      </c>
      <c r="H214" s="147" t="e">
        <f>IF(G214="N/A","N/A",VLOOKUP(G214,'Crosswalk Detail'!A:B,2,FALSE))</f>
        <v>#REF!</v>
      </c>
    </row>
    <row r="215" spans="1:8" ht="144" customHeight="1" x14ac:dyDescent="0.2">
      <c r="A215" s="148">
        <f>'High Risk Non-Compliant'!B171</f>
        <v>0</v>
      </c>
      <c r="B215" s="355">
        <f>'High Risk Non-Compliant'!C171</f>
        <v>0</v>
      </c>
      <c r="C215" s="355"/>
      <c r="D215" s="354">
        <f>'High Risk Non-Compliant'!D171</f>
        <v>0</v>
      </c>
      <c r="E215" s="354"/>
      <c r="F215" s="354"/>
      <c r="G215" s="147" t="e">
        <f>IF(VLOOKUP(A215,'High Risk Non-Compliant'!B:K,$H$48,FALSE)=0,"N/A",VLOOKUP(A215,'High Risk Non-Compliant'!B:K,$H$48,FALSE))</f>
        <v>#REF!</v>
      </c>
      <c r="H215" s="147" t="e">
        <f>IF(G215="N/A","N/A",VLOOKUP(G215,'Crosswalk Detail'!A:B,2,FALSE))</f>
        <v>#REF!</v>
      </c>
    </row>
    <row r="216" spans="1:8" ht="144" customHeight="1" x14ac:dyDescent="0.2">
      <c r="A216" s="148">
        <f>'High Risk Non-Compliant'!B172</f>
        <v>0</v>
      </c>
      <c r="B216" s="355">
        <f>'High Risk Non-Compliant'!C172</f>
        <v>0</v>
      </c>
      <c r="C216" s="355"/>
      <c r="D216" s="354">
        <f>'High Risk Non-Compliant'!D172</f>
        <v>0</v>
      </c>
      <c r="E216" s="354"/>
      <c r="F216" s="354"/>
      <c r="G216" s="147" t="e">
        <f>IF(VLOOKUP(A216,'High Risk Non-Compliant'!B:K,$H$48,FALSE)=0,"N/A",VLOOKUP(A216,'High Risk Non-Compliant'!B:K,$H$48,FALSE))</f>
        <v>#REF!</v>
      </c>
      <c r="H216" s="147" t="e">
        <f>IF(G216="N/A","N/A",VLOOKUP(G216,'Crosswalk Detail'!A:B,2,FALSE))</f>
        <v>#REF!</v>
      </c>
    </row>
    <row r="217" spans="1:8" ht="144" customHeight="1" x14ac:dyDescent="0.2">
      <c r="A217" s="149">
        <f>'High Risk Non-Compliant'!B173</f>
        <v>0</v>
      </c>
      <c r="B217" s="354">
        <f>'High Risk Non-Compliant'!C173</f>
        <v>0</v>
      </c>
      <c r="C217" s="354"/>
      <c r="D217" s="354">
        <f>'High Risk Non-Compliant'!D173</f>
        <v>0</v>
      </c>
      <c r="E217" s="354"/>
      <c r="F217" s="354"/>
      <c r="G217" s="147" t="e">
        <f>IF(VLOOKUP(A217,'High Risk Non-Compliant'!B:K,$H$48,FALSE)=0,"N/A",VLOOKUP(A217,'High Risk Non-Compliant'!B:K,$H$48,FALSE))</f>
        <v>#REF!</v>
      </c>
      <c r="H217" s="147" t="e">
        <f>IF(G217="N/A","N/A",VLOOKUP(G217,'Crosswalk Detail'!A:B,2,FALSE))</f>
        <v>#REF!</v>
      </c>
    </row>
    <row r="218" spans="1:8" ht="144" customHeight="1" x14ac:dyDescent="0.2">
      <c r="A218" s="149">
        <f>'High Risk Non-Compliant'!B174</f>
        <v>0</v>
      </c>
      <c r="B218" s="354">
        <f>'High Risk Non-Compliant'!C174</f>
        <v>0</v>
      </c>
      <c r="C218" s="354"/>
      <c r="D218" s="354">
        <f>'High Risk Non-Compliant'!D174</f>
        <v>0</v>
      </c>
      <c r="E218" s="354"/>
      <c r="F218" s="354"/>
      <c r="G218" s="147" t="e">
        <f>IF(VLOOKUP(A218,'High Risk Non-Compliant'!B:K,$H$48,FALSE)=0,"N/A",VLOOKUP(A218,'High Risk Non-Compliant'!B:K,$H$48,FALSE))</f>
        <v>#REF!</v>
      </c>
      <c r="H218" s="147" t="e">
        <f>IF(G218="N/A","N/A",VLOOKUP(G218,'Crosswalk Detail'!A:B,2,FALSE))</f>
        <v>#REF!</v>
      </c>
    </row>
    <row r="219" spans="1:8" ht="144" customHeight="1" x14ac:dyDescent="0.2">
      <c r="A219" s="149">
        <f>'High Risk Non-Compliant'!B175</f>
        <v>0</v>
      </c>
      <c r="B219" s="354">
        <f>'High Risk Non-Compliant'!C175</f>
        <v>0</v>
      </c>
      <c r="C219" s="354"/>
      <c r="D219" s="354">
        <f>'High Risk Non-Compliant'!D175</f>
        <v>0</v>
      </c>
      <c r="E219" s="354"/>
      <c r="F219" s="354"/>
      <c r="G219" s="147" t="e">
        <f>IF(VLOOKUP(A219,'High Risk Non-Compliant'!B:K,$H$48,FALSE)=0,"N/A",VLOOKUP(A219,'High Risk Non-Compliant'!B:K,$H$48,FALSE))</f>
        <v>#REF!</v>
      </c>
      <c r="H219" s="147" t="e">
        <f>IF(G219="N/A","N/A",VLOOKUP(G219,'Crosswalk Detail'!A:B,2,FALSE))</f>
        <v>#REF!</v>
      </c>
    </row>
    <row r="220" spans="1:8" ht="144" customHeight="1" x14ac:dyDescent="0.2">
      <c r="A220" s="149">
        <f>'High Risk Non-Compliant'!B176</f>
        <v>0</v>
      </c>
      <c r="B220" s="354">
        <f>'High Risk Non-Compliant'!C176</f>
        <v>0</v>
      </c>
      <c r="C220" s="354"/>
      <c r="D220" s="354">
        <f>'High Risk Non-Compliant'!D176</f>
        <v>0</v>
      </c>
      <c r="E220" s="354"/>
      <c r="F220" s="354"/>
      <c r="G220" s="147" t="e">
        <f>VLOOKUP(A220,'High Risk Non-Compliant'!B:K,$H$48,FALSE)</f>
        <v>#REF!</v>
      </c>
      <c r="H220" s="147" t="e">
        <f>VLOOKUP(G220,'Crosswalk Detail'!A:B,2,FALSE)</f>
        <v>#REF!</v>
      </c>
    </row>
    <row r="221" spans="1:8" ht="144" customHeight="1" x14ac:dyDescent="0.2">
      <c r="A221" s="149">
        <f>'High Risk Non-Compliant'!B177</f>
        <v>0</v>
      </c>
      <c r="B221" s="354">
        <f>'High Risk Non-Compliant'!C177</f>
        <v>0</v>
      </c>
      <c r="C221" s="354"/>
      <c r="D221" s="354">
        <f>'High Risk Non-Compliant'!D177</f>
        <v>0</v>
      </c>
      <c r="E221" s="354"/>
      <c r="F221" s="354"/>
      <c r="G221" s="147" t="e">
        <f>VLOOKUP(A221,'High Risk Non-Compliant'!B:K,$H$48,FALSE)</f>
        <v>#REF!</v>
      </c>
      <c r="H221" s="147" t="e">
        <f>VLOOKUP(G221,'Crosswalk Detail'!A:B,2,FALSE)</f>
        <v>#REF!</v>
      </c>
    </row>
    <row r="222" spans="1:8" ht="144" customHeight="1" x14ac:dyDescent="0.2">
      <c r="A222" s="149">
        <f>'High Risk Non-Compliant'!B178</f>
        <v>0</v>
      </c>
      <c r="B222" s="354">
        <f>'High Risk Non-Compliant'!C178</f>
        <v>0</v>
      </c>
      <c r="C222" s="354"/>
      <c r="D222" s="354">
        <f>'High Risk Non-Compliant'!D178</f>
        <v>0</v>
      </c>
      <c r="E222" s="354"/>
      <c r="F222" s="354"/>
      <c r="G222" s="147" t="e">
        <f>VLOOKUP(A222,'High Risk Non-Compliant'!B:K,$H$48,FALSE)</f>
        <v>#REF!</v>
      </c>
      <c r="H222" s="147" t="e">
        <f>VLOOKUP(G222,'Crosswalk Detail'!A:B,2,FALSE)</f>
        <v>#REF!</v>
      </c>
    </row>
    <row r="223" spans="1:8" ht="144" customHeight="1" x14ac:dyDescent="0.2">
      <c r="A223" s="149">
        <f>'High Risk Non-Compliant'!B179</f>
        <v>0</v>
      </c>
      <c r="B223" s="354">
        <f>'High Risk Non-Compliant'!C179</f>
        <v>0</v>
      </c>
      <c r="C223" s="354"/>
      <c r="D223" s="354">
        <f>'High Risk Non-Compliant'!D179</f>
        <v>0</v>
      </c>
      <c r="E223" s="354"/>
      <c r="F223" s="354"/>
      <c r="G223" s="147" t="e">
        <f>VLOOKUP(A223,'High Risk Non-Compliant'!B:K,$H$48,FALSE)</f>
        <v>#REF!</v>
      </c>
      <c r="H223" s="147" t="e">
        <f>VLOOKUP(G223,'Crosswalk Detail'!A:B,2,FALSE)</f>
        <v>#REF!</v>
      </c>
    </row>
    <row r="224" spans="1:8" ht="144" customHeight="1" x14ac:dyDescent="0.2">
      <c r="A224" s="149">
        <f>'High Risk Non-Compliant'!B180</f>
        <v>0</v>
      </c>
      <c r="B224" s="354">
        <f>'High Risk Non-Compliant'!C180</f>
        <v>0</v>
      </c>
      <c r="C224" s="354"/>
      <c r="D224" s="354">
        <f>'High Risk Non-Compliant'!D180</f>
        <v>0</v>
      </c>
      <c r="E224" s="354"/>
      <c r="F224" s="354"/>
      <c r="G224" s="147" t="e">
        <f>VLOOKUP(A224,'High Risk Non-Compliant'!B:K,$H$48,FALSE)</f>
        <v>#REF!</v>
      </c>
      <c r="H224" s="147" t="e">
        <f>VLOOKUP(G224,'Crosswalk Detail'!A:B,2,FALSE)</f>
        <v>#REF!</v>
      </c>
    </row>
    <row r="225" spans="1:8" ht="144" customHeight="1" x14ac:dyDescent="0.2">
      <c r="A225" s="149">
        <f>'High Risk Non-Compliant'!B181</f>
        <v>0</v>
      </c>
      <c r="B225" s="354">
        <f>'High Risk Non-Compliant'!C181</f>
        <v>0</v>
      </c>
      <c r="C225" s="354"/>
      <c r="D225" s="354">
        <f>'High Risk Non-Compliant'!D181</f>
        <v>0</v>
      </c>
      <c r="E225" s="354"/>
      <c r="F225" s="354"/>
      <c r="G225" s="147" t="e">
        <f>VLOOKUP(A225,'High Risk Non-Compliant'!B:K,$H$48,FALSE)</f>
        <v>#REF!</v>
      </c>
      <c r="H225" s="147" t="e">
        <f>VLOOKUP(G225,'Crosswalk Detail'!A:B,2,FALSE)</f>
        <v>#REF!</v>
      </c>
    </row>
    <row r="226" spans="1:8" x14ac:dyDescent="0.2">
      <c r="A226" s="150">
        <f>'High Risk Non-Compliant'!B182</f>
        <v>0</v>
      </c>
      <c r="B226" s="351">
        <f>'High Risk Non-Compliant'!C182</f>
        <v>0</v>
      </c>
      <c r="C226" s="351"/>
      <c r="D226" s="351">
        <f>'High Risk Non-Compliant'!D182</f>
        <v>0</v>
      </c>
      <c r="E226" s="351"/>
      <c r="F226" s="351"/>
      <c r="G226" s="147"/>
      <c r="H226" s="147"/>
    </row>
    <row r="227" spans="1:8" ht="29.25" customHeight="1" x14ac:dyDescent="0.2">
      <c r="A227" s="150">
        <f>'High Risk Non-Compliant'!B183</f>
        <v>0</v>
      </c>
      <c r="B227" s="351">
        <f>'High Risk Non-Compliant'!C183</f>
        <v>0</v>
      </c>
      <c r="C227" s="351"/>
      <c r="D227" s="351">
        <f>'High Risk Non-Compliant'!D183</f>
        <v>0</v>
      </c>
      <c r="E227" s="351"/>
      <c r="F227" s="351"/>
      <c r="G227" s="147"/>
      <c r="H227" s="147"/>
    </row>
    <row r="228" spans="1:8" ht="29.25" customHeight="1" x14ac:dyDescent="0.2">
      <c r="A228" s="150">
        <f>'High Risk Non-Compliant'!B184</f>
        <v>0</v>
      </c>
      <c r="B228" s="351">
        <f>'High Risk Non-Compliant'!C184</f>
        <v>0</v>
      </c>
      <c r="C228" s="351"/>
      <c r="D228" s="351">
        <f>'High Risk Non-Compliant'!D184</f>
        <v>0</v>
      </c>
      <c r="E228" s="351"/>
      <c r="F228" s="351"/>
      <c r="G228" s="147"/>
      <c r="H228" s="147"/>
    </row>
    <row r="229" spans="1:8" x14ac:dyDescent="0.2">
      <c r="A229" s="150">
        <f>'High Risk Non-Compliant'!B185</f>
        <v>0</v>
      </c>
      <c r="B229" s="351">
        <f>'High Risk Non-Compliant'!C185</f>
        <v>0</v>
      </c>
      <c r="C229" s="351"/>
      <c r="D229" s="351">
        <f>'High Risk Non-Compliant'!D185</f>
        <v>0</v>
      </c>
      <c r="E229" s="351"/>
      <c r="F229" s="351"/>
      <c r="G229" s="147"/>
      <c r="H229" s="147"/>
    </row>
    <row r="230" spans="1:8" ht="29.25" customHeight="1" x14ac:dyDescent="0.2">
      <c r="A230" s="150">
        <f>'High Risk Non-Compliant'!B186</f>
        <v>0</v>
      </c>
      <c r="B230" s="351">
        <f>'High Risk Non-Compliant'!C186</f>
        <v>0</v>
      </c>
      <c r="C230" s="351"/>
      <c r="D230" s="351">
        <f>'High Risk Non-Compliant'!D186</f>
        <v>0</v>
      </c>
      <c r="E230" s="351"/>
      <c r="F230" s="351"/>
      <c r="G230" s="147"/>
      <c r="H230" s="147"/>
    </row>
    <row r="231" spans="1:8" ht="29.25" customHeight="1" x14ac:dyDescent="0.2">
      <c r="A231" s="150">
        <f>'High Risk Non-Compliant'!B187</f>
        <v>0</v>
      </c>
      <c r="B231" s="351">
        <f>'High Risk Non-Compliant'!C187</f>
        <v>0</v>
      </c>
      <c r="C231" s="351"/>
      <c r="D231" s="351">
        <f>'High Risk Non-Compliant'!D187</f>
        <v>0</v>
      </c>
      <c r="E231" s="351"/>
      <c r="F231" s="351"/>
      <c r="G231" s="147"/>
      <c r="H231" s="147"/>
    </row>
    <row r="232" spans="1:8" ht="44.1" customHeight="1" x14ac:dyDescent="0.2">
      <c r="A232" s="150">
        <f>'High Risk Non-Compliant'!B188</f>
        <v>0</v>
      </c>
      <c r="B232" s="351">
        <f>'High Risk Non-Compliant'!C188</f>
        <v>0</v>
      </c>
      <c r="C232" s="351"/>
      <c r="D232" s="351">
        <f>'High Risk Non-Compliant'!D188</f>
        <v>0</v>
      </c>
      <c r="E232" s="351"/>
      <c r="F232" s="351"/>
      <c r="G232" s="147"/>
      <c r="H232" s="147"/>
    </row>
    <row r="233" spans="1:8" x14ac:dyDescent="0.2">
      <c r="A233" s="150">
        <f>'High Risk Non-Compliant'!B189</f>
        <v>0</v>
      </c>
      <c r="B233" s="351">
        <f>'High Risk Non-Compliant'!C189</f>
        <v>0</v>
      </c>
      <c r="C233" s="351"/>
      <c r="D233" s="351">
        <f>'High Risk Non-Compliant'!D189</f>
        <v>0</v>
      </c>
      <c r="E233" s="351"/>
      <c r="F233" s="351"/>
      <c r="G233" s="147"/>
      <c r="H233" s="147"/>
    </row>
    <row r="234" spans="1:8" x14ac:dyDescent="0.2">
      <c r="A234" s="150">
        <f>'High Risk Non-Compliant'!B190</f>
        <v>0</v>
      </c>
      <c r="B234" s="351">
        <f>'High Risk Non-Compliant'!C190</f>
        <v>0</v>
      </c>
      <c r="C234" s="351"/>
      <c r="D234" s="351">
        <f>'High Risk Non-Compliant'!D190</f>
        <v>0</v>
      </c>
      <c r="E234" s="351"/>
      <c r="F234" s="351"/>
      <c r="G234" s="147"/>
      <c r="H234" s="147"/>
    </row>
    <row r="235" spans="1:8" x14ac:dyDescent="0.2">
      <c r="A235" s="150">
        <f>'High Risk Non-Compliant'!B191</f>
        <v>0</v>
      </c>
      <c r="B235" s="351">
        <f>'High Risk Non-Compliant'!C191</f>
        <v>0</v>
      </c>
      <c r="C235" s="351"/>
      <c r="D235" s="351">
        <f>'High Risk Non-Compliant'!D191</f>
        <v>0</v>
      </c>
      <c r="E235" s="351"/>
      <c r="F235" s="351"/>
      <c r="G235" s="147"/>
      <c r="H235" s="147"/>
    </row>
    <row r="236" spans="1:8" x14ac:dyDescent="0.2">
      <c r="A236" s="150">
        <f>'High Risk Non-Compliant'!B192</f>
        <v>0</v>
      </c>
      <c r="B236" s="351">
        <f>'High Risk Non-Compliant'!C192</f>
        <v>0</v>
      </c>
      <c r="C236" s="351"/>
      <c r="D236" s="351">
        <f>'High Risk Non-Compliant'!D192</f>
        <v>0</v>
      </c>
      <c r="E236" s="351"/>
      <c r="F236" s="351"/>
      <c r="G236" s="147"/>
      <c r="H236" s="147"/>
    </row>
    <row r="237" spans="1:8" x14ac:dyDescent="0.2">
      <c r="A237" s="150">
        <f>'High Risk Non-Compliant'!B193</f>
        <v>0</v>
      </c>
      <c r="B237" s="351">
        <f>'High Risk Non-Compliant'!C193</f>
        <v>0</v>
      </c>
      <c r="C237" s="351"/>
      <c r="D237" s="351">
        <f>'High Risk Non-Compliant'!D193</f>
        <v>0</v>
      </c>
      <c r="E237" s="351"/>
      <c r="F237" s="351"/>
      <c r="G237" s="147"/>
      <c r="H237" s="147"/>
    </row>
    <row r="238" spans="1:8" x14ac:dyDescent="0.2">
      <c r="A238" s="150">
        <f>'High Risk Non-Compliant'!B194</f>
        <v>0</v>
      </c>
      <c r="B238" s="351">
        <f>'High Risk Non-Compliant'!C194</f>
        <v>0</v>
      </c>
      <c r="C238" s="351"/>
      <c r="D238" s="351">
        <f>'High Risk Non-Compliant'!D194</f>
        <v>0</v>
      </c>
      <c r="E238" s="351"/>
      <c r="F238" s="351"/>
      <c r="G238" s="147"/>
      <c r="H238" s="147"/>
    </row>
    <row r="239" spans="1:8" x14ac:dyDescent="0.2">
      <c r="A239" s="150">
        <f>'High Risk Non-Compliant'!B195</f>
        <v>0</v>
      </c>
      <c r="B239" s="351">
        <f>'High Risk Non-Compliant'!C195</f>
        <v>0</v>
      </c>
      <c r="C239" s="351"/>
      <c r="D239" s="351">
        <f>'High Risk Non-Compliant'!D195</f>
        <v>0</v>
      </c>
      <c r="E239" s="351"/>
      <c r="F239" s="351"/>
      <c r="G239" s="147"/>
      <c r="H239" s="147"/>
    </row>
    <row r="240" spans="1:8" x14ac:dyDescent="0.2">
      <c r="A240" s="150">
        <f>'High Risk Non-Compliant'!B196</f>
        <v>0</v>
      </c>
      <c r="B240" s="351">
        <f>'High Risk Non-Compliant'!C196</f>
        <v>0</v>
      </c>
      <c r="C240" s="351"/>
      <c r="D240" s="351">
        <f>'High Risk Non-Compliant'!D196</f>
        <v>0</v>
      </c>
      <c r="E240" s="351"/>
      <c r="F240" s="351"/>
      <c r="G240" s="147"/>
      <c r="H240" s="147"/>
    </row>
    <row r="241" spans="1:8" x14ac:dyDescent="0.2">
      <c r="A241" s="150">
        <f>'High Risk Non-Compliant'!B197</f>
        <v>0</v>
      </c>
      <c r="B241" s="351">
        <f>'High Risk Non-Compliant'!C197</f>
        <v>0</v>
      </c>
      <c r="C241" s="351"/>
      <c r="D241" s="351">
        <f>'High Risk Non-Compliant'!D197</f>
        <v>0</v>
      </c>
      <c r="E241" s="351"/>
      <c r="F241" s="351"/>
      <c r="G241" s="147"/>
      <c r="H241" s="147"/>
    </row>
    <row r="242" spans="1:8" x14ac:dyDescent="0.2">
      <c r="A242" s="150">
        <f>'High Risk Non-Compliant'!B198</f>
        <v>0</v>
      </c>
      <c r="B242" s="351">
        <f>'High Risk Non-Compliant'!C198</f>
        <v>0</v>
      </c>
      <c r="C242" s="351"/>
      <c r="D242" s="351">
        <f>'High Risk Non-Compliant'!D198</f>
        <v>0</v>
      </c>
      <c r="E242" s="351"/>
      <c r="F242" s="351"/>
      <c r="G242" s="147"/>
      <c r="H242" s="147"/>
    </row>
    <row r="243" spans="1:8" ht="29.25" customHeight="1" x14ac:dyDescent="0.2">
      <c r="A243" s="150">
        <f>'High Risk Non-Compliant'!B199</f>
        <v>0</v>
      </c>
      <c r="B243" s="351">
        <f>'High Risk Non-Compliant'!C199</f>
        <v>0</v>
      </c>
      <c r="C243" s="351"/>
      <c r="D243" s="351">
        <f>'High Risk Non-Compliant'!D199</f>
        <v>0</v>
      </c>
      <c r="E243" s="351"/>
      <c r="F243" s="351"/>
      <c r="G243" s="147"/>
      <c r="H243" s="147"/>
    </row>
    <row r="244" spans="1:8" ht="29.25" customHeight="1" x14ac:dyDescent="0.2">
      <c r="A244" s="150">
        <f>'High Risk Non-Compliant'!B200</f>
        <v>0</v>
      </c>
      <c r="B244" s="351">
        <f>'High Risk Non-Compliant'!C200</f>
        <v>0</v>
      </c>
      <c r="C244" s="351"/>
      <c r="D244" s="351">
        <f>'High Risk Non-Compliant'!D200</f>
        <v>0</v>
      </c>
      <c r="E244" s="351"/>
      <c r="F244" s="351"/>
      <c r="G244" s="147"/>
      <c r="H244" s="147"/>
    </row>
    <row r="245" spans="1:8" ht="58.5" customHeight="1" x14ac:dyDescent="0.2">
      <c r="A245" s="150">
        <f>'High Risk Non-Compliant'!B201</f>
        <v>0</v>
      </c>
      <c r="B245" s="351">
        <f>'High Risk Non-Compliant'!C201</f>
        <v>0</v>
      </c>
      <c r="C245" s="351"/>
      <c r="D245" s="351">
        <f>'High Risk Non-Compliant'!D201</f>
        <v>0</v>
      </c>
      <c r="E245" s="351"/>
      <c r="F245" s="351"/>
      <c r="G245" s="147"/>
      <c r="H245" s="147"/>
    </row>
    <row r="246" spans="1:8" ht="44.1" customHeight="1" x14ac:dyDescent="0.2">
      <c r="A246" s="150">
        <f>'High Risk Non-Compliant'!B202</f>
        <v>0</v>
      </c>
      <c r="B246" s="351">
        <f>'High Risk Non-Compliant'!C202</f>
        <v>0</v>
      </c>
      <c r="C246" s="351"/>
      <c r="D246" s="351">
        <f>'High Risk Non-Compliant'!D202</f>
        <v>0</v>
      </c>
      <c r="E246" s="351"/>
      <c r="F246" s="351"/>
      <c r="G246" s="147"/>
      <c r="H246" s="147"/>
    </row>
    <row r="247" spans="1:8" ht="29.25" customHeight="1" x14ac:dyDescent="0.2">
      <c r="A247" s="150">
        <f>'High Risk Non-Compliant'!B203</f>
        <v>0</v>
      </c>
      <c r="B247" s="351">
        <f>'High Risk Non-Compliant'!C203</f>
        <v>0</v>
      </c>
      <c r="C247" s="351"/>
      <c r="D247" s="351">
        <f>'High Risk Non-Compliant'!D203</f>
        <v>0</v>
      </c>
      <c r="E247" s="351"/>
      <c r="F247" s="351"/>
      <c r="G247" s="147"/>
      <c r="H247" s="147"/>
    </row>
    <row r="248" spans="1:8" ht="44.1" customHeight="1" x14ac:dyDescent="0.2">
      <c r="A248" s="150">
        <f>'High Risk Non-Compliant'!B204</f>
        <v>0</v>
      </c>
      <c r="B248" s="351">
        <f>'High Risk Non-Compliant'!C204</f>
        <v>0</v>
      </c>
      <c r="C248" s="351"/>
      <c r="D248" s="351">
        <f>'High Risk Non-Compliant'!D204</f>
        <v>0</v>
      </c>
      <c r="E248" s="351"/>
      <c r="F248" s="351"/>
      <c r="G248" s="147"/>
      <c r="H248" s="147"/>
    </row>
    <row r="249" spans="1:8" ht="29.25" customHeight="1" x14ac:dyDescent="0.2">
      <c r="A249" s="150">
        <f>'High Risk Non-Compliant'!B205</f>
        <v>0</v>
      </c>
      <c r="B249" s="351">
        <f>'High Risk Non-Compliant'!C205</f>
        <v>0</v>
      </c>
      <c r="C249" s="351"/>
      <c r="D249" s="351">
        <f>'High Risk Non-Compliant'!D205</f>
        <v>0</v>
      </c>
      <c r="E249" s="351"/>
      <c r="F249" s="351"/>
      <c r="G249" s="147"/>
      <c r="H249" s="147"/>
    </row>
    <row r="250" spans="1:8" ht="175.5" customHeight="1" x14ac:dyDescent="0.2">
      <c r="A250" s="150">
        <f>'High Risk Non-Compliant'!B206</f>
        <v>0</v>
      </c>
      <c r="B250" s="351">
        <f>'High Risk Non-Compliant'!C206</f>
        <v>0</v>
      </c>
      <c r="C250" s="351"/>
      <c r="D250" s="351">
        <f>'High Risk Non-Compliant'!D206</f>
        <v>0</v>
      </c>
      <c r="E250" s="351"/>
      <c r="F250" s="351"/>
      <c r="G250" s="147"/>
      <c r="H250" s="147"/>
    </row>
    <row r="251" spans="1:8" ht="73.349999999999994" customHeight="1" x14ac:dyDescent="0.2">
      <c r="A251" s="150">
        <f>'High Risk Non-Compliant'!B207</f>
        <v>0</v>
      </c>
      <c r="B251" s="351">
        <f>'High Risk Non-Compliant'!C207</f>
        <v>0</v>
      </c>
      <c r="C251" s="351"/>
      <c r="D251" s="351">
        <f>'High Risk Non-Compliant'!D207</f>
        <v>0</v>
      </c>
      <c r="E251" s="351"/>
      <c r="F251" s="351"/>
      <c r="G251" s="147"/>
      <c r="H251" s="147"/>
    </row>
    <row r="252" spans="1:8" ht="87.75" customHeight="1" x14ac:dyDescent="0.2">
      <c r="A252" s="150">
        <f>'High Risk Non-Compliant'!B208</f>
        <v>0</v>
      </c>
      <c r="B252" s="351">
        <f>'High Risk Non-Compliant'!C208</f>
        <v>0</v>
      </c>
      <c r="C252" s="351"/>
      <c r="D252" s="351">
        <f>'High Risk Non-Compliant'!D208</f>
        <v>0</v>
      </c>
      <c r="E252" s="351"/>
      <c r="F252" s="351"/>
      <c r="G252" s="147"/>
      <c r="H252" s="147"/>
    </row>
    <row r="253" spans="1:8" x14ac:dyDescent="0.2">
      <c r="A253" s="150">
        <f>'High Risk Non-Compliant'!B209</f>
        <v>0</v>
      </c>
      <c r="B253" s="351">
        <f>'High Risk Non-Compliant'!C209</f>
        <v>0</v>
      </c>
      <c r="C253" s="351"/>
      <c r="D253" s="351">
        <f>'High Risk Non-Compliant'!D209</f>
        <v>0</v>
      </c>
      <c r="E253" s="351"/>
      <c r="F253" s="351"/>
      <c r="G253" s="147"/>
      <c r="H253" s="147"/>
    </row>
    <row r="254" spans="1:8" ht="29.25" customHeight="1" x14ac:dyDescent="0.2">
      <c r="A254" s="150">
        <f>'High Risk Non-Compliant'!B210</f>
        <v>0</v>
      </c>
      <c r="B254" s="351">
        <f>'High Risk Non-Compliant'!C210</f>
        <v>0</v>
      </c>
      <c r="C254" s="351"/>
      <c r="D254" s="351">
        <f>'High Risk Non-Compliant'!D210</f>
        <v>0</v>
      </c>
      <c r="E254" s="351"/>
      <c r="F254" s="351"/>
      <c r="G254" s="147"/>
      <c r="H254" s="147"/>
    </row>
    <row r="255" spans="1:8" x14ac:dyDescent="0.2">
      <c r="A255" s="150">
        <f>'High Risk Non-Compliant'!B211</f>
        <v>0</v>
      </c>
      <c r="B255" s="351">
        <f>'High Risk Non-Compliant'!C211</f>
        <v>0</v>
      </c>
      <c r="C255" s="351"/>
      <c r="D255" s="351">
        <f>'High Risk Non-Compliant'!D211</f>
        <v>0</v>
      </c>
      <c r="E255" s="351"/>
      <c r="F255" s="351"/>
      <c r="G255" s="147"/>
      <c r="H255" s="147"/>
    </row>
    <row r="256" spans="1:8" x14ac:dyDescent="0.2">
      <c r="A256" s="150">
        <f>'High Risk Non-Compliant'!B212</f>
        <v>0</v>
      </c>
      <c r="B256" s="351">
        <f>'High Risk Non-Compliant'!C212</f>
        <v>0</v>
      </c>
      <c r="C256" s="351"/>
      <c r="D256" s="351">
        <f>'High Risk Non-Compliant'!D212</f>
        <v>0</v>
      </c>
      <c r="E256" s="351"/>
      <c r="F256" s="351"/>
      <c r="G256" s="147"/>
      <c r="H256" s="147"/>
    </row>
    <row r="257" spans="1:8" x14ac:dyDescent="0.2">
      <c r="A257" s="150">
        <f>'High Risk Non-Compliant'!B213</f>
        <v>0</v>
      </c>
      <c r="B257" s="351">
        <f>'High Risk Non-Compliant'!C213</f>
        <v>0</v>
      </c>
      <c r="C257" s="351"/>
      <c r="D257" s="351">
        <f>'High Risk Non-Compliant'!D213</f>
        <v>0</v>
      </c>
      <c r="E257" s="351"/>
      <c r="F257" s="351"/>
      <c r="G257" s="147"/>
      <c r="H257" s="147"/>
    </row>
    <row r="258" spans="1:8" x14ac:dyDescent="0.2">
      <c r="A258" s="150">
        <f>'High Risk Non-Compliant'!B214</f>
        <v>0</v>
      </c>
      <c r="B258" s="351">
        <f>'High Risk Non-Compliant'!C214</f>
        <v>0</v>
      </c>
      <c r="C258" s="351"/>
      <c r="D258" s="351">
        <f>'High Risk Non-Compliant'!D214</f>
        <v>0</v>
      </c>
      <c r="E258" s="351"/>
      <c r="F258" s="351"/>
      <c r="G258" s="147"/>
      <c r="H258" s="147"/>
    </row>
    <row r="259" spans="1:8" x14ac:dyDescent="0.2">
      <c r="A259" s="150">
        <f>'High Risk Non-Compliant'!B215</f>
        <v>0</v>
      </c>
      <c r="B259" s="351">
        <f>'High Risk Non-Compliant'!C215</f>
        <v>0</v>
      </c>
      <c r="C259" s="351"/>
      <c r="D259" s="351">
        <f>'High Risk Non-Compliant'!D215</f>
        <v>0</v>
      </c>
      <c r="E259" s="351"/>
      <c r="F259" s="351"/>
      <c r="G259" s="147"/>
      <c r="H259" s="147"/>
    </row>
    <row r="260" spans="1:8" x14ac:dyDescent="0.2">
      <c r="A260" s="150">
        <f>'High Risk Non-Compliant'!B216</f>
        <v>0</v>
      </c>
      <c r="B260" s="351">
        <f>'High Risk Non-Compliant'!C216</f>
        <v>0</v>
      </c>
      <c r="C260" s="351"/>
      <c r="D260" s="351">
        <f>'High Risk Non-Compliant'!D216</f>
        <v>0</v>
      </c>
      <c r="E260" s="351"/>
      <c r="F260" s="351"/>
      <c r="G260" s="147"/>
      <c r="H260" s="147"/>
    </row>
    <row r="261" spans="1:8" x14ac:dyDescent="0.2">
      <c r="A261" s="150">
        <f>'High Risk Non-Compliant'!B217</f>
        <v>0</v>
      </c>
      <c r="B261" s="351">
        <f>'High Risk Non-Compliant'!C217</f>
        <v>0</v>
      </c>
      <c r="C261" s="351"/>
      <c r="D261" s="351">
        <f>'High Risk Non-Compliant'!D217</f>
        <v>0</v>
      </c>
      <c r="E261" s="351"/>
      <c r="F261" s="351"/>
      <c r="G261" s="147"/>
      <c r="H261" s="147"/>
    </row>
    <row r="262" spans="1:8" x14ac:dyDescent="0.2">
      <c r="A262" s="150">
        <f>'High Risk Non-Compliant'!B218</f>
        <v>0</v>
      </c>
      <c r="B262" s="351">
        <f>'High Risk Non-Compliant'!C218</f>
        <v>0</v>
      </c>
      <c r="C262" s="351"/>
      <c r="D262" s="351">
        <f>'High Risk Non-Compliant'!D218</f>
        <v>0</v>
      </c>
      <c r="E262" s="351"/>
      <c r="F262" s="351"/>
      <c r="G262" s="147"/>
      <c r="H262" s="147"/>
    </row>
    <row r="263" spans="1:8" x14ac:dyDescent="0.2">
      <c r="A263" s="150">
        <f>'High Risk Non-Compliant'!B219</f>
        <v>0</v>
      </c>
      <c r="B263" s="351">
        <f>'High Risk Non-Compliant'!C219</f>
        <v>0</v>
      </c>
      <c r="C263" s="351"/>
      <c r="D263" s="351">
        <f>'High Risk Non-Compliant'!D219</f>
        <v>0</v>
      </c>
      <c r="E263" s="351"/>
      <c r="F263" s="351"/>
      <c r="G263" s="147"/>
      <c r="H263" s="147"/>
    </row>
    <row r="264" spans="1:8" x14ac:dyDescent="0.2">
      <c r="A264" s="150">
        <f>'High Risk Non-Compliant'!B220</f>
        <v>0</v>
      </c>
      <c r="B264" s="351">
        <f>'High Risk Non-Compliant'!C220</f>
        <v>0</v>
      </c>
      <c r="C264" s="351"/>
      <c r="D264" s="351">
        <f>'High Risk Non-Compliant'!D220</f>
        <v>0</v>
      </c>
      <c r="E264" s="351"/>
      <c r="F264" s="351"/>
      <c r="G264" s="147"/>
      <c r="H264" s="147"/>
    </row>
    <row r="265" spans="1:8" ht="58.5" customHeight="1" x14ac:dyDescent="0.2">
      <c r="A265" s="150">
        <f>'High Risk Non-Compliant'!B221</f>
        <v>0</v>
      </c>
      <c r="B265" s="351">
        <f>'High Risk Non-Compliant'!C221</f>
        <v>0</v>
      </c>
      <c r="C265" s="351"/>
      <c r="D265" s="351">
        <f>'High Risk Non-Compliant'!D221</f>
        <v>0</v>
      </c>
      <c r="E265" s="351"/>
      <c r="F265" s="351"/>
      <c r="G265" s="147"/>
      <c r="H265" s="147"/>
    </row>
    <row r="266" spans="1:8" ht="58.5" customHeight="1" x14ac:dyDescent="0.2">
      <c r="A266" s="150">
        <f>'High Risk Non-Compliant'!B222</f>
        <v>0</v>
      </c>
      <c r="B266" s="351">
        <f>'High Risk Non-Compliant'!C222</f>
        <v>0</v>
      </c>
      <c r="C266" s="351"/>
      <c r="D266" s="351">
        <f>'High Risk Non-Compliant'!D222</f>
        <v>0</v>
      </c>
      <c r="E266" s="351"/>
      <c r="F266" s="351"/>
      <c r="G266" s="147"/>
      <c r="H266" s="147"/>
    </row>
    <row r="267" spans="1:8" ht="58.5" customHeight="1" x14ac:dyDescent="0.2">
      <c r="A267" s="150">
        <f>'High Risk Non-Compliant'!B223</f>
        <v>0</v>
      </c>
      <c r="B267" s="351">
        <f>'High Risk Non-Compliant'!C223</f>
        <v>0</v>
      </c>
      <c r="C267" s="351"/>
      <c r="D267" s="351">
        <f>'High Risk Non-Compliant'!D223</f>
        <v>0</v>
      </c>
      <c r="E267" s="351"/>
      <c r="F267" s="351"/>
      <c r="G267" s="147"/>
      <c r="H267" s="147"/>
    </row>
    <row r="268" spans="1:8" ht="58.5" customHeight="1" x14ac:dyDescent="0.2">
      <c r="A268" s="150">
        <f>'High Risk Non-Compliant'!B224</f>
        <v>0</v>
      </c>
      <c r="B268" s="351">
        <f>'High Risk Non-Compliant'!C224</f>
        <v>0</v>
      </c>
      <c r="C268" s="351"/>
      <c r="D268" s="351">
        <f>'High Risk Non-Compliant'!D224</f>
        <v>0</v>
      </c>
      <c r="E268" s="351"/>
      <c r="F268" s="351"/>
      <c r="G268" s="147"/>
      <c r="H268" s="147"/>
    </row>
    <row r="269" spans="1:8" ht="58.5" customHeight="1" x14ac:dyDescent="0.2">
      <c r="A269" s="150">
        <f>'High Risk Non-Compliant'!B225</f>
        <v>0</v>
      </c>
      <c r="B269" s="351">
        <f>'High Risk Non-Compliant'!C225</f>
        <v>0</v>
      </c>
      <c r="C269" s="351"/>
      <c r="D269" s="351">
        <f>'High Risk Non-Compliant'!D225</f>
        <v>0</v>
      </c>
      <c r="E269" s="351"/>
      <c r="F269" s="351"/>
      <c r="G269" s="147"/>
      <c r="H269" s="147"/>
    </row>
    <row r="270" spans="1:8" ht="58.5" customHeight="1" x14ac:dyDescent="0.2">
      <c r="A270" s="150">
        <f>'High Risk Non-Compliant'!B226</f>
        <v>0</v>
      </c>
      <c r="B270" s="351">
        <f>'High Risk Non-Compliant'!C226</f>
        <v>0</v>
      </c>
      <c r="C270" s="351"/>
      <c r="D270" s="351">
        <f>'High Risk Non-Compliant'!D226</f>
        <v>0</v>
      </c>
      <c r="E270" s="351"/>
      <c r="F270" s="351"/>
      <c r="G270" s="147"/>
      <c r="H270" s="147"/>
    </row>
    <row r="271" spans="1:8" ht="58.5" customHeight="1" x14ac:dyDescent="0.2">
      <c r="A271" s="150">
        <f>'High Risk Non-Compliant'!B227</f>
        <v>0</v>
      </c>
      <c r="B271" s="351">
        <f>'High Risk Non-Compliant'!C227</f>
        <v>0</v>
      </c>
      <c r="C271" s="351"/>
      <c r="D271" s="351">
        <f>'High Risk Non-Compliant'!D227</f>
        <v>0</v>
      </c>
      <c r="E271" s="351"/>
      <c r="F271" s="351"/>
      <c r="G271" s="147"/>
      <c r="H271" s="147"/>
    </row>
    <row r="272" spans="1:8" x14ac:dyDescent="0.2">
      <c r="A272" s="150">
        <f>'High Risk Non-Compliant'!B228</f>
        <v>0</v>
      </c>
      <c r="B272" s="351">
        <f>'High Risk Non-Compliant'!C228</f>
        <v>0</v>
      </c>
      <c r="C272" s="351"/>
      <c r="D272" s="351">
        <f>'High Risk Non-Compliant'!D228</f>
        <v>0</v>
      </c>
      <c r="E272" s="351"/>
      <c r="F272" s="351"/>
      <c r="G272" s="147"/>
      <c r="H272" s="147"/>
    </row>
    <row r="273" spans="1:8" x14ac:dyDescent="0.2">
      <c r="A273" s="150">
        <f>'High Risk Non-Compliant'!B229</f>
        <v>0</v>
      </c>
      <c r="B273" s="351">
        <f>'High Risk Non-Compliant'!C229</f>
        <v>0</v>
      </c>
      <c r="C273" s="351"/>
      <c r="D273" s="351">
        <f>'High Risk Non-Compliant'!D229</f>
        <v>0</v>
      </c>
      <c r="E273" s="351"/>
      <c r="F273" s="351"/>
      <c r="G273" s="147"/>
      <c r="H273" s="147"/>
    </row>
    <row r="274" spans="1:8" x14ac:dyDescent="0.2">
      <c r="A274" s="150">
        <f>'High Risk Non-Compliant'!B230</f>
        <v>0</v>
      </c>
      <c r="B274" s="351">
        <f>'High Risk Non-Compliant'!C230</f>
        <v>0</v>
      </c>
      <c r="C274" s="351"/>
      <c r="D274" s="351">
        <f>'High Risk Non-Compliant'!D230</f>
        <v>0</v>
      </c>
      <c r="E274" s="351"/>
      <c r="F274" s="351"/>
      <c r="G274" s="147"/>
      <c r="H274" s="147"/>
    </row>
    <row r="275" spans="1:8" ht="44.1" customHeight="1" x14ac:dyDescent="0.2">
      <c r="A275" s="150">
        <f>'High Risk Non-Compliant'!B231</f>
        <v>0</v>
      </c>
      <c r="B275" s="351">
        <f>'High Risk Non-Compliant'!C231</f>
        <v>0</v>
      </c>
      <c r="C275" s="351"/>
      <c r="D275" s="351">
        <f>'High Risk Non-Compliant'!D231</f>
        <v>0</v>
      </c>
      <c r="E275" s="351"/>
      <c r="F275" s="351"/>
      <c r="G275" s="147"/>
      <c r="H275" s="147"/>
    </row>
    <row r="276" spans="1:8" ht="44.1" customHeight="1" x14ac:dyDescent="0.2">
      <c r="A276" s="150">
        <f>'High Risk Non-Compliant'!B232</f>
        <v>0</v>
      </c>
      <c r="B276" s="351">
        <f>'High Risk Non-Compliant'!C232</f>
        <v>0</v>
      </c>
      <c r="C276" s="351"/>
      <c r="D276" s="351">
        <f>'High Risk Non-Compliant'!D232</f>
        <v>0</v>
      </c>
      <c r="E276" s="351"/>
      <c r="F276" s="351"/>
      <c r="G276" s="147"/>
      <c r="H276" s="147"/>
    </row>
    <row r="277" spans="1:8" ht="44.1" customHeight="1" x14ac:dyDescent="0.2">
      <c r="A277" s="150">
        <f>'High Risk Non-Compliant'!B233</f>
        <v>0</v>
      </c>
      <c r="B277" s="351">
        <f>'High Risk Non-Compliant'!C233</f>
        <v>0</v>
      </c>
      <c r="C277" s="351"/>
      <c r="D277" s="351">
        <f>'High Risk Non-Compliant'!D233</f>
        <v>0</v>
      </c>
      <c r="E277" s="351"/>
      <c r="F277" s="351"/>
      <c r="G277" s="147"/>
      <c r="H277" s="147"/>
    </row>
    <row r="278" spans="1:8" ht="44.1" customHeight="1" x14ac:dyDescent="0.2">
      <c r="A278" s="150">
        <f>'High Risk Non-Compliant'!B234</f>
        <v>0</v>
      </c>
      <c r="B278" s="351">
        <f>'High Risk Non-Compliant'!C234</f>
        <v>0</v>
      </c>
      <c r="C278" s="351"/>
      <c r="D278" s="351">
        <f>'High Risk Non-Compliant'!D234</f>
        <v>0</v>
      </c>
      <c r="E278" s="351"/>
      <c r="F278" s="351"/>
      <c r="G278" s="147"/>
      <c r="H278" s="147"/>
    </row>
    <row r="279" spans="1:8" ht="44.1" customHeight="1" x14ac:dyDescent="0.2">
      <c r="A279" s="150">
        <f>'High Risk Non-Compliant'!B235</f>
        <v>0</v>
      </c>
      <c r="B279" s="351">
        <f>'High Risk Non-Compliant'!C235</f>
        <v>0</v>
      </c>
      <c r="C279" s="351"/>
      <c r="D279" s="351">
        <f>'High Risk Non-Compliant'!D235</f>
        <v>0</v>
      </c>
      <c r="E279" s="351"/>
      <c r="F279" s="351"/>
      <c r="G279" s="147"/>
      <c r="H279" s="147"/>
    </row>
    <row r="280" spans="1:8" ht="44.1" customHeight="1" x14ac:dyDescent="0.2">
      <c r="A280" s="150">
        <f>'High Risk Non-Compliant'!B236</f>
        <v>0</v>
      </c>
      <c r="B280" s="351">
        <f>'High Risk Non-Compliant'!C236</f>
        <v>0</v>
      </c>
      <c r="C280" s="351"/>
      <c r="D280" s="351">
        <f>'High Risk Non-Compliant'!D236</f>
        <v>0</v>
      </c>
      <c r="E280" s="351"/>
      <c r="F280" s="351"/>
      <c r="G280" s="147"/>
      <c r="H280" s="147"/>
    </row>
    <row r="281" spans="1:8" ht="44.1" customHeight="1" x14ac:dyDescent="0.2">
      <c r="A281" s="150">
        <f>'High Risk Non-Compliant'!B237</f>
        <v>0</v>
      </c>
      <c r="B281" s="351">
        <f>'High Risk Non-Compliant'!C237</f>
        <v>0</v>
      </c>
      <c r="C281" s="351"/>
      <c r="D281" s="351">
        <f>'High Risk Non-Compliant'!D237</f>
        <v>0</v>
      </c>
      <c r="E281" s="351"/>
      <c r="F281" s="351"/>
      <c r="G281" s="147"/>
      <c r="H281" s="147"/>
    </row>
    <row r="282" spans="1:8" ht="29.25" customHeight="1" x14ac:dyDescent="0.2">
      <c r="A282" s="150">
        <f>'High Risk Non-Compliant'!B238</f>
        <v>0</v>
      </c>
      <c r="B282" s="351">
        <f>'High Risk Non-Compliant'!C238</f>
        <v>0</v>
      </c>
      <c r="C282" s="351"/>
      <c r="D282" s="351">
        <f>'High Risk Non-Compliant'!D238</f>
        <v>0</v>
      </c>
      <c r="E282" s="351"/>
      <c r="F282" s="351"/>
      <c r="G282" s="147"/>
      <c r="H282" s="147"/>
    </row>
    <row r="283" spans="1:8" ht="29.25" customHeight="1" x14ac:dyDescent="0.2">
      <c r="A283" s="150">
        <f>'High Risk Non-Compliant'!B239</f>
        <v>0</v>
      </c>
      <c r="B283" s="351">
        <f>'High Risk Non-Compliant'!C239</f>
        <v>0</v>
      </c>
      <c r="C283" s="351"/>
      <c r="D283" s="351">
        <f>'High Risk Non-Compliant'!D239</f>
        <v>0</v>
      </c>
      <c r="E283" s="351"/>
      <c r="F283" s="351"/>
      <c r="G283" s="147"/>
      <c r="H283" s="147"/>
    </row>
    <row r="284" spans="1:8" ht="29.25" customHeight="1" x14ac:dyDescent="0.2">
      <c r="A284" s="150">
        <f>'High Risk Non-Compliant'!B240</f>
        <v>0</v>
      </c>
      <c r="B284" s="351">
        <f>'High Risk Non-Compliant'!C240</f>
        <v>0</v>
      </c>
      <c r="C284" s="351"/>
      <c r="D284" s="351">
        <f>'High Risk Non-Compliant'!D240</f>
        <v>0</v>
      </c>
      <c r="E284" s="351"/>
      <c r="F284" s="351"/>
      <c r="G284" s="147"/>
      <c r="H284" s="147"/>
    </row>
    <row r="285" spans="1:8" x14ac:dyDescent="0.2">
      <c r="A285" s="150">
        <f>'High Risk Non-Compliant'!B241</f>
        <v>0</v>
      </c>
      <c r="B285" s="351">
        <f>'High Risk Non-Compliant'!C241</f>
        <v>0</v>
      </c>
      <c r="C285" s="351"/>
      <c r="D285" s="351">
        <f>'High Risk Non-Compliant'!D241</f>
        <v>0</v>
      </c>
      <c r="E285" s="351"/>
      <c r="F285" s="351"/>
      <c r="G285" s="147"/>
      <c r="H285" s="147"/>
    </row>
    <row r="286" spans="1:8" x14ac:dyDescent="0.2">
      <c r="A286" s="150">
        <f>'High Risk Non-Compliant'!B242</f>
        <v>0</v>
      </c>
      <c r="B286" s="351">
        <f>'High Risk Non-Compliant'!C242</f>
        <v>0</v>
      </c>
      <c r="C286" s="351"/>
      <c r="D286" s="351">
        <f>'High Risk Non-Compliant'!D242</f>
        <v>0</v>
      </c>
      <c r="E286" s="351"/>
      <c r="F286" s="351"/>
      <c r="G286" s="147"/>
      <c r="H286" s="147"/>
    </row>
    <row r="287" spans="1:8" ht="44.1" customHeight="1" x14ac:dyDescent="0.2">
      <c r="A287" s="150">
        <f>'High Risk Non-Compliant'!B243</f>
        <v>0</v>
      </c>
      <c r="B287" s="351">
        <f>'High Risk Non-Compliant'!C243</f>
        <v>0</v>
      </c>
      <c r="C287" s="351"/>
      <c r="D287" s="351">
        <f>'High Risk Non-Compliant'!D243</f>
        <v>0</v>
      </c>
      <c r="E287" s="351"/>
      <c r="F287" s="351"/>
      <c r="G287" s="147"/>
      <c r="H287" s="147"/>
    </row>
    <row r="288" spans="1:8" ht="44.1" customHeight="1" x14ac:dyDescent="0.2">
      <c r="A288" s="150">
        <f>'High Risk Non-Compliant'!B244</f>
        <v>0</v>
      </c>
      <c r="B288" s="351">
        <f>'High Risk Non-Compliant'!C244</f>
        <v>0</v>
      </c>
      <c r="C288" s="351"/>
      <c r="D288" s="351">
        <f>'High Risk Non-Compliant'!D244</f>
        <v>0</v>
      </c>
      <c r="E288" s="351"/>
      <c r="F288" s="351"/>
      <c r="G288" s="147"/>
      <c r="H288" s="147"/>
    </row>
    <row r="289" spans="1:8" ht="87.75" customHeight="1" x14ac:dyDescent="0.2">
      <c r="A289" s="150">
        <f>'High Risk Non-Compliant'!B245</f>
        <v>0</v>
      </c>
      <c r="B289" s="351">
        <f>'High Risk Non-Compliant'!C245</f>
        <v>0</v>
      </c>
      <c r="C289" s="351"/>
      <c r="D289" s="351">
        <f>'High Risk Non-Compliant'!D245</f>
        <v>0</v>
      </c>
      <c r="E289" s="351"/>
      <c r="F289" s="351"/>
      <c r="G289" s="147"/>
      <c r="H289" s="147"/>
    </row>
    <row r="290" spans="1:8" ht="73.349999999999994" customHeight="1" x14ac:dyDescent="0.2">
      <c r="A290" s="150">
        <f>'High Risk Non-Compliant'!B246</f>
        <v>0</v>
      </c>
      <c r="B290" s="351">
        <f>'High Risk Non-Compliant'!C246</f>
        <v>0</v>
      </c>
      <c r="C290" s="351"/>
      <c r="D290" s="351">
        <f>'High Risk Non-Compliant'!D246</f>
        <v>0</v>
      </c>
      <c r="E290" s="351"/>
      <c r="F290" s="351"/>
      <c r="G290" s="147"/>
      <c r="H290" s="147"/>
    </row>
    <row r="291" spans="1:8" ht="73.349999999999994" customHeight="1" x14ac:dyDescent="0.2">
      <c r="A291" s="150">
        <f>'High Risk Non-Compliant'!B247</f>
        <v>0</v>
      </c>
      <c r="B291" s="351">
        <f>'High Risk Non-Compliant'!C247</f>
        <v>0</v>
      </c>
      <c r="C291" s="351"/>
      <c r="D291" s="351">
        <f>'High Risk Non-Compliant'!D247</f>
        <v>0</v>
      </c>
      <c r="E291" s="351"/>
      <c r="F291" s="351"/>
      <c r="G291" s="147"/>
      <c r="H291" s="147"/>
    </row>
    <row r="292" spans="1:8" ht="44.1" customHeight="1" x14ac:dyDescent="0.2">
      <c r="A292" s="150">
        <f>'High Risk Non-Compliant'!B248</f>
        <v>0</v>
      </c>
      <c r="B292" s="351">
        <f>'High Risk Non-Compliant'!C248</f>
        <v>0</v>
      </c>
      <c r="C292" s="351"/>
      <c r="D292" s="351">
        <f>'High Risk Non-Compliant'!D248</f>
        <v>0</v>
      </c>
      <c r="E292" s="351"/>
      <c r="F292" s="351"/>
      <c r="G292" s="147"/>
      <c r="H292" s="147"/>
    </row>
    <row r="293" spans="1:8" ht="29.25" customHeight="1" x14ac:dyDescent="0.2">
      <c r="A293" s="150">
        <f>'High Risk Non-Compliant'!B249</f>
        <v>0</v>
      </c>
      <c r="B293" s="351">
        <f>'High Risk Non-Compliant'!C249</f>
        <v>0</v>
      </c>
      <c r="C293" s="351"/>
      <c r="D293" s="351">
        <f>'High Risk Non-Compliant'!D249</f>
        <v>0</v>
      </c>
      <c r="E293" s="351"/>
      <c r="F293" s="351"/>
      <c r="G293" s="147"/>
      <c r="H293" s="147"/>
    </row>
    <row r="294" spans="1:8" ht="29.25" customHeight="1" x14ac:dyDescent="0.2">
      <c r="A294" s="150">
        <f>'High Risk Non-Compliant'!B250</f>
        <v>0</v>
      </c>
      <c r="B294" s="351">
        <f>'High Risk Non-Compliant'!C250</f>
        <v>0</v>
      </c>
      <c r="C294" s="351"/>
      <c r="D294" s="351">
        <f>'High Risk Non-Compliant'!D250</f>
        <v>0</v>
      </c>
      <c r="E294" s="351"/>
      <c r="F294" s="351"/>
      <c r="G294" s="147"/>
      <c r="H294" s="147"/>
    </row>
    <row r="295" spans="1:8" ht="29.25" customHeight="1" x14ac:dyDescent="0.2">
      <c r="A295" s="150">
        <f>'High Risk Non-Compliant'!B251</f>
        <v>0</v>
      </c>
      <c r="B295" s="351">
        <f>'High Risk Non-Compliant'!C251</f>
        <v>0</v>
      </c>
      <c r="C295" s="351"/>
      <c r="D295" s="351">
        <f>'High Risk Non-Compliant'!D251</f>
        <v>0</v>
      </c>
      <c r="E295" s="351"/>
      <c r="F295" s="351"/>
      <c r="G295" s="147"/>
      <c r="H295" s="147"/>
    </row>
    <row r="296" spans="1:8" ht="44.1" customHeight="1" x14ac:dyDescent="0.2">
      <c r="A296" s="150">
        <f>'High Risk Non-Compliant'!B252</f>
        <v>0</v>
      </c>
      <c r="B296" s="351">
        <f>'High Risk Non-Compliant'!C252</f>
        <v>0</v>
      </c>
      <c r="C296" s="351"/>
      <c r="D296" s="351">
        <f>'High Risk Non-Compliant'!D252</f>
        <v>0</v>
      </c>
      <c r="E296" s="351"/>
      <c r="F296" s="351"/>
      <c r="G296" s="147"/>
      <c r="H296" s="147"/>
    </row>
    <row r="297" spans="1:8" ht="29.25" customHeight="1" x14ac:dyDescent="0.2">
      <c r="A297" s="150">
        <f>'High Risk Non-Compliant'!B253</f>
        <v>0</v>
      </c>
      <c r="B297" s="351">
        <f>'High Risk Non-Compliant'!C253</f>
        <v>0</v>
      </c>
      <c r="C297" s="351"/>
      <c r="D297" s="351">
        <f>'High Risk Non-Compliant'!D253</f>
        <v>0</v>
      </c>
      <c r="E297" s="351"/>
      <c r="F297" s="351"/>
      <c r="G297" s="147"/>
      <c r="H297" s="147"/>
    </row>
    <row r="298" spans="1:8" ht="73.349999999999994" customHeight="1" x14ac:dyDescent="0.2">
      <c r="A298" s="150">
        <f>'High Risk Non-Compliant'!B254</f>
        <v>0</v>
      </c>
      <c r="B298" s="351">
        <f>'High Risk Non-Compliant'!C254</f>
        <v>0</v>
      </c>
      <c r="C298" s="351"/>
      <c r="D298" s="351">
        <f>'High Risk Non-Compliant'!D254</f>
        <v>0</v>
      </c>
      <c r="E298" s="351"/>
      <c r="F298" s="351"/>
      <c r="G298" s="147"/>
      <c r="H298" s="147"/>
    </row>
    <row r="299" spans="1:8" ht="58.5" customHeight="1" x14ac:dyDescent="0.2">
      <c r="A299" s="150">
        <f>'High Risk Non-Compliant'!B255</f>
        <v>0</v>
      </c>
      <c r="B299" s="351">
        <f>'High Risk Non-Compliant'!C255</f>
        <v>0</v>
      </c>
      <c r="C299" s="351"/>
      <c r="D299" s="351">
        <f>'High Risk Non-Compliant'!D255</f>
        <v>0</v>
      </c>
      <c r="E299" s="351"/>
      <c r="F299" s="351"/>
      <c r="G299" s="147"/>
      <c r="H299" s="147"/>
    </row>
    <row r="300" spans="1:8" ht="73.349999999999994" customHeight="1" x14ac:dyDescent="0.2">
      <c r="A300" s="150">
        <f>'High Risk Non-Compliant'!B256</f>
        <v>0</v>
      </c>
      <c r="B300" s="351">
        <f>'High Risk Non-Compliant'!C256</f>
        <v>0</v>
      </c>
      <c r="C300" s="351"/>
      <c r="D300" s="351">
        <f>'High Risk Non-Compliant'!D256</f>
        <v>0</v>
      </c>
      <c r="E300" s="351"/>
      <c r="F300" s="351"/>
      <c r="G300" s="147"/>
      <c r="H300" s="147"/>
    </row>
    <row r="301" spans="1:8" ht="87.75" customHeight="1" x14ac:dyDescent="0.2">
      <c r="A301" s="150">
        <f>'High Risk Non-Compliant'!B257</f>
        <v>0</v>
      </c>
      <c r="B301" s="351">
        <f>'High Risk Non-Compliant'!C257</f>
        <v>0</v>
      </c>
      <c r="C301" s="351"/>
      <c r="D301" s="351">
        <f>'High Risk Non-Compliant'!D257</f>
        <v>0</v>
      </c>
      <c r="E301" s="351"/>
      <c r="F301" s="351"/>
      <c r="G301" s="147"/>
      <c r="H301" s="147"/>
    </row>
    <row r="302" spans="1:8" ht="29.25" customHeight="1" x14ac:dyDescent="0.2">
      <c r="A302" s="150">
        <f>'High Risk Non-Compliant'!B258</f>
        <v>0</v>
      </c>
      <c r="B302" s="351">
        <f>'High Risk Non-Compliant'!C258</f>
        <v>0</v>
      </c>
      <c r="C302" s="351"/>
      <c r="D302" s="351">
        <f>'High Risk Non-Compliant'!D258</f>
        <v>0</v>
      </c>
      <c r="E302" s="351"/>
      <c r="F302" s="351"/>
      <c r="G302" s="147"/>
      <c r="H302" s="147"/>
    </row>
    <row r="303" spans="1:8" ht="29.25" customHeight="1" x14ac:dyDescent="0.2">
      <c r="A303" s="150">
        <f>'High Risk Non-Compliant'!B259</f>
        <v>0</v>
      </c>
      <c r="B303" s="351">
        <f>'High Risk Non-Compliant'!C259</f>
        <v>0</v>
      </c>
      <c r="C303" s="351"/>
      <c r="D303" s="351">
        <f>'High Risk Non-Compliant'!D259</f>
        <v>0</v>
      </c>
      <c r="E303" s="351"/>
      <c r="F303" s="351"/>
      <c r="G303" s="147"/>
      <c r="H303" s="147"/>
    </row>
    <row r="304" spans="1:8" ht="29.25" customHeight="1" x14ac:dyDescent="0.2">
      <c r="A304" s="150">
        <f>'High Risk Non-Compliant'!B260</f>
        <v>0</v>
      </c>
      <c r="B304" s="351">
        <f>'High Risk Non-Compliant'!C260</f>
        <v>0</v>
      </c>
      <c r="C304" s="351"/>
      <c r="D304" s="351">
        <f>'High Risk Non-Compliant'!D260</f>
        <v>0</v>
      </c>
      <c r="E304" s="351"/>
      <c r="F304" s="351"/>
      <c r="G304" s="147"/>
      <c r="H304" s="147"/>
    </row>
    <row r="305" spans="1:8" ht="29.25" customHeight="1" x14ac:dyDescent="0.2">
      <c r="A305" s="150">
        <f>'High Risk Non-Compliant'!B261</f>
        <v>0</v>
      </c>
      <c r="B305" s="351">
        <f>'High Risk Non-Compliant'!C261</f>
        <v>0</v>
      </c>
      <c r="C305" s="351"/>
      <c r="D305" s="351">
        <f>'High Risk Non-Compliant'!D261</f>
        <v>0</v>
      </c>
      <c r="E305" s="351"/>
      <c r="F305" s="351"/>
      <c r="G305" s="147"/>
      <c r="H305" s="147"/>
    </row>
    <row r="306" spans="1:8" ht="29.25" customHeight="1" x14ac:dyDescent="0.2">
      <c r="A306" s="150">
        <f>'High Risk Non-Compliant'!B262</f>
        <v>0</v>
      </c>
      <c r="B306" s="351">
        <f>'High Risk Non-Compliant'!C262</f>
        <v>0</v>
      </c>
      <c r="C306" s="351"/>
      <c r="D306" s="351">
        <f>'High Risk Non-Compliant'!D262</f>
        <v>0</v>
      </c>
      <c r="E306" s="351"/>
      <c r="F306" s="351"/>
      <c r="G306" s="147"/>
      <c r="H306" s="147"/>
    </row>
    <row r="307" spans="1:8" ht="44.1" customHeight="1" x14ac:dyDescent="0.2">
      <c r="A307" s="150">
        <f>'High Risk Non-Compliant'!B263</f>
        <v>0</v>
      </c>
      <c r="B307" s="351">
        <f>'High Risk Non-Compliant'!C263</f>
        <v>0</v>
      </c>
      <c r="C307" s="351"/>
      <c r="D307" s="351">
        <f>'High Risk Non-Compliant'!D263</f>
        <v>0</v>
      </c>
      <c r="E307" s="351"/>
      <c r="F307" s="351"/>
      <c r="G307" s="147"/>
      <c r="H307" s="147"/>
    </row>
    <row r="308" spans="1:8" ht="29.25" customHeight="1" x14ac:dyDescent="0.2">
      <c r="A308" s="150">
        <f>'High Risk Non-Compliant'!B264</f>
        <v>0</v>
      </c>
      <c r="B308" s="351">
        <f>'High Risk Non-Compliant'!C264</f>
        <v>0</v>
      </c>
      <c r="C308" s="351"/>
      <c r="D308" s="351">
        <f>'High Risk Non-Compliant'!D264</f>
        <v>0</v>
      </c>
      <c r="E308" s="351"/>
      <c r="F308" s="351"/>
      <c r="G308" s="147"/>
      <c r="H308" s="147"/>
    </row>
    <row r="309" spans="1:8" x14ac:dyDescent="0.2">
      <c r="A309" s="150">
        <f>'High Risk Non-Compliant'!B265</f>
        <v>0</v>
      </c>
      <c r="B309" s="351">
        <f>'High Risk Non-Compliant'!C265</f>
        <v>0</v>
      </c>
      <c r="C309" s="351"/>
      <c r="D309" s="351">
        <f>'High Risk Non-Compliant'!D265</f>
        <v>0</v>
      </c>
      <c r="E309" s="351"/>
      <c r="F309" s="351"/>
      <c r="G309" s="147"/>
      <c r="H309" s="147"/>
    </row>
    <row r="310" spans="1:8" x14ac:dyDescent="0.2">
      <c r="A310" s="150">
        <f>'High Risk Non-Compliant'!B266</f>
        <v>0</v>
      </c>
      <c r="B310" s="351">
        <f>'High Risk Non-Compliant'!C266</f>
        <v>0</v>
      </c>
      <c r="C310" s="351"/>
      <c r="D310" s="351">
        <f>'High Risk Non-Compliant'!D266</f>
        <v>0</v>
      </c>
      <c r="E310" s="351"/>
      <c r="F310" s="351"/>
      <c r="G310" s="147"/>
      <c r="H310" s="147"/>
    </row>
    <row r="311" spans="1:8" ht="44.1" customHeight="1" x14ac:dyDescent="0.2">
      <c r="A311" s="150">
        <f>'High Risk Non-Compliant'!B267</f>
        <v>0</v>
      </c>
      <c r="B311" s="351">
        <f>'High Risk Non-Compliant'!C267</f>
        <v>0</v>
      </c>
      <c r="C311" s="351"/>
      <c r="D311" s="351">
        <f>'High Risk Non-Compliant'!D267</f>
        <v>0</v>
      </c>
      <c r="E311" s="351"/>
      <c r="F311" s="351"/>
      <c r="G311" s="147"/>
      <c r="H311" s="147"/>
    </row>
    <row r="312" spans="1:8" ht="44.1" customHeight="1" x14ac:dyDescent="0.2">
      <c r="A312" s="150">
        <f>'High Risk Non-Compliant'!B268</f>
        <v>0</v>
      </c>
      <c r="B312" s="351">
        <f>'High Risk Non-Compliant'!C268</f>
        <v>0</v>
      </c>
      <c r="C312" s="351"/>
      <c r="D312" s="351">
        <f>'High Risk Non-Compliant'!D268</f>
        <v>0</v>
      </c>
      <c r="E312" s="351"/>
      <c r="F312" s="351"/>
      <c r="G312" s="147"/>
      <c r="H312" s="147"/>
    </row>
    <row r="313" spans="1:8" ht="44.1" customHeight="1" x14ac:dyDescent="0.2">
      <c r="A313" s="150">
        <f>'High Risk Non-Compliant'!B269</f>
        <v>0</v>
      </c>
      <c r="B313" s="351">
        <f>'High Risk Non-Compliant'!C269</f>
        <v>0</v>
      </c>
      <c r="C313" s="351"/>
      <c r="D313" s="351">
        <f>'High Risk Non-Compliant'!D269</f>
        <v>0</v>
      </c>
      <c r="E313" s="351"/>
      <c r="F313" s="351"/>
      <c r="G313" s="147"/>
      <c r="H313" s="147"/>
    </row>
    <row r="314" spans="1:8" ht="44.1" customHeight="1" x14ac:dyDescent="0.2">
      <c r="A314" s="150">
        <f>'High Risk Non-Compliant'!B270</f>
        <v>0</v>
      </c>
      <c r="B314" s="351">
        <f>'High Risk Non-Compliant'!C270</f>
        <v>0</v>
      </c>
      <c r="C314" s="351"/>
      <c r="D314" s="351">
        <f>'High Risk Non-Compliant'!D270</f>
        <v>0</v>
      </c>
      <c r="E314" s="351"/>
      <c r="F314" s="351"/>
      <c r="G314" s="147"/>
      <c r="H314" s="147"/>
    </row>
    <row r="315" spans="1:8" ht="29.25" customHeight="1" x14ac:dyDescent="0.2">
      <c r="A315" s="150">
        <f>'High Risk Non-Compliant'!B271</f>
        <v>0</v>
      </c>
      <c r="B315" s="351">
        <f>'High Risk Non-Compliant'!C271</f>
        <v>0</v>
      </c>
      <c r="C315" s="351"/>
      <c r="D315" s="351">
        <f>'High Risk Non-Compliant'!D271</f>
        <v>0</v>
      </c>
      <c r="E315" s="351"/>
      <c r="F315" s="351"/>
      <c r="G315" s="147"/>
      <c r="H315" s="147"/>
    </row>
    <row r="316" spans="1:8" ht="29.25" customHeight="1" x14ac:dyDescent="0.2">
      <c r="A316" s="150">
        <f>'High Risk Non-Compliant'!B272</f>
        <v>0</v>
      </c>
      <c r="B316" s="351">
        <f>'High Risk Non-Compliant'!C272</f>
        <v>0</v>
      </c>
      <c r="C316" s="351"/>
      <c r="D316" s="351">
        <f>'High Risk Non-Compliant'!D272</f>
        <v>0</v>
      </c>
      <c r="E316" s="351"/>
      <c r="F316" s="351"/>
      <c r="G316" s="147"/>
      <c r="H316" s="147"/>
    </row>
  </sheetData>
  <mergeCells count="547">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72:C172"/>
    <mergeCell ref="D172:F172"/>
    <mergeCell ref="B173:C173"/>
    <mergeCell ref="D173:F173"/>
    <mergeCell ref="B174:C174"/>
    <mergeCell ref="D174:F174"/>
    <mergeCell ref="B169:C169"/>
    <mergeCell ref="D169:F169"/>
    <mergeCell ref="B170:C170"/>
    <mergeCell ref="D170:F170"/>
    <mergeCell ref="B171:C171"/>
    <mergeCell ref="D171:F171"/>
    <mergeCell ref="B178:C178"/>
    <mergeCell ref="D178:F178"/>
    <mergeCell ref="B179:C179"/>
    <mergeCell ref="D179:F179"/>
    <mergeCell ref="B180:C180"/>
    <mergeCell ref="D180:F180"/>
    <mergeCell ref="B175:C175"/>
    <mergeCell ref="D175:F175"/>
    <mergeCell ref="B176:C176"/>
    <mergeCell ref="D176:F176"/>
    <mergeCell ref="B177:C177"/>
    <mergeCell ref="D177:F177"/>
    <mergeCell ref="B184:C184"/>
    <mergeCell ref="D184:F184"/>
    <mergeCell ref="B185:C185"/>
    <mergeCell ref="D185:F185"/>
    <mergeCell ref="B186:C186"/>
    <mergeCell ref="D186:F186"/>
    <mergeCell ref="B181:C181"/>
    <mergeCell ref="D181:F181"/>
    <mergeCell ref="B182:C182"/>
    <mergeCell ref="D182:F182"/>
    <mergeCell ref="B183:C183"/>
    <mergeCell ref="D183:F183"/>
    <mergeCell ref="B190:C190"/>
    <mergeCell ref="D190:F190"/>
    <mergeCell ref="B191:C191"/>
    <mergeCell ref="D191:F191"/>
    <mergeCell ref="B192:C192"/>
    <mergeCell ref="D192:F192"/>
    <mergeCell ref="B187:C187"/>
    <mergeCell ref="D187:F187"/>
    <mergeCell ref="B188:C188"/>
    <mergeCell ref="D188:F188"/>
    <mergeCell ref="B189:C189"/>
    <mergeCell ref="D189:F189"/>
    <mergeCell ref="B196:C196"/>
    <mergeCell ref="D196:F196"/>
    <mergeCell ref="B197:C197"/>
    <mergeCell ref="D197:F197"/>
    <mergeCell ref="B198:C198"/>
    <mergeCell ref="D198:F198"/>
    <mergeCell ref="B193:C193"/>
    <mergeCell ref="D193:F193"/>
    <mergeCell ref="B194:C194"/>
    <mergeCell ref="D194:F194"/>
    <mergeCell ref="B195:C195"/>
    <mergeCell ref="D195:F195"/>
    <mergeCell ref="B202:C202"/>
    <mergeCell ref="D202:F202"/>
    <mergeCell ref="B203:C203"/>
    <mergeCell ref="D203:F203"/>
    <mergeCell ref="B204:C204"/>
    <mergeCell ref="D204:F204"/>
    <mergeCell ref="B199:C199"/>
    <mergeCell ref="D199:F199"/>
    <mergeCell ref="B200:C200"/>
    <mergeCell ref="D200:F200"/>
    <mergeCell ref="B201:C201"/>
    <mergeCell ref="D201:F201"/>
    <mergeCell ref="B208:C208"/>
    <mergeCell ref="D208:F208"/>
    <mergeCell ref="B209:C209"/>
    <mergeCell ref="D209:F209"/>
    <mergeCell ref="B210:C210"/>
    <mergeCell ref="D210:F210"/>
    <mergeCell ref="B205:C205"/>
    <mergeCell ref="D205:F205"/>
    <mergeCell ref="B206:C206"/>
    <mergeCell ref="D206:F206"/>
    <mergeCell ref="B207:C207"/>
    <mergeCell ref="D207:F207"/>
    <mergeCell ref="B214:C214"/>
    <mergeCell ref="D214:F214"/>
    <mergeCell ref="B215:C215"/>
    <mergeCell ref="D215:F215"/>
    <mergeCell ref="B216:C216"/>
    <mergeCell ref="D216:F216"/>
    <mergeCell ref="B211:C211"/>
    <mergeCell ref="D211:F211"/>
    <mergeCell ref="B212:C212"/>
    <mergeCell ref="D212:F212"/>
    <mergeCell ref="B213:C213"/>
    <mergeCell ref="D213:F213"/>
    <mergeCell ref="B220:C220"/>
    <mergeCell ref="D220:F220"/>
    <mergeCell ref="B221:C221"/>
    <mergeCell ref="D221:F221"/>
    <mergeCell ref="B222:C222"/>
    <mergeCell ref="D222:F222"/>
    <mergeCell ref="B217:C217"/>
    <mergeCell ref="D217:F217"/>
    <mergeCell ref="B218:C218"/>
    <mergeCell ref="D218:F218"/>
    <mergeCell ref="B219:C219"/>
    <mergeCell ref="D219:F219"/>
    <mergeCell ref="B226:C226"/>
    <mergeCell ref="D226:F226"/>
    <mergeCell ref="B227:C227"/>
    <mergeCell ref="D227:F227"/>
    <mergeCell ref="B228:C228"/>
    <mergeCell ref="D228:F228"/>
    <mergeCell ref="B223:C223"/>
    <mergeCell ref="D223:F223"/>
    <mergeCell ref="B224:C224"/>
    <mergeCell ref="D224:F224"/>
    <mergeCell ref="B225:C225"/>
    <mergeCell ref="D225:F225"/>
    <mergeCell ref="B232:C232"/>
    <mergeCell ref="D232:F232"/>
    <mergeCell ref="B233:C233"/>
    <mergeCell ref="D233:F233"/>
    <mergeCell ref="B234:C234"/>
    <mergeCell ref="D234:F234"/>
    <mergeCell ref="B229:C229"/>
    <mergeCell ref="D229:F229"/>
    <mergeCell ref="B230:C230"/>
    <mergeCell ref="D230:F230"/>
    <mergeCell ref="B231:C231"/>
    <mergeCell ref="D231:F231"/>
    <mergeCell ref="B238:C238"/>
    <mergeCell ref="D238:F238"/>
    <mergeCell ref="B239:C239"/>
    <mergeCell ref="D239:F239"/>
    <mergeCell ref="B240:C240"/>
    <mergeCell ref="D240:F240"/>
    <mergeCell ref="B235:C235"/>
    <mergeCell ref="D235:F235"/>
    <mergeCell ref="B236:C236"/>
    <mergeCell ref="D236:F236"/>
    <mergeCell ref="B237:C237"/>
    <mergeCell ref="D237:F237"/>
    <mergeCell ref="B244:C244"/>
    <mergeCell ref="D244:F244"/>
    <mergeCell ref="B245:C245"/>
    <mergeCell ref="D245:F245"/>
    <mergeCell ref="B246:C246"/>
    <mergeCell ref="D246:F246"/>
    <mergeCell ref="B241:C241"/>
    <mergeCell ref="D241:F241"/>
    <mergeCell ref="B242:C242"/>
    <mergeCell ref="D242:F242"/>
    <mergeCell ref="B243:C243"/>
    <mergeCell ref="D243:F243"/>
    <mergeCell ref="B250:C250"/>
    <mergeCell ref="D250:F250"/>
    <mergeCell ref="B251:C251"/>
    <mergeCell ref="D251:F251"/>
    <mergeCell ref="B252:C252"/>
    <mergeCell ref="D252:F252"/>
    <mergeCell ref="B247:C247"/>
    <mergeCell ref="D247:F247"/>
    <mergeCell ref="B248:C248"/>
    <mergeCell ref="D248:F248"/>
    <mergeCell ref="B249:C249"/>
    <mergeCell ref="D249:F249"/>
    <mergeCell ref="B256:C256"/>
    <mergeCell ref="D256:F256"/>
    <mergeCell ref="B257:C257"/>
    <mergeCell ref="D257:F257"/>
    <mergeCell ref="B258:C258"/>
    <mergeCell ref="D258:F258"/>
    <mergeCell ref="B253:C253"/>
    <mergeCell ref="D253:F253"/>
    <mergeCell ref="B254:C254"/>
    <mergeCell ref="D254:F254"/>
    <mergeCell ref="B255:C255"/>
    <mergeCell ref="D255:F255"/>
    <mergeCell ref="B262:C262"/>
    <mergeCell ref="D262:F262"/>
    <mergeCell ref="B263:C263"/>
    <mergeCell ref="D263:F263"/>
    <mergeCell ref="B264:C264"/>
    <mergeCell ref="D264:F264"/>
    <mergeCell ref="B259:C259"/>
    <mergeCell ref="D259:F259"/>
    <mergeCell ref="B260:C260"/>
    <mergeCell ref="D260:F260"/>
    <mergeCell ref="B261:C261"/>
    <mergeCell ref="D261:F261"/>
    <mergeCell ref="B268:C268"/>
    <mergeCell ref="D268:F268"/>
    <mergeCell ref="B269:C269"/>
    <mergeCell ref="D269:F269"/>
    <mergeCell ref="B270:C270"/>
    <mergeCell ref="D270:F270"/>
    <mergeCell ref="B265:C265"/>
    <mergeCell ref="D265:F265"/>
    <mergeCell ref="B266:C266"/>
    <mergeCell ref="D266:F266"/>
    <mergeCell ref="B267:C267"/>
    <mergeCell ref="D267:F267"/>
    <mergeCell ref="B274:C274"/>
    <mergeCell ref="D274:F274"/>
    <mergeCell ref="B275:C275"/>
    <mergeCell ref="D275:F275"/>
    <mergeCell ref="B276:C276"/>
    <mergeCell ref="D276:F276"/>
    <mergeCell ref="B271:C271"/>
    <mergeCell ref="D271:F271"/>
    <mergeCell ref="B272:C272"/>
    <mergeCell ref="D272:F272"/>
    <mergeCell ref="B273:C273"/>
    <mergeCell ref="D273:F273"/>
    <mergeCell ref="B280:C280"/>
    <mergeCell ref="D280:F280"/>
    <mergeCell ref="B281:C281"/>
    <mergeCell ref="D281:F281"/>
    <mergeCell ref="B282:C282"/>
    <mergeCell ref="D282:F282"/>
    <mergeCell ref="B277:C277"/>
    <mergeCell ref="D277:F277"/>
    <mergeCell ref="B278:C278"/>
    <mergeCell ref="D278:F278"/>
    <mergeCell ref="B279:C279"/>
    <mergeCell ref="D279:F279"/>
    <mergeCell ref="B286:C286"/>
    <mergeCell ref="D286:F286"/>
    <mergeCell ref="B287:C287"/>
    <mergeCell ref="D287:F287"/>
    <mergeCell ref="B288:C288"/>
    <mergeCell ref="D288:F288"/>
    <mergeCell ref="B283:C283"/>
    <mergeCell ref="D283:F283"/>
    <mergeCell ref="B284:C284"/>
    <mergeCell ref="D284:F284"/>
    <mergeCell ref="B285:C285"/>
    <mergeCell ref="D285:F285"/>
    <mergeCell ref="B292:C292"/>
    <mergeCell ref="D292:F292"/>
    <mergeCell ref="B293:C293"/>
    <mergeCell ref="D293:F293"/>
    <mergeCell ref="B294:C294"/>
    <mergeCell ref="D294:F294"/>
    <mergeCell ref="B289:C289"/>
    <mergeCell ref="D289:F289"/>
    <mergeCell ref="B290:C290"/>
    <mergeCell ref="D290:F290"/>
    <mergeCell ref="B291:C291"/>
    <mergeCell ref="D291:F291"/>
    <mergeCell ref="B298:C298"/>
    <mergeCell ref="D298:F298"/>
    <mergeCell ref="B299:C299"/>
    <mergeCell ref="D299:F299"/>
    <mergeCell ref="B300:C300"/>
    <mergeCell ref="D300:F300"/>
    <mergeCell ref="B295:C295"/>
    <mergeCell ref="D295:F295"/>
    <mergeCell ref="B296:C296"/>
    <mergeCell ref="D296:F296"/>
    <mergeCell ref="B297:C297"/>
    <mergeCell ref="D297:F297"/>
    <mergeCell ref="B305:C305"/>
    <mergeCell ref="D305:F305"/>
    <mergeCell ref="B306:C306"/>
    <mergeCell ref="D306:F306"/>
    <mergeCell ref="B301:C301"/>
    <mergeCell ref="D301:F301"/>
    <mergeCell ref="B302:C302"/>
    <mergeCell ref="D302:F302"/>
    <mergeCell ref="B303:C303"/>
    <mergeCell ref="D303:F303"/>
    <mergeCell ref="B316:C316"/>
    <mergeCell ref="D316:F316"/>
    <mergeCell ref="B48:C48"/>
    <mergeCell ref="D48:F48"/>
    <mergeCell ref="B313:C313"/>
    <mergeCell ref="D313:F313"/>
    <mergeCell ref="B314:C314"/>
    <mergeCell ref="D314:F314"/>
    <mergeCell ref="B315:C315"/>
    <mergeCell ref="D315:F315"/>
    <mergeCell ref="B310:C310"/>
    <mergeCell ref="D310:F310"/>
    <mergeCell ref="B311:C311"/>
    <mergeCell ref="D311:F311"/>
    <mergeCell ref="B312:C312"/>
    <mergeCell ref="D312:F312"/>
    <mergeCell ref="B307:C307"/>
    <mergeCell ref="D307:F307"/>
    <mergeCell ref="B308:C308"/>
    <mergeCell ref="D308:F308"/>
    <mergeCell ref="B309:C309"/>
    <mergeCell ref="D309:F309"/>
    <mergeCell ref="B304:C304"/>
    <mergeCell ref="D304:F304"/>
    <mergeCell ref="D5:E5"/>
    <mergeCell ref="A46:H46"/>
    <mergeCell ref="A47:F47"/>
    <mergeCell ref="G47:H47"/>
    <mergeCell ref="A1:G1"/>
    <mergeCell ref="A2:H2"/>
    <mergeCell ref="B4:H4"/>
    <mergeCell ref="B3:C3"/>
    <mergeCell ref="E3:H3"/>
  </mergeCells>
  <conditionalFormatting sqref="E6">
    <cfRule type="cellIs" dxfId="2434" priority="1" operator="equal">
      <formula>"D"</formula>
    </cfRule>
    <cfRule type="cellIs" dxfId="2433" priority="2" operator="equal">
      <formula>"C"</formula>
    </cfRule>
    <cfRule type="cellIs" dxfId="2432" priority="3" operator="equal">
      <formula>"B"</formula>
    </cfRule>
    <cfRule type="cellIs" dxfId="2431" priority="4" operator="equal">
      <formula>"A"</formula>
    </cfRule>
    <cfRule type="cellIs" dxfId="2430" priority="5" operator="equal">
      <formula>"F"</formula>
    </cfRule>
  </conditionalFormatting>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958"/>
  <sheetViews>
    <sheetView topLeftCell="A913" workbookViewId="0">
      <selection activeCell="A956" sqref="A956"/>
    </sheetView>
  </sheetViews>
  <sheetFormatPr defaultColWidth="8.5" defaultRowHeight="15" x14ac:dyDescent="0.2"/>
  <sheetData>
    <row r="1" spans="1:2" ht="60" x14ac:dyDescent="0.2">
      <c r="A1" s="55" t="s">
        <v>674</v>
      </c>
      <c r="B1" s="56" t="s">
        <v>904</v>
      </c>
    </row>
    <row r="2" spans="1:2" ht="75" x14ac:dyDescent="0.2">
      <c r="A2" s="55" t="s">
        <v>905</v>
      </c>
      <c r="B2" s="56" t="s">
        <v>906</v>
      </c>
    </row>
    <row r="3" spans="1:2" ht="75" x14ac:dyDescent="0.2">
      <c r="A3" s="55" t="s">
        <v>907</v>
      </c>
      <c r="B3" s="56" t="s">
        <v>908</v>
      </c>
    </row>
    <row r="4" spans="1:2" ht="45" x14ac:dyDescent="0.2">
      <c r="A4" s="55" t="s">
        <v>909</v>
      </c>
      <c r="B4" s="56" t="s">
        <v>910</v>
      </c>
    </row>
    <row r="5" spans="1:2" ht="45" x14ac:dyDescent="0.2">
      <c r="A5" s="55" t="s">
        <v>911</v>
      </c>
      <c r="B5" s="56" t="s">
        <v>912</v>
      </c>
    </row>
    <row r="6" spans="1:2" ht="75" x14ac:dyDescent="0.2">
      <c r="A6" s="55" t="s">
        <v>913</v>
      </c>
      <c r="B6" s="56" t="s">
        <v>914</v>
      </c>
    </row>
    <row r="7" spans="1:2" ht="75" x14ac:dyDescent="0.2">
      <c r="A7" s="55" t="s">
        <v>915</v>
      </c>
      <c r="B7" s="56" t="s">
        <v>916</v>
      </c>
    </row>
    <row r="8" spans="1:2" ht="45" x14ac:dyDescent="0.2">
      <c r="A8" s="55" t="s">
        <v>684</v>
      </c>
      <c r="B8" s="56" t="s">
        <v>917</v>
      </c>
    </row>
    <row r="9" spans="1:2" ht="30" x14ac:dyDescent="0.2">
      <c r="A9" s="55" t="s">
        <v>918</v>
      </c>
      <c r="B9" s="56" t="s">
        <v>919</v>
      </c>
    </row>
    <row r="10" spans="1:2" x14ac:dyDescent="0.2">
      <c r="A10" s="55" t="s">
        <v>677</v>
      </c>
      <c r="B10" s="56" t="s">
        <v>920</v>
      </c>
    </row>
    <row r="11" spans="1:2" ht="75" x14ac:dyDescent="0.2">
      <c r="A11" s="55" t="s">
        <v>678</v>
      </c>
      <c r="B11" s="56" t="s">
        <v>921</v>
      </c>
    </row>
    <row r="12" spans="1:2" ht="60" x14ac:dyDescent="0.2">
      <c r="A12" s="55" t="s">
        <v>922</v>
      </c>
      <c r="B12" s="56" t="s">
        <v>923</v>
      </c>
    </row>
    <row r="13" spans="1:2" ht="90" x14ac:dyDescent="0.2">
      <c r="A13" s="55" t="s">
        <v>679</v>
      </c>
      <c r="B13" s="56" t="s">
        <v>924</v>
      </c>
    </row>
    <row r="14" spans="1:2" ht="30" x14ac:dyDescent="0.2">
      <c r="A14" s="55" t="s">
        <v>925</v>
      </c>
      <c r="B14" s="56" t="s">
        <v>926</v>
      </c>
    </row>
    <row r="15" spans="1:2" ht="105" x14ac:dyDescent="0.2">
      <c r="A15" s="55" t="s">
        <v>927</v>
      </c>
      <c r="B15" s="56" t="s">
        <v>928</v>
      </c>
    </row>
    <row r="16" spans="1:2" ht="30" x14ac:dyDescent="0.2">
      <c r="A16" s="55" t="s">
        <v>929</v>
      </c>
      <c r="B16" s="56" t="s">
        <v>930</v>
      </c>
    </row>
    <row r="17" spans="1:2" ht="30" x14ac:dyDescent="0.2">
      <c r="A17" s="55" t="s">
        <v>653</v>
      </c>
      <c r="B17" s="56" t="s">
        <v>931</v>
      </c>
    </row>
    <row r="18" spans="1:2" ht="45" x14ac:dyDescent="0.2">
      <c r="A18" s="55" t="s">
        <v>932</v>
      </c>
      <c r="B18" s="56" t="s">
        <v>933</v>
      </c>
    </row>
    <row r="19" spans="1:2" ht="30" x14ac:dyDescent="0.2">
      <c r="A19" s="55" t="s">
        <v>651</v>
      </c>
      <c r="B19" s="56" t="s">
        <v>934</v>
      </c>
    </row>
    <row r="20" spans="1:2" ht="60" x14ac:dyDescent="0.2">
      <c r="A20" s="55" t="s">
        <v>648</v>
      </c>
      <c r="B20" s="56" t="s">
        <v>935</v>
      </c>
    </row>
    <row r="21" spans="1:2" ht="60" x14ac:dyDescent="0.2">
      <c r="A21" s="55" t="s">
        <v>936</v>
      </c>
      <c r="B21" s="56" t="s">
        <v>937</v>
      </c>
    </row>
    <row r="22" spans="1:2" ht="30" x14ac:dyDescent="0.2">
      <c r="A22" s="55" t="s">
        <v>668</v>
      </c>
      <c r="B22" s="56" t="s">
        <v>938</v>
      </c>
    </row>
    <row r="23" spans="1:2" ht="60" x14ac:dyDescent="0.2">
      <c r="A23" s="55" t="s">
        <v>655</v>
      </c>
      <c r="B23" s="56" t="s">
        <v>939</v>
      </c>
    </row>
    <row r="24" spans="1:2" ht="30" x14ac:dyDescent="0.2">
      <c r="A24" s="55" t="s">
        <v>940</v>
      </c>
      <c r="B24" s="56" t="s">
        <v>941</v>
      </c>
    </row>
    <row r="25" spans="1:2" ht="45" x14ac:dyDescent="0.2">
      <c r="A25" s="55" t="s">
        <v>942</v>
      </c>
      <c r="B25" s="56" t="s">
        <v>943</v>
      </c>
    </row>
    <row r="26" spans="1:2" ht="45" x14ac:dyDescent="0.2">
      <c r="A26" s="55" t="s">
        <v>627</v>
      </c>
      <c r="B26" s="56" t="s">
        <v>944</v>
      </c>
    </row>
    <row r="27" spans="1:2" ht="75" x14ac:dyDescent="0.2">
      <c r="A27" s="55" t="s">
        <v>623</v>
      </c>
      <c r="B27" s="56" t="s">
        <v>945</v>
      </c>
    </row>
    <row r="28" spans="1:2" ht="75" x14ac:dyDescent="0.2">
      <c r="A28" s="55" t="s">
        <v>946</v>
      </c>
      <c r="B28" s="56" t="s">
        <v>947</v>
      </c>
    </row>
    <row r="29" spans="1:2" ht="60" x14ac:dyDescent="0.2">
      <c r="A29" s="55" t="s">
        <v>626</v>
      </c>
      <c r="B29" s="56" t="s">
        <v>948</v>
      </c>
    </row>
    <row r="30" spans="1:2" ht="75" x14ac:dyDescent="0.2">
      <c r="A30" s="55" t="s">
        <v>687</v>
      </c>
      <c r="B30" s="56" t="s">
        <v>949</v>
      </c>
    </row>
    <row r="31" spans="1:2" ht="105" x14ac:dyDescent="0.2">
      <c r="A31" s="55" t="s">
        <v>950</v>
      </c>
      <c r="B31" s="56" t="s">
        <v>951</v>
      </c>
    </row>
    <row r="32" spans="1:2" ht="60" x14ac:dyDescent="0.2">
      <c r="A32" s="55" t="s">
        <v>680</v>
      </c>
      <c r="B32" s="56" t="s">
        <v>952</v>
      </c>
    </row>
    <row r="33" spans="1:2" ht="75" x14ac:dyDescent="0.2">
      <c r="A33" s="55" t="s">
        <v>624</v>
      </c>
      <c r="B33" s="56" t="s">
        <v>953</v>
      </c>
    </row>
    <row r="34" spans="1:2" ht="90" x14ac:dyDescent="0.2">
      <c r="A34" s="55" t="s">
        <v>954</v>
      </c>
      <c r="B34" s="56" t="s">
        <v>955</v>
      </c>
    </row>
    <row r="35" spans="1:2" ht="45" x14ac:dyDescent="0.2">
      <c r="A35" s="55" t="s">
        <v>956</v>
      </c>
      <c r="B35" s="56" t="s">
        <v>957</v>
      </c>
    </row>
    <row r="36" spans="1:2" ht="60" x14ac:dyDescent="0.2">
      <c r="A36" s="55" t="s">
        <v>669</v>
      </c>
      <c r="B36" s="56" t="s">
        <v>958</v>
      </c>
    </row>
    <row r="37" spans="1:2" ht="45" x14ac:dyDescent="0.2">
      <c r="A37" s="55" t="s">
        <v>633</v>
      </c>
      <c r="B37" s="56" t="s">
        <v>959</v>
      </c>
    </row>
    <row r="38" spans="1:2" ht="60" x14ac:dyDescent="0.2">
      <c r="A38" s="55" t="s">
        <v>960</v>
      </c>
      <c r="B38" s="56" t="s">
        <v>961</v>
      </c>
    </row>
    <row r="39" spans="1:2" ht="75" x14ac:dyDescent="0.2">
      <c r="A39" s="55" t="s">
        <v>962</v>
      </c>
      <c r="B39" s="56" t="s">
        <v>963</v>
      </c>
    </row>
    <row r="40" spans="1:2" ht="75" x14ac:dyDescent="0.2">
      <c r="A40" s="55" t="s">
        <v>649</v>
      </c>
      <c r="B40" s="56" t="s">
        <v>964</v>
      </c>
    </row>
    <row r="41" spans="1:2" ht="45" x14ac:dyDescent="0.2">
      <c r="A41" s="55" t="s">
        <v>654</v>
      </c>
      <c r="B41" s="56" t="s">
        <v>965</v>
      </c>
    </row>
    <row r="42" spans="1:2" ht="45" x14ac:dyDescent="0.2">
      <c r="A42" s="55" t="s">
        <v>658</v>
      </c>
      <c r="B42" s="56" t="s">
        <v>966</v>
      </c>
    </row>
    <row r="43" spans="1:2" ht="45" x14ac:dyDescent="0.2">
      <c r="A43" s="55" t="s">
        <v>671</v>
      </c>
      <c r="B43" s="56" t="s">
        <v>967</v>
      </c>
    </row>
    <row r="44" spans="1:2" ht="60" x14ac:dyDescent="0.2">
      <c r="A44" s="55" t="s">
        <v>968</v>
      </c>
      <c r="B44" s="56" t="s">
        <v>969</v>
      </c>
    </row>
    <row r="45" spans="1:2" ht="90" x14ac:dyDescent="0.2">
      <c r="A45" s="55" t="s">
        <v>661</v>
      </c>
      <c r="B45" s="56" t="s">
        <v>970</v>
      </c>
    </row>
    <row r="46" spans="1:2" ht="45" x14ac:dyDescent="0.2">
      <c r="A46" s="55" t="s">
        <v>971</v>
      </c>
      <c r="B46" s="56" t="s">
        <v>972</v>
      </c>
    </row>
    <row r="47" spans="1:2" ht="60" x14ac:dyDescent="0.2">
      <c r="A47" s="55" t="s">
        <v>973</v>
      </c>
      <c r="B47" s="56" t="s">
        <v>974</v>
      </c>
    </row>
    <row r="48" spans="1:2" ht="45" x14ac:dyDescent="0.2">
      <c r="A48" s="55" t="s">
        <v>660</v>
      </c>
      <c r="B48" s="56" t="s">
        <v>975</v>
      </c>
    </row>
    <row r="49" spans="1:2" ht="30" x14ac:dyDescent="0.2">
      <c r="A49" s="55" t="s">
        <v>976</v>
      </c>
      <c r="B49" s="56" t="s">
        <v>977</v>
      </c>
    </row>
    <row r="50" spans="1:2" ht="30" x14ac:dyDescent="0.2">
      <c r="A50" s="55" t="s">
        <v>978</v>
      </c>
      <c r="B50" s="56" t="s">
        <v>979</v>
      </c>
    </row>
    <row r="51" spans="1:2" ht="45" x14ac:dyDescent="0.2">
      <c r="A51" s="55" t="s">
        <v>980</v>
      </c>
      <c r="B51" s="56" t="s">
        <v>981</v>
      </c>
    </row>
    <row r="52" spans="1:2" ht="30" x14ac:dyDescent="0.2">
      <c r="A52" s="55" t="s">
        <v>982</v>
      </c>
      <c r="B52" s="56" t="s">
        <v>983</v>
      </c>
    </row>
    <row r="53" spans="1:2" ht="75" x14ac:dyDescent="0.2">
      <c r="A53" s="55" t="s">
        <v>625</v>
      </c>
      <c r="B53" s="56" t="s">
        <v>984</v>
      </c>
    </row>
    <row r="54" spans="1:2" ht="75" x14ac:dyDescent="0.2">
      <c r="A54" s="55" t="s">
        <v>985</v>
      </c>
      <c r="B54" s="56" t="s">
        <v>986</v>
      </c>
    </row>
    <row r="55" spans="1:2" ht="45" x14ac:dyDescent="0.2">
      <c r="A55" s="55" t="s">
        <v>987</v>
      </c>
      <c r="B55" s="56" t="s">
        <v>988</v>
      </c>
    </row>
    <row r="56" spans="1:2" ht="60" x14ac:dyDescent="0.2">
      <c r="A56" s="55" t="s">
        <v>989</v>
      </c>
      <c r="B56" s="56" t="s">
        <v>990</v>
      </c>
    </row>
    <row r="57" spans="1:2" ht="75" x14ac:dyDescent="0.2">
      <c r="A57" s="55" t="s">
        <v>629</v>
      </c>
      <c r="B57" s="56" t="s">
        <v>991</v>
      </c>
    </row>
    <row r="58" spans="1:2" ht="45" x14ac:dyDescent="0.2">
      <c r="A58" s="55" t="s">
        <v>646</v>
      </c>
      <c r="B58" s="56" t="s">
        <v>992</v>
      </c>
    </row>
    <row r="59" spans="1:2" ht="45" x14ac:dyDescent="0.2">
      <c r="A59" s="55" t="s">
        <v>993</v>
      </c>
      <c r="B59" s="56" t="s">
        <v>994</v>
      </c>
    </row>
    <row r="60" spans="1:2" ht="135" x14ac:dyDescent="0.2">
      <c r="A60" s="55" t="s">
        <v>630</v>
      </c>
      <c r="B60" s="56" t="s">
        <v>995</v>
      </c>
    </row>
    <row r="61" spans="1:2" ht="45" x14ac:dyDescent="0.2">
      <c r="A61" s="55" t="s">
        <v>996</v>
      </c>
      <c r="B61" s="56" t="s">
        <v>997</v>
      </c>
    </row>
    <row r="62" spans="1:2" ht="30" x14ac:dyDescent="0.2">
      <c r="A62" s="55" t="s">
        <v>652</v>
      </c>
      <c r="B62" s="56" t="s">
        <v>998</v>
      </c>
    </row>
    <row r="63" spans="1:2" ht="30" x14ac:dyDescent="0.2">
      <c r="A63" s="55" t="s">
        <v>666</v>
      </c>
      <c r="B63" s="56" t="s">
        <v>999</v>
      </c>
    </row>
    <row r="64" spans="1:2" ht="60" x14ac:dyDescent="0.2">
      <c r="A64" s="55" t="s">
        <v>1000</v>
      </c>
      <c r="B64" s="56" t="s">
        <v>1001</v>
      </c>
    </row>
    <row r="65" spans="1:2" ht="60" x14ac:dyDescent="0.2">
      <c r="A65" s="55" t="s">
        <v>1002</v>
      </c>
      <c r="B65" s="56" t="s">
        <v>1003</v>
      </c>
    </row>
    <row r="66" spans="1:2" ht="45" x14ac:dyDescent="0.2">
      <c r="A66" s="55" t="s">
        <v>1004</v>
      </c>
      <c r="B66" s="56" t="s">
        <v>1005</v>
      </c>
    </row>
    <row r="67" spans="1:2" ht="75" x14ac:dyDescent="0.2">
      <c r="A67" s="55" t="s">
        <v>628</v>
      </c>
      <c r="B67" s="56" t="s">
        <v>1006</v>
      </c>
    </row>
    <row r="68" spans="1:2" ht="75" x14ac:dyDescent="0.2">
      <c r="A68" s="55" t="s">
        <v>647</v>
      </c>
      <c r="B68" s="56" t="s">
        <v>1007</v>
      </c>
    </row>
    <row r="69" spans="1:2" ht="60" x14ac:dyDescent="0.2">
      <c r="A69" s="55" t="s">
        <v>1008</v>
      </c>
      <c r="B69" s="56" t="s">
        <v>1009</v>
      </c>
    </row>
    <row r="70" spans="1:2" ht="60" x14ac:dyDescent="0.2">
      <c r="A70" s="55" t="s">
        <v>681</v>
      </c>
      <c r="B70" s="56" t="s">
        <v>1010</v>
      </c>
    </row>
    <row r="71" spans="1:2" ht="30" x14ac:dyDescent="0.2">
      <c r="A71" s="55" t="s">
        <v>665</v>
      </c>
      <c r="B71" s="56" t="s">
        <v>1011</v>
      </c>
    </row>
    <row r="72" spans="1:2" ht="45" x14ac:dyDescent="0.2">
      <c r="A72" s="55" t="s">
        <v>659</v>
      </c>
      <c r="B72" s="56" t="s">
        <v>1012</v>
      </c>
    </row>
    <row r="73" spans="1:2" ht="45" x14ac:dyDescent="0.2">
      <c r="A73" s="55" t="s">
        <v>1013</v>
      </c>
      <c r="B73" s="56" t="s">
        <v>1014</v>
      </c>
    </row>
    <row r="74" spans="1:2" ht="90" x14ac:dyDescent="0.2">
      <c r="A74" s="55" t="s">
        <v>1015</v>
      </c>
      <c r="B74" s="56" t="s">
        <v>1016</v>
      </c>
    </row>
    <row r="75" spans="1:2" ht="60" x14ac:dyDescent="0.2">
      <c r="A75" s="55" t="s">
        <v>1017</v>
      </c>
      <c r="B75" s="56" t="s">
        <v>1018</v>
      </c>
    </row>
    <row r="76" spans="1:2" ht="45" x14ac:dyDescent="0.2">
      <c r="A76" s="55" t="s">
        <v>1019</v>
      </c>
      <c r="B76" s="56" t="s">
        <v>1020</v>
      </c>
    </row>
    <row r="77" spans="1:2" ht="75" x14ac:dyDescent="0.2">
      <c r="A77" s="55" t="s">
        <v>1021</v>
      </c>
      <c r="B77" s="56" t="s">
        <v>1022</v>
      </c>
    </row>
    <row r="78" spans="1:2" ht="120" x14ac:dyDescent="0.2">
      <c r="A78" s="55" t="s">
        <v>1023</v>
      </c>
      <c r="B78" s="56" t="s">
        <v>1024</v>
      </c>
    </row>
    <row r="79" spans="1:2" ht="75" x14ac:dyDescent="0.2">
      <c r="A79" s="55" t="s">
        <v>1025</v>
      </c>
      <c r="B79" s="56" t="s">
        <v>1026</v>
      </c>
    </row>
    <row r="80" spans="1:2" ht="75" x14ac:dyDescent="0.2">
      <c r="A80" s="55" t="s">
        <v>1027</v>
      </c>
      <c r="B80" s="56" t="s">
        <v>1028</v>
      </c>
    </row>
    <row r="81" spans="1:2" ht="45" x14ac:dyDescent="0.2">
      <c r="A81" s="55" t="s">
        <v>621</v>
      </c>
      <c r="B81" s="56" t="s">
        <v>1029</v>
      </c>
    </row>
    <row r="82" spans="1:2" ht="75" x14ac:dyDescent="0.2">
      <c r="A82" s="55" t="s">
        <v>1030</v>
      </c>
      <c r="B82" s="56" t="s">
        <v>1031</v>
      </c>
    </row>
    <row r="83" spans="1:2" ht="105" x14ac:dyDescent="0.2">
      <c r="A83" s="55" t="s">
        <v>1032</v>
      </c>
      <c r="B83" s="56" t="s">
        <v>1033</v>
      </c>
    </row>
    <row r="84" spans="1:2" ht="75" x14ac:dyDescent="0.2">
      <c r="A84" s="55" t="s">
        <v>1034</v>
      </c>
      <c r="B84" s="56" t="s">
        <v>1035</v>
      </c>
    </row>
    <row r="85" spans="1:2" ht="75" x14ac:dyDescent="0.2">
      <c r="A85" s="55" t="s">
        <v>631</v>
      </c>
      <c r="B85" s="56" t="s">
        <v>1036</v>
      </c>
    </row>
    <row r="86" spans="1:2" ht="75" x14ac:dyDescent="0.2">
      <c r="A86" s="55" t="s">
        <v>1037</v>
      </c>
      <c r="B86" s="56" t="s">
        <v>1038</v>
      </c>
    </row>
    <row r="87" spans="1:2" ht="60" x14ac:dyDescent="0.2">
      <c r="A87" s="55" t="s">
        <v>1039</v>
      </c>
      <c r="B87" s="56" t="s">
        <v>1040</v>
      </c>
    </row>
    <row r="88" spans="1:2" ht="45" x14ac:dyDescent="0.2">
      <c r="A88" s="55" t="s">
        <v>675</v>
      </c>
      <c r="B88" s="56" t="s">
        <v>1041</v>
      </c>
    </row>
    <row r="89" spans="1:2" ht="45" x14ac:dyDescent="0.2">
      <c r="A89" s="55" t="s">
        <v>1042</v>
      </c>
      <c r="B89" s="56" t="s">
        <v>1043</v>
      </c>
    </row>
    <row r="90" spans="1:2" ht="45" x14ac:dyDescent="0.2">
      <c r="A90" s="55" t="s">
        <v>1044</v>
      </c>
      <c r="B90" s="56" t="s">
        <v>1045</v>
      </c>
    </row>
    <row r="91" spans="1:2" ht="90" x14ac:dyDescent="0.2">
      <c r="A91" s="55" t="s">
        <v>1046</v>
      </c>
      <c r="B91" s="56" t="s">
        <v>1047</v>
      </c>
    </row>
    <row r="92" spans="1:2" ht="90" x14ac:dyDescent="0.2">
      <c r="A92" s="55" t="s">
        <v>1048</v>
      </c>
      <c r="B92" s="56" t="s">
        <v>1049</v>
      </c>
    </row>
    <row r="93" spans="1:2" ht="105" x14ac:dyDescent="0.2">
      <c r="A93" s="55" t="s">
        <v>622</v>
      </c>
      <c r="B93" s="56" t="s">
        <v>1050</v>
      </c>
    </row>
    <row r="94" spans="1:2" ht="60" x14ac:dyDescent="0.2">
      <c r="A94" s="55" t="s">
        <v>618</v>
      </c>
      <c r="B94" s="56" t="s">
        <v>1051</v>
      </c>
    </row>
    <row r="95" spans="1:2" ht="60" x14ac:dyDescent="0.2">
      <c r="A95" s="55" t="s">
        <v>620</v>
      </c>
      <c r="B95" s="56" t="s">
        <v>1052</v>
      </c>
    </row>
    <row r="96" spans="1:2" ht="60" x14ac:dyDescent="0.2">
      <c r="A96" s="55" t="s">
        <v>686</v>
      </c>
      <c r="B96" s="56" t="s">
        <v>1053</v>
      </c>
    </row>
    <row r="97" spans="1:2" ht="60" x14ac:dyDescent="0.2">
      <c r="A97" s="55" t="s">
        <v>1054</v>
      </c>
      <c r="B97" s="56" t="s">
        <v>1055</v>
      </c>
    </row>
    <row r="98" spans="1:2" ht="75" x14ac:dyDescent="0.2">
      <c r="A98" s="55" t="s">
        <v>1056</v>
      </c>
      <c r="B98" s="56" t="s">
        <v>1057</v>
      </c>
    </row>
    <row r="99" spans="1:2" ht="105" x14ac:dyDescent="0.2">
      <c r="A99" s="55" t="s">
        <v>1058</v>
      </c>
      <c r="B99" s="56" t="s">
        <v>1059</v>
      </c>
    </row>
    <row r="100" spans="1:2" ht="75" x14ac:dyDescent="0.2">
      <c r="A100" s="55" t="s">
        <v>676</v>
      </c>
      <c r="B100" s="56" t="s">
        <v>1060</v>
      </c>
    </row>
    <row r="101" spans="1:2" ht="75" x14ac:dyDescent="0.2">
      <c r="A101" s="55" t="s">
        <v>1061</v>
      </c>
      <c r="B101" s="56" t="s">
        <v>1062</v>
      </c>
    </row>
    <row r="102" spans="1:2" ht="45" x14ac:dyDescent="0.2">
      <c r="A102" s="55" t="s">
        <v>1063</v>
      </c>
      <c r="B102" s="56" t="s">
        <v>1064</v>
      </c>
    </row>
    <row r="103" spans="1:2" ht="60" x14ac:dyDescent="0.2">
      <c r="A103" s="55" t="s">
        <v>640</v>
      </c>
      <c r="B103" s="56" t="s">
        <v>1065</v>
      </c>
    </row>
    <row r="104" spans="1:2" ht="75" x14ac:dyDescent="0.2">
      <c r="A104" s="55" t="s">
        <v>617</v>
      </c>
      <c r="B104" s="56" t="s">
        <v>1066</v>
      </c>
    </row>
    <row r="105" spans="1:2" ht="90" x14ac:dyDescent="0.2">
      <c r="A105" s="55" t="s">
        <v>641</v>
      </c>
      <c r="B105" s="56" t="s">
        <v>1067</v>
      </c>
    </row>
    <row r="106" spans="1:2" ht="90" x14ac:dyDescent="0.2">
      <c r="A106" s="55" t="s">
        <v>642</v>
      </c>
      <c r="B106" s="56" t="s">
        <v>1068</v>
      </c>
    </row>
    <row r="107" spans="1:2" ht="120" x14ac:dyDescent="0.2">
      <c r="A107" s="55" t="s">
        <v>616</v>
      </c>
      <c r="B107" s="56" t="s">
        <v>1069</v>
      </c>
    </row>
    <row r="108" spans="1:2" ht="45" x14ac:dyDescent="0.2">
      <c r="A108" s="55" t="s">
        <v>1070</v>
      </c>
      <c r="B108" s="56" t="s">
        <v>1071</v>
      </c>
    </row>
    <row r="109" spans="1:2" ht="30" x14ac:dyDescent="0.2">
      <c r="A109" s="55" t="s">
        <v>1072</v>
      </c>
      <c r="B109" s="56" t="s">
        <v>1073</v>
      </c>
    </row>
    <row r="110" spans="1:2" ht="120" x14ac:dyDescent="0.2">
      <c r="A110" s="55" t="s">
        <v>619</v>
      </c>
      <c r="B110" s="56" t="s">
        <v>1074</v>
      </c>
    </row>
    <row r="111" spans="1:2" ht="75" x14ac:dyDescent="0.2">
      <c r="A111" s="55" t="s">
        <v>1075</v>
      </c>
      <c r="B111" s="56" t="s">
        <v>1076</v>
      </c>
    </row>
    <row r="112" spans="1:2" ht="75" x14ac:dyDescent="0.2">
      <c r="A112" s="55" t="s">
        <v>685</v>
      </c>
      <c r="B112" s="56" t="s">
        <v>1077</v>
      </c>
    </row>
    <row r="113" spans="1:2" ht="90" x14ac:dyDescent="0.2">
      <c r="A113" s="55" t="s">
        <v>1078</v>
      </c>
      <c r="B113" s="56" t="s">
        <v>1079</v>
      </c>
    </row>
    <row r="114" spans="1:2" ht="45" x14ac:dyDescent="0.2">
      <c r="A114" s="55" t="s">
        <v>1080</v>
      </c>
      <c r="B114" s="56" t="s">
        <v>1081</v>
      </c>
    </row>
    <row r="115" spans="1:2" ht="28.5" x14ac:dyDescent="0.2">
      <c r="A115" s="53" t="s">
        <v>650</v>
      </c>
      <c r="B115" s="50" t="s">
        <v>1082</v>
      </c>
    </row>
    <row r="116" spans="1:2" ht="30" x14ac:dyDescent="0.2">
      <c r="A116" s="49" t="s">
        <v>1083</v>
      </c>
      <c r="B116" s="50" t="s">
        <v>1084</v>
      </c>
    </row>
    <row r="117" spans="1:2" ht="42.75" x14ac:dyDescent="0.2">
      <c r="A117" s="52" t="s">
        <v>635</v>
      </c>
      <c r="B117" s="50" t="s">
        <v>1085</v>
      </c>
    </row>
    <row r="118" spans="1:2" ht="57" x14ac:dyDescent="0.2">
      <c r="A118" s="52" t="s">
        <v>636</v>
      </c>
      <c r="B118" s="50" t="s">
        <v>1086</v>
      </c>
    </row>
    <row r="119" spans="1:2" x14ac:dyDescent="0.2">
      <c r="A119" s="54" t="s">
        <v>580</v>
      </c>
      <c r="B119" s="58" t="s">
        <v>1087</v>
      </c>
    </row>
    <row r="120" spans="1:2" x14ac:dyDescent="0.2">
      <c r="A120" s="54" t="s">
        <v>574</v>
      </c>
      <c r="B120" s="58" t="s">
        <v>1088</v>
      </c>
    </row>
    <row r="121" spans="1:2" x14ac:dyDescent="0.2">
      <c r="A121" s="54" t="s">
        <v>583</v>
      </c>
      <c r="B121" s="57" t="s">
        <v>1089</v>
      </c>
    </row>
    <row r="122" spans="1:2" x14ac:dyDescent="0.2">
      <c r="A122" s="54" t="s">
        <v>590</v>
      </c>
      <c r="B122" s="57" t="s">
        <v>1090</v>
      </c>
    </row>
    <row r="123" spans="1:2" x14ac:dyDescent="0.2">
      <c r="A123" s="54" t="s">
        <v>576</v>
      </c>
      <c r="B123" s="58" t="s">
        <v>1091</v>
      </c>
    </row>
    <row r="124" spans="1:2" x14ac:dyDescent="0.2">
      <c r="A124" s="54" t="s">
        <v>579</v>
      </c>
      <c r="B124" s="58" t="s">
        <v>1092</v>
      </c>
    </row>
    <row r="125" spans="1:2" x14ac:dyDescent="0.2">
      <c r="A125" s="54" t="s">
        <v>575</v>
      </c>
      <c r="B125" s="57" t="s">
        <v>1093</v>
      </c>
    </row>
    <row r="126" spans="1:2" x14ac:dyDescent="0.2">
      <c r="A126" s="54" t="s">
        <v>1094</v>
      </c>
      <c r="B126" s="58" t="s">
        <v>1095</v>
      </c>
    </row>
    <row r="127" spans="1:2" x14ac:dyDescent="0.2">
      <c r="A127" s="54" t="s">
        <v>584</v>
      </c>
      <c r="B127" s="57" t="s">
        <v>1096</v>
      </c>
    </row>
    <row r="128" spans="1:2" x14ac:dyDescent="0.2">
      <c r="A128" s="54" t="s">
        <v>570</v>
      </c>
      <c r="B128" s="57" t="s">
        <v>1097</v>
      </c>
    </row>
    <row r="129" spans="1:2" x14ac:dyDescent="0.2">
      <c r="A129" s="54" t="s">
        <v>1098</v>
      </c>
      <c r="B129" s="58" t="s">
        <v>1099</v>
      </c>
    </row>
    <row r="130" spans="1:2" x14ac:dyDescent="0.2">
      <c r="A130" s="54" t="s">
        <v>573</v>
      </c>
      <c r="B130" s="58" t="s">
        <v>1100</v>
      </c>
    </row>
    <row r="131" spans="1:2" x14ac:dyDescent="0.2">
      <c r="A131" s="54" t="s">
        <v>568</v>
      </c>
      <c r="B131" s="58" t="s">
        <v>1101</v>
      </c>
    </row>
    <row r="132" spans="1:2" x14ac:dyDescent="0.2">
      <c r="A132" s="54" t="s">
        <v>571</v>
      </c>
      <c r="B132" s="58" t="s">
        <v>1102</v>
      </c>
    </row>
    <row r="133" spans="1:2" x14ac:dyDescent="0.2">
      <c r="A133" s="54" t="s">
        <v>1103</v>
      </c>
      <c r="B133" s="57" t="s">
        <v>1104</v>
      </c>
    </row>
    <row r="134" spans="1:2" x14ac:dyDescent="0.2">
      <c r="A134" s="54" t="s">
        <v>577</v>
      </c>
      <c r="B134" s="58" t="s">
        <v>1105</v>
      </c>
    </row>
    <row r="135" spans="1:2" x14ac:dyDescent="0.2">
      <c r="A135" s="54" t="s">
        <v>591</v>
      </c>
      <c r="B135" s="58" t="s">
        <v>1106</v>
      </c>
    </row>
    <row r="136" spans="1:2" x14ac:dyDescent="0.2">
      <c r="A136" s="54" t="s">
        <v>569</v>
      </c>
      <c r="B136" s="58" t="s">
        <v>1107</v>
      </c>
    </row>
    <row r="137" spans="1:2" x14ac:dyDescent="0.2">
      <c r="A137" s="54" t="s">
        <v>587</v>
      </c>
      <c r="B137" s="58" t="s">
        <v>1108</v>
      </c>
    </row>
    <row r="138" spans="1:2" x14ac:dyDescent="0.2">
      <c r="A138" s="54" t="s">
        <v>593</v>
      </c>
      <c r="B138" s="58" t="s">
        <v>1109</v>
      </c>
    </row>
    <row r="139" spans="1:2" x14ac:dyDescent="0.2">
      <c r="A139" s="59" t="s">
        <v>1110</v>
      </c>
      <c r="B139" s="59" t="s">
        <v>1111</v>
      </c>
    </row>
    <row r="140" spans="1:2" x14ac:dyDescent="0.2">
      <c r="A140" s="59" t="s">
        <v>774</v>
      </c>
      <c r="B140" s="59" t="s">
        <v>1112</v>
      </c>
    </row>
    <row r="141" spans="1:2" x14ac:dyDescent="0.2">
      <c r="A141" s="59" t="s">
        <v>782</v>
      </c>
      <c r="B141" s="59" t="s">
        <v>1113</v>
      </c>
    </row>
    <row r="142" spans="1:2" x14ac:dyDescent="0.2">
      <c r="A142" s="59" t="s">
        <v>1114</v>
      </c>
      <c r="B142" s="59" t="s">
        <v>1115</v>
      </c>
    </row>
    <row r="143" spans="1:2" x14ac:dyDescent="0.2">
      <c r="A143" s="59" t="s">
        <v>769</v>
      </c>
      <c r="B143" s="59" t="s">
        <v>1116</v>
      </c>
    </row>
    <row r="144" spans="1:2" x14ac:dyDescent="0.2">
      <c r="A144" s="59" t="s">
        <v>1117</v>
      </c>
      <c r="B144" s="59" t="s">
        <v>1118</v>
      </c>
    </row>
    <row r="145" spans="1:2" x14ac:dyDescent="0.2">
      <c r="A145" s="59" t="s">
        <v>1119</v>
      </c>
      <c r="B145" s="59" t="s">
        <v>1120</v>
      </c>
    </row>
    <row r="146" spans="1:2" x14ac:dyDescent="0.2">
      <c r="A146" s="59" t="s">
        <v>1121</v>
      </c>
      <c r="B146" s="59" t="s">
        <v>1122</v>
      </c>
    </row>
    <row r="147" spans="1:2" x14ac:dyDescent="0.2">
      <c r="A147" s="59" t="s">
        <v>1123</v>
      </c>
      <c r="B147" s="59" t="s">
        <v>1124</v>
      </c>
    </row>
    <row r="148" spans="1:2" x14ac:dyDescent="0.2">
      <c r="A148" s="59" t="s">
        <v>1125</v>
      </c>
      <c r="B148" s="59" t="s">
        <v>1126</v>
      </c>
    </row>
    <row r="149" spans="1:2" x14ac:dyDescent="0.2">
      <c r="A149" s="59" t="s">
        <v>1127</v>
      </c>
      <c r="B149" s="59" t="s">
        <v>1128</v>
      </c>
    </row>
    <row r="150" spans="1:2" x14ac:dyDescent="0.2">
      <c r="A150" s="59" t="s">
        <v>1129</v>
      </c>
      <c r="B150" s="59" t="s">
        <v>1130</v>
      </c>
    </row>
    <row r="151" spans="1:2" x14ac:dyDescent="0.2">
      <c r="A151" s="59" t="s">
        <v>806</v>
      </c>
      <c r="B151" s="59" t="s">
        <v>1131</v>
      </c>
    </row>
    <row r="152" spans="1:2" x14ac:dyDescent="0.2">
      <c r="A152" s="59" t="s">
        <v>697</v>
      </c>
      <c r="B152" s="59" t="s">
        <v>1132</v>
      </c>
    </row>
    <row r="153" spans="1:2" x14ac:dyDescent="0.2">
      <c r="A153" s="59" t="s">
        <v>1133</v>
      </c>
      <c r="B153" s="59" t="s">
        <v>1134</v>
      </c>
    </row>
    <row r="154" spans="1:2" x14ac:dyDescent="0.2">
      <c r="A154" s="59" t="s">
        <v>1135</v>
      </c>
      <c r="B154" s="59" t="s">
        <v>1136</v>
      </c>
    </row>
    <row r="155" spans="1:2" x14ac:dyDescent="0.2">
      <c r="A155" s="59" t="s">
        <v>1137</v>
      </c>
      <c r="B155" s="59" t="s">
        <v>1138</v>
      </c>
    </row>
    <row r="156" spans="1:2" x14ac:dyDescent="0.2">
      <c r="A156" s="59" t="s">
        <v>1139</v>
      </c>
      <c r="B156" s="59" t="s">
        <v>1140</v>
      </c>
    </row>
    <row r="157" spans="1:2" x14ac:dyDescent="0.2">
      <c r="A157" s="59" t="s">
        <v>1141</v>
      </c>
      <c r="B157" s="59" t="s">
        <v>1142</v>
      </c>
    </row>
    <row r="158" spans="1:2" x14ac:dyDescent="0.2">
      <c r="A158" s="59" t="s">
        <v>1143</v>
      </c>
      <c r="B158" s="59" t="s">
        <v>1144</v>
      </c>
    </row>
    <row r="159" spans="1:2" x14ac:dyDescent="0.2">
      <c r="A159" s="59" t="s">
        <v>1145</v>
      </c>
      <c r="B159" s="59" t="s">
        <v>1146</v>
      </c>
    </row>
    <row r="160" spans="1:2" x14ac:dyDescent="0.2">
      <c r="A160" s="59" t="s">
        <v>1147</v>
      </c>
      <c r="B160" s="59" t="s">
        <v>1148</v>
      </c>
    </row>
    <row r="161" spans="1:2" x14ac:dyDescent="0.2">
      <c r="A161" s="59" t="s">
        <v>1149</v>
      </c>
      <c r="B161" s="59" t="s">
        <v>1150</v>
      </c>
    </row>
    <row r="162" spans="1:2" x14ac:dyDescent="0.2">
      <c r="A162" s="59" t="s">
        <v>1151</v>
      </c>
      <c r="B162" s="59" t="s">
        <v>1152</v>
      </c>
    </row>
    <row r="163" spans="1:2" x14ac:dyDescent="0.2">
      <c r="A163" s="59" t="s">
        <v>777</v>
      </c>
      <c r="B163" s="59" t="s">
        <v>1153</v>
      </c>
    </row>
    <row r="164" spans="1:2" x14ac:dyDescent="0.2">
      <c r="A164" s="59" t="s">
        <v>792</v>
      </c>
      <c r="B164" s="59" t="s">
        <v>1154</v>
      </c>
    </row>
    <row r="165" spans="1:2" x14ac:dyDescent="0.2">
      <c r="A165" s="59" t="s">
        <v>1155</v>
      </c>
      <c r="B165" s="59" t="s">
        <v>1156</v>
      </c>
    </row>
    <row r="166" spans="1:2" x14ac:dyDescent="0.2">
      <c r="A166" s="59" t="s">
        <v>770</v>
      </c>
      <c r="B166" s="59" t="s">
        <v>1157</v>
      </c>
    </row>
    <row r="167" spans="1:2" x14ac:dyDescent="0.2">
      <c r="A167" s="59" t="s">
        <v>793</v>
      </c>
      <c r="B167" s="59" t="s">
        <v>1158</v>
      </c>
    </row>
    <row r="168" spans="1:2" x14ac:dyDescent="0.2">
      <c r="A168" s="59" t="s">
        <v>812</v>
      </c>
      <c r="B168" s="59" t="s">
        <v>1159</v>
      </c>
    </row>
    <row r="169" spans="1:2" x14ac:dyDescent="0.2">
      <c r="A169" s="59" t="s">
        <v>1160</v>
      </c>
      <c r="B169" s="59" t="s">
        <v>1161</v>
      </c>
    </row>
    <row r="170" spans="1:2" x14ac:dyDescent="0.2">
      <c r="A170" s="59" t="s">
        <v>1162</v>
      </c>
      <c r="B170" s="59" t="s">
        <v>1163</v>
      </c>
    </row>
    <row r="171" spans="1:2" x14ac:dyDescent="0.2">
      <c r="A171" s="59" t="s">
        <v>1164</v>
      </c>
      <c r="B171" s="59" t="s">
        <v>1165</v>
      </c>
    </row>
    <row r="172" spans="1:2" x14ac:dyDescent="0.2">
      <c r="A172" s="59" t="s">
        <v>1166</v>
      </c>
      <c r="B172" s="59" t="s">
        <v>1167</v>
      </c>
    </row>
    <row r="173" spans="1:2" x14ac:dyDescent="0.2">
      <c r="A173" s="59" t="s">
        <v>785</v>
      </c>
      <c r="B173" s="59" t="s">
        <v>1168</v>
      </c>
    </row>
    <row r="174" spans="1:2" x14ac:dyDescent="0.2">
      <c r="A174" s="59" t="s">
        <v>784</v>
      </c>
      <c r="B174" s="59" t="s">
        <v>1169</v>
      </c>
    </row>
    <row r="175" spans="1:2" x14ac:dyDescent="0.2">
      <c r="A175" s="59" t="s">
        <v>789</v>
      </c>
      <c r="B175" s="59" t="s">
        <v>1170</v>
      </c>
    </row>
    <row r="176" spans="1:2" x14ac:dyDescent="0.2">
      <c r="A176" s="59" t="s">
        <v>794</v>
      </c>
      <c r="B176" s="59" t="s">
        <v>1171</v>
      </c>
    </row>
    <row r="177" spans="1:2" x14ac:dyDescent="0.2">
      <c r="A177" s="59" t="s">
        <v>795</v>
      </c>
      <c r="B177" s="59" t="s">
        <v>1172</v>
      </c>
    </row>
    <row r="178" spans="1:2" x14ac:dyDescent="0.2">
      <c r="A178" s="59" t="s">
        <v>776</v>
      </c>
      <c r="B178" s="59" t="s">
        <v>1173</v>
      </c>
    </row>
    <row r="179" spans="1:2" x14ac:dyDescent="0.2">
      <c r="A179" s="59" t="s">
        <v>809</v>
      </c>
      <c r="B179" s="59" t="s">
        <v>1174</v>
      </c>
    </row>
    <row r="180" spans="1:2" x14ac:dyDescent="0.2">
      <c r="A180" s="59" t="s">
        <v>814</v>
      </c>
      <c r="B180" s="59" t="s">
        <v>1175</v>
      </c>
    </row>
    <row r="181" spans="1:2" x14ac:dyDescent="0.2">
      <c r="A181" s="59" t="s">
        <v>810</v>
      </c>
      <c r="B181" s="59" t="s">
        <v>1176</v>
      </c>
    </row>
    <row r="182" spans="1:2" x14ac:dyDescent="0.2">
      <c r="A182" s="59" t="s">
        <v>780</v>
      </c>
      <c r="B182" s="59" t="s">
        <v>1177</v>
      </c>
    </row>
    <row r="183" spans="1:2" x14ac:dyDescent="0.2">
      <c r="A183" s="59" t="s">
        <v>786</v>
      </c>
      <c r="B183" s="59" t="s">
        <v>1178</v>
      </c>
    </row>
    <row r="184" spans="1:2" x14ac:dyDescent="0.2">
      <c r="A184" s="59" t="s">
        <v>1179</v>
      </c>
      <c r="B184" s="59" t="s">
        <v>1180</v>
      </c>
    </row>
    <row r="185" spans="1:2" x14ac:dyDescent="0.2">
      <c r="A185" s="59" t="s">
        <v>1181</v>
      </c>
      <c r="B185" s="59" t="s">
        <v>1182</v>
      </c>
    </row>
    <row r="186" spans="1:2" x14ac:dyDescent="0.2">
      <c r="A186" s="59" t="s">
        <v>1183</v>
      </c>
      <c r="B186" s="59" t="s">
        <v>1184</v>
      </c>
    </row>
    <row r="187" spans="1:2" x14ac:dyDescent="0.2">
      <c r="A187" s="59" t="s">
        <v>1185</v>
      </c>
      <c r="B187" s="59" t="s">
        <v>1186</v>
      </c>
    </row>
    <row r="188" spans="1:2" x14ac:dyDescent="0.2">
      <c r="A188" s="59" t="s">
        <v>699</v>
      </c>
      <c r="B188" s="59" t="s">
        <v>1187</v>
      </c>
    </row>
    <row r="189" spans="1:2" x14ac:dyDescent="0.2">
      <c r="A189" s="59" t="s">
        <v>1188</v>
      </c>
      <c r="B189" s="59" t="s">
        <v>1189</v>
      </c>
    </row>
    <row r="190" spans="1:2" x14ac:dyDescent="0.2">
      <c r="A190" s="59" t="s">
        <v>811</v>
      </c>
      <c r="B190" s="59" t="s">
        <v>1190</v>
      </c>
    </row>
    <row r="191" spans="1:2" x14ac:dyDescent="0.2">
      <c r="A191" s="59" t="s">
        <v>807</v>
      </c>
      <c r="B191" s="59" t="s">
        <v>1191</v>
      </c>
    </row>
    <row r="192" spans="1:2" x14ac:dyDescent="0.2">
      <c r="A192" s="59" t="s">
        <v>1192</v>
      </c>
      <c r="B192" s="59" t="s">
        <v>1193</v>
      </c>
    </row>
    <row r="193" spans="1:2" x14ac:dyDescent="0.2">
      <c r="A193" s="59" t="s">
        <v>1194</v>
      </c>
      <c r="B193" s="59" t="s">
        <v>1195</v>
      </c>
    </row>
    <row r="194" spans="1:2" x14ac:dyDescent="0.2">
      <c r="A194" s="59" t="s">
        <v>779</v>
      </c>
      <c r="B194" s="59" t="s">
        <v>1196</v>
      </c>
    </row>
    <row r="195" spans="1:2" x14ac:dyDescent="0.2">
      <c r="A195" s="59" t="s">
        <v>1197</v>
      </c>
      <c r="B195" s="59" t="s">
        <v>1198</v>
      </c>
    </row>
    <row r="196" spans="1:2" x14ac:dyDescent="0.2">
      <c r="A196" s="59" t="s">
        <v>773</v>
      </c>
      <c r="B196" s="59" t="s">
        <v>1199</v>
      </c>
    </row>
    <row r="197" spans="1:2" x14ac:dyDescent="0.2">
      <c r="A197" s="59" t="s">
        <v>813</v>
      </c>
      <c r="B197" s="59" t="s">
        <v>1200</v>
      </c>
    </row>
    <row r="198" spans="1:2" x14ac:dyDescent="0.2">
      <c r="A198" s="59" t="s">
        <v>1201</v>
      </c>
      <c r="B198" s="59" t="s">
        <v>1202</v>
      </c>
    </row>
    <row r="199" spans="1:2" x14ac:dyDescent="0.2">
      <c r="A199" s="59" t="s">
        <v>1203</v>
      </c>
      <c r="B199" s="59" t="s">
        <v>1204</v>
      </c>
    </row>
    <row r="200" spans="1:2" x14ac:dyDescent="0.2">
      <c r="A200" s="59" t="s">
        <v>1205</v>
      </c>
      <c r="B200" s="59" t="s">
        <v>1206</v>
      </c>
    </row>
    <row r="201" spans="1:2" x14ac:dyDescent="0.2">
      <c r="A201" s="59" t="s">
        <v>1207</v>
      </c>
      <c r="B201" s="59" t="s">
        <v>1208</v>
      </c>
    </row>
    <row r="202" spans="1:2" x14ac:dyDescent="0.2">
      <c r="A202" s="59" t="s">
        <v>1209</v>
      </c>
      <c r="B202" s="59" t="s">
        <v>1210</v>
      </c>
    </row>
    <row r="203" spans="1:2" x14ac:dyDescent="0.2">
      <c r="A203" s="59" t="s">
        <v>796</v>
      </c>
      <c r="B203" s="59" t="s">
        <v>1211</v>
      </c>
    </row>
    <row r="204" spans="1:2" x14ac:dyDescent="0.2">
      <c r="A204" s="59" t="s">
        <v>805</v>
      </c>
      <c r="B204" s="59" t="s">
        <v>1212</v>
      </c>
    </row>
    <row r="205" spans="1:2" x14ac:dyDescent="0.2">
      <c r="A205" s="59" t="s">
        <v>1213</v>
      </c>
      <c r="B205" s="59" t="s">
        <v>1214</v>
      </c>
    </row>
    <row r="206" spans="1:2" x14ac:dyDescent="0.2">
      <c r="A206" s="59" t="s">
        <v>1215</v>
      </c>
      <c r="B206" s="59" t="s">
        <v>1216</v>
      </c>
    </row>
    <row r="207" spans="1:2" x14ac:dyDescent="0.2">
      <c r="A207" s="59" t="s">
        <v>1217</v>
      </c>
      <c r="B207" s="59" t="s">
        <v>1218</v>
      </c>
    </row>
    <row r="208" spans="1:2" x14ac:dyDescent="0.2">
      <c r="A208" s="59" t="s">
        <v>1219</v>
      </c>
      <c r="B208" s="59" t="s">
        <v>1220</v>
      </c>
    </row>
    <row r="209" spans="1:2" x14ac:dyDescent="0.2">
      <c r="A209" s="59" t="s">
        <v>799</v>
      </c>
      <c r="B209" s="59" t="s">
        <v>1221</v>
      </c>
    </row>
    <row r="210" spans="1:2" x14ac:dyDescent="0.2">
      <c r="A210" s="59" t="s">
        <v>816</v>
      </c>
      <c r="B210" s="59" t="s">
        <v>1222</v>
      </c>
    </row>
    <row r="211" spans="1:2" x14ac:dyDescent="0.2">
      <c r="A211" s="59" t="s">
        <v>1223</v>
      </c>
      <c r="B211" s="59" t="s">
        <v>1224</v>
      </c>
    </row>
    <row r="212" spans="1:2" x14ac:dyDescent="0.2">
      <c r="A212" s="59" t="s">
        <v>1225</v>
      </c>
      <c r="B212" s="59" t="s">
        <v>1226</v>
      </c>
    </row>
    <row r="213" spans="1:2" x14ac:dyDescent="0.2">
      <c r="A213" s="59" t="s">
        <v>1227</v>
      </c>
      <c r="B213" s="59" t="s">
        <v>1228</v>
      </c>
    </row>
    <row r="214" spans="1:2" x14ac:dyDescent="0.2">
      <c r="A214" s="59" t="s">
        <v>1229</v>
      </c>
      <c r="B214" s="59" t="s">
        <v>1230</v>
      </c>
    </row>
    <row r="215" spans="1:2" x14ac:dyDescent="0.2">
      <c r="A215" s="59" t="s">
        <v>1231</v>
      </c>
      <c r="B215" s="59" t="s">
        <v>1232</v>
      </c>
    </row>
    <row r="216" spans="1:2" x14ac:dyDescent="0.2">
      <c r="A216" s="59" t="s">
        <v>1233</v>
      </c>
      <c r="B216" s="59" t="s">
        <v>1234</v>
      </c>
    </row>
    <row r="217" spans="1:2" x14ac:dyDescent="0.2">
      <c r="A217" s="59" t="s">
        <v>1235</v>
      </c>
      <c r="B217" s="59" t="s">
        <v>1236</v>
      </c>
    </row>
    <row r="218" spans="1:2" x14ac:dyDescent="0.2">
      <c r="A218" s="59" t="s">
        <v>1237</v>
      </c>
      <c r="B218" s="59" t="s">
        <v>1238</v>
      </c>
    </row>
    <row r="219" spans="1:2" x14ac:dyDescent="0.2">
      <c r="A219" s="59" t="s">
        <v>1239</v>
      </c>
      <c r="B219" s="59" t="s">
        <v>1240</v>
      </c>
    </row>
    <row r="220" spans="1:2" x14ac:dyDescent="0.2">
      <c r="A220" s="59" t="s">
        <v>1241</v>
      </c>
      <c r="B220" s="59" t="s">
        <v>1242</v>
      </c>
    </row>
    <row r="221" spans="1:2" x14ac:dyDescent="0.2">
      <c r="A221" s="59" t="s">
        <v>1243</v>
      </c>
      <c r="B221" s="59" t="s">
        <v>1244</v>
      </c>
    </row>
    <row r="222" spans="1:2" x14ac:dyDescent="0.2">
      <c r="A222" s="59" t="s">
        <v>1245</v>
      </c>
      <c r="B222" s="59" t="s">
        <v>1246</v>
      </c>
    </row>
    <row r="223" spans="1:2" x14ac:dyDescent="0.2">
      <c r="A223" s="59" t="s">
        <v>1247</v>
      </c>
      <c r="B223" s="59" t="s">
        <v>1248</v>
      </c>
    </row>
    <row r="224" spans="1:2" x14ac:dyDescent="0.2">
      <c r="A224" s="59" t="s">
        <v>1249</v>
      </c>
      <c r="B224" s="59" t="s">
        <v>1250</v>
      </c>
    </row>
    <row r="225" spans="1:2" x14ac:dyDescent="0.2">
      <c r="A225" s="59" t="s">
        <v>1251</v>
      </c>
      <c r="B225" s="59" t="s">
        <v>1252</v>
      </c>
    </row>
    <row r="226" spans="1:2" x14ac:dyDescent="0.2">
      <c r="A226" s="59" t="s">
        <v>1253</v>
      </c>
      <c r="B226" s="59" t="s">
        <v>1254</v>
      </c>
    </row>
    <row r="227" spans="1:2" x14ac:dyDescent="0.2">
      <c r="A227" s="59" t="s">
        <v>1255</v>
      </c>
      <c r="B227" s="59" t="s">
        <v>1256</v>
      </c>
    </row>
    <row r="228" spans="1:2" x14ac:dyDescent="0.2">
      <c r="A228" s="59" t="s">
        <v>1257</v>
      </c>
      <c r="B228" s="59" t="s">
        <v>1258</v>
      </c>
    </row>
    <row r="229" spans="1:2" x14ac:dyDescent="0.2">
      <c r="A229" s="59" t="s">
        <v>1259</v>
      </c>
      <c r="B229" s="59" t="s">
        <v>1260</v>
      </c>
    </row>
    <row r="230" spans="1:2" x14ac:dyDescent="0.2">
      <c r="A230" s="59" t="s">
        <v>1261</v>
      </c>
      <c r="B230" s="59" t="s">
        <v>1262</v>
      </c>
    </row>
    <row r="231" spans="1:2" x14ac:dyDescent="0.2">
      <c r="A231" s="59" t="s">
        <v>1263</v>
      </c>
      <c r="B231" s="59" t="s">
        <v>1264</v>
      </c>
    </row>
    <row r="232" spans="1:2" x14ac:dyDescent="0.2">
      <c r="A232" s="59" t="s">
        <v>1265</v>
      </c>
      <c r="B232" s="59" t="s">
        <v>1266</v>
      </c>
    </row>
    <row r="233" spans="1:2" x14ac:dyDescent="0.2">
      <c r="A233" s="59" t="s">
        <v>1267</v>
      </c>
      <c r="B233" s="59" t="s">
        <v>1268</v>
      </c>
    </row>
    <row r="234" spans="1:2" x14ac:dyDescent="0.2">
      <c r="A234" s="59" t="s">
        <v>1269</v>
      </c>
      <c r="B234" s="59" t="s">
        <v>1270</v>
      </c>
    </row>
    <row r="235" spans="1:2" x14ac:dyDescent="0.2">
      <c r="A235" s="59" t="s">
        <v>1271</v>
      </c>
      <c r="B235" s="59" t="s">
        <v>1272</v>
      </c>
    </row>
    <row r="236" spans="1:2" x14ac:dyDescent="0.2">
      <c r="A236" s="59" t="s">
        <v>1273</v>
      </c>
      <c r="B236" s="59" t="s">
        <v>1274</v>
      </c>
    </row>
    <row r="237" spans="1:2" ht="30" x14ac:dyDescent="0.2">
      <c r="A237" s="49" t="s">
        <v>771</v>
      </c>
      <c r="B237" s="58" t="s">
        <v>1275</v>
      </c>
    </row>
    <row r="238" spans="1:2" ht="45" x14ac:dyDescent="0.2">
      <c r="A238" s="49" t="s">
        <v>775</v>
      </c>
      <c r="B238" s="58" t="s">
        <v>1276</v>
      </c>
    </row>
    <row r="239" spans="1:2" ht="30" x14ac:dyDescent="0.2">
      <c r="A239" s="49" t="s">
        <v>778</v>
      </c>
      <c r="B239" s="58" t="s">
        <v>1277</v>
      </c>
    </row>
    <row r="240" spans="1:2" ht="30" x14ac:dyDescent="0.2">
      <c r="A240" s="49" t="s">
        <v>783</v>
      </c>
      <c r="B240" s="58" t="s">
        <v>1278</v>
      </c>
    </row>
    <row r="241" spans="1:2" ht="30" x14ac:dyDescent="0.2">
      <c r="A241" s="49" t="s">
        <v>791</v>
      </c>
      <c r="B241" s="58" t="s">
        <v>1279</v>
      </c>
    </row>
    <row r="242" spans="1:2" ht="45" x14ac:dyDescent="0.2">
      <c r="A242" s="49" t="s">
        <v>797</v>
      </c>
      <c r="B242" s="58" t="s">
        <v>1280</v>
      </c>
    </row>
    <row r="243" spans="1:2" ht="60" x14ac:dyDescent="0.2">
      <c r="A243" s="49" t="s">
        <v>803</v>
      </c>
      <c r="B243" s="58" t="s">
        <v>1281</v>
      </c>
    </row>
    <row r="244" spans="1:2" ht="75" x14ac:dyDescent="0.2">
      <c r="A244" s="49" t="s">
        <v>804</v>
      </c>
      <c r="B244" s="58" t="s">
        <v>1282</v>
      </c>
    </row>
    <row r="245" spans="1:2" ht="30" x14ac:dyDescent="0.2">
      <c r="A245" s="49" t="s">
        <v>815</v>
      </c>
      <c r="B245" s="58" t="s">
        <v>1283</v>
      </c>
    </row>
    <row r="246" spans="1:2" x14ac:dyDescent="0.2">
      <c r="A246" s="49" t="s">
        <v>715</v>
      </c>
      <c r="B246" s="58" t="s">
        <v>1284</v>
      </c>
    </row>
    <row r="247" spans="1:2" x14ac:dyDescent="0.2">
      <c r="A247" s="49" t="s">
        <v>702</v>
      </c>
      <c r="B247" s="58" t="s">
        <v>1285</v>
      </c>
    </row>
    <row r="248" spans="1:2" x14ac:dyDescent="0.2">
      <c r="A248" s="49" t="s">
        <v>737</v>
      </c>
      <c r="B248" s="58" t="s">
        <v>1286</v>
      </c>
    </row>
    <row r="249" spans="1:2" x14ac:dyDescent="0.2">
      <c r="A249" s="49" t="s">
        <v>707</v>
      </c>
      <c r="B249" s="58" t="s">
        <v>1287</v>
      </c>
    </row>
    <row r="250" spans="1:2" x14ac:dyDescent="0.2">
      <c r="A250" s="49" t="s">
        <v>1288</v>
      </c>
      <c r="B250" s="58" t="s">
        <v>1289</v>
      </c>
    </row>
    <row r="251" spans="1:2" x14ac:dyDescent="0.2">
      <c r="A251" s="49" t="s">
        <v>1290</v>
      </c>
      <c r="B251" s="58" t="s">
        <v>1291</v>
      </c>
    </row>
    <row r="252" spans="1:2" x14ac:dyDescent="0.2">
      <c r="A252" s="49" t="s">
        <v>753</v>
      </c>
      <c r="B252" s="58" t="s">
        <v>1292</v>
      </c>
    </row>
    <row r="253" spans="1:2" x14ac:dyDescent="0.2">
      <c r="A253" s="49" t="s">
        <v>763</v>
      </c>
      <c r="B253" s="58" t="s">
        <v>1293</v>
      </c>
    </row>
    <row r="254" spans="1:2" x14ac:dyDescent="0.2">
      <c r="A254" s="49" t="s">
        <v>1294</v>
      </c>
      <c r="B254" s="58" t="s">
        <v>1295</v>
      </c>
    </row>
    <row r="255" spans="1:2" x14ac:dyDescent="0.2">
      <c r="A255" s="49" t="s">
        <v>1296</v>
      </c>
      <c r="B255" s="58" t="s">
        <v>1297</v>
      </c>
    </row>
    <row r="256" spans="1:2" x14ac:dyDescent="0.2">
      <c r="A256" s="49" t="s">
        <v>1298</v>
      </c>
      <c r="B256" s="58" t="s">
        <v>1299</v>
      </c>
    </row>
    <row r="257" spans="1:2" x14ac:dyDescent="0.2">
      <c r="A257" s="49" t="s">
        <v>1300</v>
      </c>
      <c r="B257" s="58" t="s">
        <v>1301</v>
      </c>
    </row>
    <row r="258" spans="1:2" x14ac:dyDescent="0.2">
      <c r="A258" s="49" t="s">
        <v>1302</v>
      </c>
      <c r="B258" s="58" t="s">
        <v>1303</v>
      </c>
    </row>
    <row r="259" spans="1:2" x14ac:dyDescent="0.2">
      <c r="A259" s="49" t="s">
        <v>1304</v>
      </c>
      <c r="B259" s="58" t="s">
        <v>1305</v>
      </c>
    </row>
    <row r="260" spans="1:2" x14ac:dyDescent="0.2">
      <c r="A260" s="49" t="s">
        <v>1306</v>
      </c>
      <c r="B260" s="58" t="s">
        <v>1307</v>
      </c>
    </row>
    <row r="261" spans="1:2" x14ac:dyDescent="0.2">
      <c r="A261" s="49" t="s">
        <v>1308</v>
      </c>
      <c r="B261" s="57" t="s">
        <v>1309</v>
      </c>
    </row>
    <row r="262" spans="1:2" x14ac:dyDescent="0.2">
      <c r="A262" s="49" t="s">
        <v>1310</v>
      </c>
      <c r="B262" s="57" t="s">
        <v>1311</v>
      </c>
    </row>
    <row r="263" spans="1:2" x14ac:dyDescent="0.2">
      <c r="A263" s="49" t="s">
        <v>1312</v>
      </c>
      <c r="B263" s="57" t="s">
        <v>1313</v>
      </c>
    </row>
    <row r="264" spans="1:2" x14ac:dyDescent="0.2">
      <c r="A264" s="49" t="s">
        <v>741</v>
      </c>
      <c r="B264" s="57" t="s">
        <v>1314</v>
      </c>
    </row>
    <row r="265" spans="1:2" x14ac:dyDescent="0.2">
      <c r="A265" s="49" t="s">
        <v>1315</v>
      </c>
      <c r="B265" s="57" t="s">
        <v>1316</v>
      </c>
    </row>
    <row r="266" spans="1:2" x14ac:dyDescent="0.2">
      <c r="A266" s="49" t="s">
        <v>1317</v>
      </c>
      <c r="B266" s="57" t="s">
        <v>1318</v>
      </c>
    </row>
    <row r="267" spans="1:2" x14ac:dyDescent="0.2">
      <c r="A267" s="49" t="s">
        <v>726</v>
      </c>
      <c r="B267" s="57" t="s">
        <v>1319</v>
      </c>
    </row>
    <row r="268" spans="1:2" x14ac:dyDescent="0.2">
      <c r="A268" s="49" t="s">
        <v>751</v>
      </c>
      <c r="B268" s="57" t="s">
        <v>1320</v>
      </c>
    </row>
    <row r="269" spans="1:2" x14ac:dyDescent="0.2">
      <c r="A269" s="49" t="s">
        <v>759</v>
      </c>
      <c r="B269" s="57" t="s">
        <v>1321</v>
      </c>
    </row>
    <row r="270" spans="1:2" x14ac:dyDescent="0.2">
      <c r="A270" s="49" t="s">
        <v>1322</v>
      </c>
      <c r="B270" s="57" t="s">
        <v>1323</v>
      </c>
    </row>
    <row r="271" spans="1:2" x14ac:dyDescent="0.2">
      <c r="A271" s="49" t="s">
        <v>740</v>
      </c>
      <c r="B271" s="57" t="s">
        <v>1324</v>
      </c>
    </row>
    <row r="272" spans="1:2" x14ac:dyDescent="0.2">
      <c r="A272" s="49" t="s">
        <v>766</v>
      </c>
      <c r="B272" s="57" t="s">
        <v>1325</v>
      </c>
    </row>
    <row r="273" spans="1:2" x14ac:dyDescent="0.2">
      <c r="A273" s="49" t="s">
        <v>1326</v>
      </c>
      <c r="B273" s="57" t="s">
        <v>1327</v>
      </c>
    </row>
    <row r="274" spans="1:2" x14ac:dyDescent="0.2">
      <c r="A274" s="49" t="s">
        <v>1328</v>
      </c>
      <c r="B274" s="57" t="s">
        <v>1329</v>
      </c>
    </row>
    <row r="275" spans="1:2" x14ac:dyDescent="0.2">
      <c r="A275" s="49" t="s">
        <v>1330</v>
      </c>
      <c r="B275" s="57" t="s">
        <v>1331</v>
      </c>
    </row>
    <row r="276" spans="1:2" x14ac:dyDescent="0.2">
      <c r="A276" s="49" t="s">
        <v>1332</v>
      </c>
      <c r="B276" s="57" t="s">
        <v>1333</v>
      </c>
    </row>
    <row r="277" spans="1:2" x14ac:dyDescent="0.2">
      <c r="A277" s="49" t="s">
        <v>1334</v>
      </c>
      <c r="B277" s="57" t="s">
        <v>1335</v>
      </c>
    </row>
    <row r="278" spans="1:2" x14ac:dyDescent="0.2">
      <c r="A278" s="49" t="s">
        <v>1336</v>
      </c>
      <c r="B278" s="57" t="s">
        <v>1337</v>
      </c>
    </row>
    <row r="279" spans="1:2" x14ac:dyDescent="0.2">
      <c r="A279" s="49" t="s">
        <v>1338</v>
      </c>
      <c r="B279" s="57" t="s">
        <v>1339</v>
      </c>
    </row>
    <row r="280" spans="1:2" x14ac:dyDescent="0.2">
      <c r="A280" s="49" t="s">
        <v>1340</v>
      </c>
      <c r="B280" s="57" t="s">
        <v>1341</v>
      </c>
    </row>
    <row r="281" spans="1:2" x14ac:dyDescent="0.2">
      <c r="A281" s="49" t="s">
        <v>1342</v>
      </c>
      <c r="B281" s="57" t="s">
        <v>1343</v>
      </c>
    </row>
    <row r="282" spans="1:2" x14ac:dyDescent="0.2">
      <c r="A282" s="49" t="s">
        <v>1344</v>
      </c>
      <c r="B282" s="57" t="s">
        <v>1345</v>
      </c>
    </row>
    <row r="283" spans="1:2" x14ac:dyDescent="0.2">
      <c r="A283" s="49" t="s">
        <v>723</v>
      </c>
      <c r="B283" s="57" t="s">
        <v>1346</v>
      </c>
    </row>
    <row r="284" spans="1:2" x14ac:dyDescent="0.2">
      <c r="A284" s="49" t="s">
        <v>1347</v>
      </c>
      <c r="B284" s="57" t="s">
        <v>1348</v>
      </c>
    </row>
    <row r="285" spans="1:2" x14ac:dyDescent="0.2">
      <c r="A285" s="49" t="s">
        <v>1349</v>
      </c>
      <c r="B285" s="57" t="s">
        <v>1350</v>
      </c>
    </row>
    <row r="286" spans="1:2" x14ac:dyDescent="0.2">
      <c r="A286" s="49" t="s">
        <v>1351</v>
      </c>
      <c r="B286" s="57" t="s">
        <v>1352</v>
      </c>
    </row>
    <row r="287" spans="1:2" x14ac:dyDescent="0.2">
      <c r="A287" s="49" t="s">
        <v>1353</v>
      </c>
      <c r="B287" s="57" t="s">
        <v>1354</v>
      </c>
    </row>
    <row r="288" spans="1:2" x14ac:dyDescent="0.2">
      <c r="A288" s="49" t="s">
        <v>705</v>
      </c>
      <c r="B288" s="57" t="s">
        <v>1355</v>
      </c>
    </row>
    <row r="289" spans="1:2" x14ac:dyDescent="0.2">
      <c r="A289" s="49" t="s">
        <v>712</v>
      </c>
      <c r="B289" s="57" t="s">
        <v>1356</v>
      </c>
    </row>
    <row r="290" spans="1:2" x14ac:dyDescent="0.2">
      <c r="A290" s="49" t="s">
        <v>1357</v>
      </c>
      <c r="B290" s="57" t="s">
        <v>1358</v>
      </c>
    </row>
    <row r="291" spans="1:2" x14ac:dyDescent="0.2">
      <c r="A291" s="49" t="s">
        <v>1359</v>
      </c>
      <c r="B291" s="57" t="s">
        <v>1360</v>
      </c>
    </row>
    <row r="292" spans="1:2" x14ac:dyDescent="0.2">
      <c r="A292" s="49" t="s">
        <v>1361</v>
      </c>
      <c r="B292" s="57" t="s">
        <v>1362</v>
      </c>
    </row>
    <row r="293" spans="1:2" x14ac:dyDescent="0.2">
      <c r="A293" s="49" t="s">
        <v>1363</v>
      </c>
      <c r="B293" s="57" t="s">
        <v>1364</v>
      </c>
    </row>
    <row r="294" spans="1:2" x14ac:dyDescent="0.2">
      <c r="A294" s="49" t="s">
        <v>709</v>
      </c>
      <c r="B294" s="57" t="s">
        <v>1365</v>
      </c>
    </row>
    <row r="295" spans="1:2" x14ac:dyDescent="0.2">
      <c r="A295" s="49" t="s">
        <v>710</v>
      </c>
      <c r="B295" s="57" t="s">
        <v>1366</v>
      </c>
    </row>
    <row r="296" spans="1:2" x14ac:dyDescent="0.2">
      <c r="A296" s="49" t="s">
        <v>1367</v>
      </c>
      <c r="B296" s="57" t="s">
        <v>1368</v>
      </c>
    </row>
    <row r="297" spans="1:2" x14ac:dyDescent="0.2">
      <c r="A297" s="49" t="s">
        <v>762</v>
      </c>
      <c r="B297" s="57" t="s">
        <v>1369</v>
      </c>
    </row>
    <row r="298" spans="1:2" x14ac:dyDescent="0.2">
      <c r="A298" s="49" t="s">
        <v>713</v>
      </c>
      <c r="B298" s="57" t="s">
        <v>1370</v>
      </c>
    </row>
    <row r="299" spans="1:2" x14ac:dyDescent="0.2">
      <c r="A299" s="49" t="s">
        <v>1371</v>
      </c>
      <c r="B299" s="57" t="s">
        <v>1372</v>
      </c>
    </row>
    <row r="300" spans="1:2" x14ac:dyDescent="0.2">
      <c r="A300" s="49" t="s">
        <v>1373</v>
      </c>
      <c r="B300" s="57" t="s">
        <v>1374</v>
      </c>
    </row>
    <row r="301" spans="1:2" x14ac:dyDescent="0.2">
      <c r="A301" s="49" t="s">
        <v>738</v>
      </c>
      <c r="B301" s="57" t="s">
        <v>1375</v>
      </c>
    </row>
    <row r="302" spans="1:2" x14ac:dyDescent="0.2">
      <c r="A302" s="49" t="s">
        <v>1376</v>
      </c>
      <c r="B302" s="57" t="s">
        <v>1377</v>
      </c>
    </row>
    <row r="303" spans="1:2" x14ac:dyDescent="0.2">
      <c r="A303" s="49" t="s">
        <v>1378</v>
      </c>
      <c r="B303" s="57" t="s">
        <v>1379</v>
      </c>
    </row>
    <row r="304" spans="1:2" x14ac:dyDescent="0.2">
      <c r="A304" s="49" t="s">
        <v>1380</v>
      </c>
      <c r="B304" s="57" t="s">
        <v>1381</v>
      </c>
    </row>
    <row r="305" spans="1:2" x14ac:dyDescent="0.2">
      <c r="A305" s="49" t="s">
        <v>1382</v>
      </c>
      <c r="B305" s="57" t="s">
        <v>1383</v>
      </c>
    </row>
    <row r="306" spans="1:2" x14ac:dyDescent="0.2">
      <c r="A306" s="49" t="s">
        <v>1384</v>
      </c>
      <c r="B306" s="57" t="s">
        <v>1385</v>
      </c>
    </row>
    <row r="307" spans="1:2" x14ac:dyDescent="0.2">
      <c r="A307" s="49" t="s">
        <v>1386</v>
      </c>
      <c r="B307" s="57" t="s">
        <v>1387</v>
      </c>
    </row>
    <row r="308" spans="1:2" x14ac:dyDescent="0.2">
      <c r="A308" s="49" t="s">
        <v>1388</v>
      </c>
      <c r="B308" s="57" t="s">
        <v>1389</v>
      </c>
    </row>
    <row r="309" spans="1:2" x14ac:dyDescent="0.2">
      <c r="A309" s="49" t="s">
        <v>728</v>
      </c>
      <c r="B309" s="57" t="s">
        <v>1390</v>
      </c>
    </row>
    <row r="310" spans="1:2" x14ac:dyDescent="0.2">
      <c r="A310" s="49" t="s">
        <v>700</v>
      </c>
      <c r="B310" s="57" t="s">
        <v>1391</v>
      </c>
    </row>
    <row r="311" spans="1:2" x14ac:dyDescent="0.2">
      <c r="A311" s="49" t="s">
        <v>1392</v>
      </c>
      <c r="B311" s="57" t="s">
        <v>1393</v>
      </c>
    </row>
    <row r="312" spans="1:2" x14ac:dyDescent="0.2">
      <c r="A312" s="49" t="s">
        <v>1394</v>
      </c>
      <c r="B312" s="57" t="s">
        <v>1395</v>
      </c>
    </row>
    <row r="313" spans="1:2" x14ac:dyDescent="0.2">
      <c r="A313" s="49" t="s">
        <v>1396</v>
      </c>
      <c r="B313" s="57" t="s">
        <v>1397</v>
      </c>
    </row>
    <row r="314" spans="1:2" x14ac:dyDescent="0.2">
      <c r="A314" s="49" t="s">
        <v>1398</v>
      </c>
      <c r="B314" s="57" t="s">
        <v>1399</v>
      </c>
    </row>
    <row r="315" spans="1:2" x14ac:dyDescent="0.2">
      <c r="A315" s="49" t="s">
        <v>1400</v>
      </c>
      <c r="B315" s="57" t="s">
        <v>1401</v>
      </c>
    </row>
    <row r="316" spans="1:2" x14ac:dyDescent="0.2">
      <c r="A316" s="49" t="s">
        <v>1402</v>
      </c>
      <c r="B316" s="57" t="s">
        <v>1403</v>
      </c>
    </row>
    <row r="317" spans="1:2" x14ac:dyDescent="0.2">
      <c r="A317" s="49" t="s">
        <v>729</v>
      </c>
      <c r="B317" s="57" t="s">
        <v>1404</v>
      </c>
    </row>
    <row r="318" spans="1:2" x14ac:dyDescent="0.2">
      <c r="A318" s="49" t="s">
        <v>750</v>
      </c>
      <c r="B318" s="57" t="s">
        <v>1405</v>
      </c>
    </row>
    <row r="319" spans="1:2" x14ac:dyDescent="0.2">
      <c r="A319" s="49" t="s">
        <v>1406</v>
      </c>
      <c r="B319" s="57" t="s">
        <v>1407</v>
      </c>
    </row>
    <row r="320" spans="1:2" x14ac:dyDescent="0.2">
      <c r="A320" s="49" t="s">
        <v>1408</v>
      </c>
      <c r="B320" s="57" t="s">
        <v>1409</v>
      </c>
    </row>
    <row r="321" spans="1:2" x14ac:dyDescent="0.2">
      <c r="A321" s="49" t="s">
        <v>743</v>
      </c>
      <c r="B321" s="57" t="s">
        <v>1410</v>
      </c>
    </row>
    <row r="322" spans="1:2" x14ac:dyDescent="0.2">
      <c r="A322" s="49" t="s">
        <v>1411</v>
      </c>
      <c r="B322" s="57" t="s">
        <v>1412</v>
      </c>
    </row>
    <row r="323" spans="1:2" x14ac:dyDescent="0.2">
      <c r="A323" s="49" t="s">
        <v>1413</v>
      </c>
      <c r="B323" s="57" t="s">
        <v>1414</v>
      </c>
    </row>
    <row r="324" spans="1:2" x14ac:dyDescent="0.2">
      <c r="A324" s="49" t="s">
        <v>1415</v>
      </c>
      <c r="B324" s="57" t="s">
        <v>1416</v>
      </c>
    </row>
    <row r="325" spans="1:2" x14ac:dyDescent="0.2">
      <c r="A325" s="49" t="s">
        <v>1417</v>
      </c>
      <c r="B325" s="57" t="s">
        <v>1418</v>
      </c>
    </row>
    <row r="326" spans="1:2" x14ac:dyDescent="0.2">
      <c r="A326" s="49" t="s">
        <v>1419</v>
      </c>
      <c r="B326" s="57" t="s">
        <v>1420</v>
      </c>
    </row>
    <row r="327" spans="1:2" x14ac:dyDescent="0.2">
      <c r="A327" s="49" t="s">
        <v>1421</v>
      </c>
      <c r="B327" s="58" t="s">
        <v>1422</v>
      </c>
    </row>
    <row r="328" spans="1:2" x14ac:dyDescent="0.2">
      <c r="A328" s="49" t="s">
        <v>1423</v>
      </c>
      <c r="B328" s="58" t="s">
        <v>1424</v>
      </c>
    </row>
    <row r="329" spans="1:2" x14ac:dyDescent="0.2">
      <c r="A329" s="49" t="s">
        <v>1425</v>
      </c>
      <c r="B329" s="58" t="s">
        <v>1426</v>
      </c>
    </row>
    <row r="330" spans="1:2" x14ac:dyDescent="0.2">
      <c r="A330" s="49" t="s">
        <v>719</v>
      </c>
      <c r="B330" s="58" t="s">
        <v>1427</v>
      </c>
    </row>
    <row r="331" spans="1:2" x14ac:dyDescent="0.2">
      <c r="A331" s="49" t="s">
        <v>1428</v>
      </c>
      <c r="B331" s="58" t="s">
        <v>1429</v>
      </c>
    </row>
    <row r="332" spans="1:2" x14ac:dyDescent="0.2">
      <c r="A332" s="49" t="s">
        <v>1430</v>
      </c>
      <c r="B332" s="58" t="s">
        <v>1431</v>
      </c>
    </row>
    <row r="333" spans="1:2" x14ac:dyDescent="0.2">
      <c r="A333" s="49" t="s">
        <v>1432</v>
      </c>
      <c r="B333" s="58" t="s">
        <v>1433</v>
      </c>
    </row>
    <row r="334" spans="1:2" x14ac:dyDescent="0.2">
      <c r="A334" s="49" t="s">
        <v>747</v>
      </c>
      <c r="B334" s="58" t="s">
        <v>1434</v>
      </c>
    </row>
    <row r="335" spans="1:2" x14ac:dyDescent="0.2">
      <c r="A335" s="49" t="s">
        <v>1435</v>
      </c>
      <c r="B335" s="58" t="s">
        <v>1436</v>
      </c>
    </row>
    <row r="336" spans="1:2" x14ac:dyDescent="0.2">
      <c r="A336" s="49" t="s">
        <v>1437</v>
      </c>
      <c r="B336" s="58" t="s">
        <v>1438</v>
      </c>
    </row>
    <row r="337" spans="1:2" x14ac:dyDescent="0.2">
      <c r="A337" s="49" t="s">
        <v>1439</v>
      </c>
      <c r="B337" s="58" t="s">
        <v>1440</v>
      </c>
    </row>
    <row r="338" spans="1:2" x14ac:dyDescent="0.2">
      <c r="A338" s="49" t="s">
        <v>1441</v>
      </c>
      <c r="B338" s="58" t="s">
        <v>1442</v>
      </c>
    </row>
    <row r="339" spans="1:2" x14ac:dyDescent="0.2">
      <c r="A339" s="49" t="s">
        <v>1443</v>
      </c>
      <c r="B339" s="58" t="s">
        <v>1444</v>
      </c>
    </row>
    <row r="340" spans="1:2" x14ac:dyDescent="0.2">
      <c r="A340" s="49" t="s">
        <v>1445</v>
      </c>
      <c r="B340" s="58" t="s">
        <v>1446</v>
      </c>
    </row>
    <row r="341" spans="1:2" x14ac:dyDescent="0.2">
      <c r="A341" s="49" t="s">
        <v>1447</v>
      </c>
      <c r="B341" s="58" t="s">
        <v>1448</v>
      </c>
    </row>
    <row r="342" spans="1:2" x14ac:dyDescent="0.2">
      <c r="A342" s="49" t="s">
        <v>730</v>
      </c>
      <c r="B342" s="58" t="s">
        <v>1449</v>
      </c>
    </row>
    <row r="343" spans="1:2" x14ac:dyDescent="0.2">
      <c r="A343" s="49" t="s">
        <v>1450</v>
      </c>
      <c r="B343" s="58" t="s">
        <v>1451</v>
      </c>
    </row>
    <row r="344" spans="1:2" x14ac:dyDescent="0.2">
      <c r="A344" s="49" t="s">
        <v>1452</v>
      </c>
      <c r="B344" s="58" t="s">
        <v>1453</v>
      </c>
    </row>
    <row r="345" spans="1:2" x14ac:dyDescent="0.2">
      <c r="A345" s="49" t="s">
        <v>755</v>
      </c>
      <c r="B345" s="58" t="s">
        <v>1454</v>
      </c>
    </row>
    <row r="346" spans="1:2" x14ac:dyDescent="0.2">
      <c r="A346" s="49" t="s">
        <v>1455</v>
      </c>
      <c r="B346" s="58" t="s">
        <v>1456</v>
      </c>
    </row>
    <row r="347" spans="1:2" x14ac:dyDescent="0.2">
      <c r="A347" s="49" t="s">
        <v>1457</v>
      </c>
      <c r="B347" s="58" t="s">
        <v>1458</v>
      </c>
    </row>
    <row r="348" spans="1:2" x14ac:dyDescent="0.2">
      <c r="A348" s="49" t="s">
        <v>1459</v>
      </c>
      <c r="B348" s="58" t="s">
        <v>1460</v>
      </c>
    </row>
    <row r="349" spans="1:2" x14ac:dyDescent="0.2">
      <c r="A349" s="49" t="s">
        <v>1461</v>
      </c>
      <c r="B349" s="58" t="s">
        <v>1462</v>
      </c>
    </row>
    <row r="350" spans="1:2" x14ac:dyDescent="0.2">
      <c r="A350" s="49" t="s">
        <v>1463</v>
      </c>
      <c r="B350" s="58" t="s">
        <v>1464</v>
      </c>
    </row>
    <row r="351" spans="1:2" x14ac:dyDescent="0.2">
      <c r="A351" s="49" t="s">
        <v>1465</v>
      </c>
      <c r="B351" s="58" t="s">
        <v>1466</v>
      </c>
    </row>
    <row r="352" spans="1:2" x14ac:dyDescent="0.2">
      <c r="A352" s="49" t="s">
        <v>724</v>
      </c>
      <c r="B352" s="58" t="s">
        <v>1467</v>
      </c>
    </row>
    <row r="353" spans="1:2" x14ac:dyDescent="0.2">
      <c r="A353" s="49" t="s">
        <v>1468</v>
      </c>
      <c r="B353" s="58" t="s">
        <v>1469</v>
      </c>
    </row>
    <row r="354" spans="1:2" x14ac:dyDescent="0.2">
      <c r="A354" s="49" t="s">
        <v>1470</v>
      </c>
      <c r="B354" s="58" t="s">
        <v>1471</v>
      </c>
    </row>
    <row r="355" spans="1:2" x14ac:dyDescent="0.2">
      <c r="A355" s="49" t="s">
        <v>1472</v>
      </c>
      <c r="B355" s="57" t="s">
        <v>1473</v>
      </c>
    </row>
    <row r="356" spans="1:2" ht="42.75" x14ac:dyDescent="0.2">
      <c r="A356" s="51" t="s">
        <v>704</v>
      </c>
      <c r="B356" s="58" t="s">
        <v>1474</v>
      </c>
    </row>
    <row r="357" spans="1:2" ht="142.5" x14ac:dyDescent="0.2">
      <c r="A357" s="51" t="s">
        <v>706</v>
      </c>
      <c r="B357" s="58" t="s">
        <v>1475</v>
      </c>
    </row>
    <row r="358" spans="1:2" ht="142.5" x14ac:dyDescent="0.2">
      <c r="A358" s="51" t="s">
        <v>717</v>
      </c>
      <c r="B358" s="58" t="s">
        <v>1476</v>
      </c>
    </row>
    <row r="359" spans="1:2" ht="30" x14ac:dyDescent="0.2">
      <c r="A359" s="49" t="s">
        <v>721</v>
      </c>
      <c r="B359" s="58" t="s">
        <v>1477</v>
      </c>
    </row>
    <row r="360" spans="1:2" ht="28.5" x14ac:dyDescent="0.2">
      <c r="A360" s="51" t="s">
        <v>725</v>
      </c>
      <c r="B360" s="58" t="s">
        <v>1478</v>
      </c>
    </row>
    <row r="361" spans="1:2" ht="30" x14ac:dyDescent="0.2">
      <c r="A361" s="49" t="s">
        <v>727</v>
      </c>
      <c r="B361" s="58" t="s">
        <v>1479</v>
      </c>
    </row>
    <row r="362" spans="1:2" ht="45" x14ac:dyDescent="0.2">
      <c r="A362" s="49" t="s">
        <v>733</v>
      </c>
      <c r="B362" s="58" t="s">
        <v>1480</v>
      </c>
    </row>
    <row r="363" spans="1:2" ht="30" x14ac:dyDescent="0.2">
      <c r="A363" s="49" t="s">
        <v>735</v>
      </c>
      <c r="B363" s="58" t="s">
        <v>1481</v>
      </c>
    </row>
    <row r="364" spans="1:2" ht="45" x14ac:dyDescent="0.2">
      <c r="A364" s="49" t="s">
        <v>739</v>
      </c>
      <c r="B364" s="58" t="s">
        <v>1482</v>
      </c>
    </row>
    <row r="365" spans="1:2" ht="85.5" x14ac:dyDescent="0.2">
      <c r="A365" s="51" t="s">
        <v>742</v>
      </c>
      <c r="B365" s="58" t="s">
        <v>1483</v>
      </c>
    </row>
    <row r="366" spans="1:2" ht="42.75" x14ac:dyDescent="0.2">
      <c r="A366" s="51" t="s">
        <v>744</v>
      </c>
      <c r="B366" s="58" t="s">
        <v>1484</v>
      </c>
    </row>
    <row r="367" spans="1:2" ht="30" x14ac:dyDescent="0.2">
      <c r="A367" s="49" t="s">
        <v>746</v>
      </c>
      <c r="B367" s="58" t="s">
        <v>1485</v>
      </c>
    </row>
    <row r="368" spans="1:2" ht="30" x14ac:dyDescent="0.2">
      <c r="A368" s="49" t="s">
        <v>748</v>
      </c>
      <c r="B368" s="58" t="s">
        <v>1486</v>
      </c>
    </row>
    <row r="369" spans="1:2" ht="42.75" x14ac:dyDescent="0.2">
      <c r="A369" s="51" t="s">
        <v>756</v>
      </c>
      <c r="B369" s="58" t="s">
        <v>1487</v>
      </c>
    </row>
    <row r="370" spans="1:2" ht="42.75" x14ac:dyDescent="0.2">
      <c r="A370" s="51" t="s">
        <v>757</v>
      </c>
      <c r="B370" s="58" t="s">
        <v>1488</v>
      </c>
    </row>
    <row r="371" spans="1:2" x14ac:dyDescent="0.2">
      <c r="A371" s="60" t="s">
        <v>1489</v>
      </c>
      <c r="B371" s="66" t="s">
        <v>1490</v>
      </c>
    </row>
    <row r="372" spans="1:2" x14ac:dyDescent="0.2">
      <c r="A372" s="60" t="s">
        <v>1491</v>
      </c>
      <c r="B372" s="66" t="s">
        <v>1492</v>
      </c>
    </row>
    <row r="373" spans="1:2" x14ac:dyDescent="0.2">
      <c r="A373" s="60" t="s">
        <v>1493</v>
      </c>
      <c r="B373" s="66" t="s">
        <v>1494</v>
      </c>
    </row>
    <row r="374" spans="1:2" x14ac:dyDescent="0.2">
      <c r="A374" s="60" t="s">
        <v>1495</v>
      </c>
      <c r="B374" s="66" t="s">
        <v>1496</v>
      </c>
    </row>
    <row r="375" spans="1:2" x14ac:dyDescent="0.2">
      <c r="A375" s="60" t="s">
        <v>1497</v>
      </c>
      <c r="B375" s="66" t="s">
        <v>1498</v>
      </c>
    </row>
    <row r="376" spans="1:2" x14ac:dyDescent="0.2">
      <c r="A376" s="60" t="s">
        <v>1499</v>
      </c>
      <c r="B376" s="66" t="s">
        <v>1500</v>
      </c>
    </row>
    <row r="377" spans="1:2" x14ac:dyDescent="0.2">
      <c r="A377" s="61" t="s">
        <v>1501</v>
      </c>
      <c r="B377" s="65" t="s">
        <v>1502</v>
      </c>
    </row>
    <row r="378" spans="1:2" x14ac:dyDescent="0.2">
      <c r="A378" s="60" t="s">
        <v>1503</v>
      </c>
      <c r="B378" s="66" t="s">
        <v>1504</v>
      </c>
    </row>
    <row r="379" spans="1:2" x14ac:dyDescent="0.2">
      <c r="A379" s="60" t="s">
        <v>1505</v>
      </c>
      <c r="B379" s="66" t="s">
        <v>1506</v>
      </c>
    </row>
    <row r="380" spans="1:2" x14ac:dyDescent="0.2">
      <c r="A380" s="60" t="s">
        <v>1507</v>
      </c>
      <c r="B380" s="66" t="s">
        <v>1508</v>
      </c>
    </row>
    <row r="381" spans="1:2" x14ac:dyDescent="0.2">
      <c r="A381" s="60" t="s">
        <v>1509</v>
      </c>
      <c r="B381" s="66" t="s">
        <v>1510</v>
      </c>
    </row>
    <row r="382" spans="1:2" x14ac:dyDescent="0.2">
      <c r="A382" s="60" t="s">
        <v>1511</v>
      </c>
      <c r="B382" s="66" t="s">
        <v>1512</v>
      </c>
    </row>
    <row r="383" spans="1:2" x14ac:dyDescent="0.2">
      <c r="A383" s="60" t="s">
        <v>1513</v>
      </c>
      <c r="B383" s="66" t="s">
        <v>1514</v>
      </c>
    </row>
    <row r="384" spans="1:2" x14ac:dyDescent="0.2">
      <c r="A384" s="60" t="s">
        <v>1515</v>
      </c>
      <c r="B384" s="66" t="s">
        <v>1516</v>
      </c>
    </row>
    <row r="385" spans="1:2" x14ac:dyDescent="0.2">
      <c r="A385" s="60" t="s">
        <v>1517</v>
      </c>
      <c r="B385" s="67" t="s">
        <v>1518</v>
      </c>
    </row>
    <row r="386" spans="1:2" x14ac:dyDescent="0.2">
      <c r="A386" s="60" t="s">
        <v>1519</v>
      </c>
      <c r="B386" s="66" t="s">
        <v>1516</v>
      </c>
    </row>
    <row r="387" spans="1:2" x14ac:dyDescent="0.2">
      <c r="A387" s="60" t="s">
        <v>1520</v>
      </c>
      <c r="B387" s="66" t="s">
        <v>1521</v>
      </c>
    </row>
    <row r="388" spans="1:2" x14ac:dyDescent="0.2">
      <c r="A388" s="60" t="s">
        <v>1522</v>
      </c>
      <c r="B388" s="66" t="s">
        <v>1523</v>
      </c>
    </row>
    <row r="389" spans="1:2" x14ac:dyDescent="0.2">
      <c r="A389" s="60" t="s">
        <v>1524</v>
      </c>
      <c r="B389" s="66" t="s">
        <v>1525</v>
      </c>
    </row>
    <row r="390" spans="1:2" x14ac:dyDescent="0.2">
      <c r="A390" s="60" t="s">
        <v>1526</v>
      </c>
      <c r="B390" s="66" t="s">
        <v>1527</v>
      </c>
    </row>
    <row r="391" spans="1:2" x14ac:dyDescent="0.2">
      <c r="A391" s="60" t="s">
        <v>864</v>
      </c>
      <c r="B391" s="66" t="s">
        <v>1528</v>
      </c>
    </row>
    <row r="392" spans="1:2" x14ac:dyDescent="0.2">
      <c r="A392" s="60" t="s">
        <v>1529</v>
      </c>
      <c r="B392" s="66" t="s">
        <v>1530</v>
      </c>
    </row>
    <row r="393" spans="1:2" x14ac:dyDescent="0.2">
      <c r="A393" s="60" t="s">
        <v>1531</v>
      </c>
      <c r="B393" s="66" t="s">
        <v>1532</v>
      </c>
    </row>
    <row r="394" spans="1:2" x14ac:dyDescent="0.2">
      <c r="A394" s="60" t="s">
        <v>1533</v>
      </c>
      <c r="B394" s="66" t="s">
        <v>1534</v>
      </c>
    </row>
    <row r="395" spans="1:2" x14ac:dyDescent="0.2">
      <c r="A395" s="60" t="s">
        <v>1535</v>
      </c>
      <c r="B395" s="66" t="s">
        <v>1536</v>
      </c>
    </row>
    <row r="396" spans="1:2" x14ac:dyDescent="0.2">
      <c r="A396" s="60" t="s">
        <v>1537</v>
      </c>
      <c r="B396" s="66" t="s">
        <v>1538</v>
      </c>
    </row>
    <row r="397" spans="1:2" x14ac:dyDescent="0.2">
      <c r="A397" s="60" t="s">
        <v>1539</v>
      </c>
      <c r="B397" s="66" t="s">
        <v>1540</v>
      </c>
    </row>
    <row r="398" spans="1:2" x14ac:dyDescent="0.2">
      <c r="A398" s="60" t="s">
        <v>1541</v>
      </c>
      <c r="B398" s="67" t="s">
        <v>1542</v>
      </c>
    </row>
    <row r="399" spans="1:2" x14ac:dyDescent="0.2">
      <c r="A399" s="60" t="s">
        <v>1543</v>
      </c>
      <c r="B399" s="66" t="s">
        <v>1544</v>
      </c>
    </row>
    <row r="400" spans="1:2" x14ac:dyDescent="0.2">
      <c r="A400" s="60" t="s">
        <v>1545</v>
      </c>
      <c r="B400" s="66" t="s">
        <v>1546</v>
      </c>
    </row>
    <row r="401" spans="1:2" x14ac:dyDescent="0.2">
      <c r="A401" s="60" t="s">
        <v>1547</v>
      </c>
      <c r="B401" s="66" t="s">
        <v>1548</v>
      </c>
    </row>
    <row r="402" spans="1:2" x14ac:dyDescent="0.2">
      <c r="A402" s="60" t="s">
        <v>1549</v>
      </c>
      <c r="B402" s="66" t="s">
        <v>1516</v>
      </c>
    </row>
    <row r="403" spans="1:2" x14ac:dyDescent="0.2">
      <c r="A403" s="60" t="s">
        <v>1550</v>
      </c>
      <c r="B403" s="67" t="s">
        <v>1551</v>
      </c>
    </row>
    <row r="404" spans="1:2" x14ac:dyDescent="0.2">
      <c r="A404" s="60" t="s">
        <v>1552</v>
      </c>
      <c r="B404" s="66" t="s">
        <v>1553</v>
      </c>
    </row>
    <row r="405" spans="1:2" x14ac:dyDescent="0.2">
      <c r="A405" s="61" t="s">
        <v>1554</v>
      </c>
      <c r="B405" s="65" t="s">
        <v>1555</v>
      </c>
    </row>
    <row r="406" spans="1:2" x14ac:dyDescent="0.2">
      <c r="A406" s="60" t="s">
        <v>1556</v>
      </c>
      <c r="B406" s="66" t="s">
        <v>1557</v>
      </c>
    </row>
    <row r="407" spans="1:2" x14ac:dyDescent="0.2">
      <c r="A407" s="60" t="s">
        <v>1558</v>
      </c>
      <c r="B407" s="66" t="s">
        <v>1559</v>
      </c>
    </row>
    <row r="408" spans="1:2" x14ac:dyDescent="0.2">
      <c r="A408" s="60" t="s">
        <v>1560</v>
      </c>
      <c r="B408" s="66" t="s">
        <v>1561</v>
      </c>
    </row>
    <row r="409" spans="1:2" x14ac:dyDescent="0.2">
      <c r="A409" s="60" t="s">
        <v>1562</v>
      </c>
      <c r="B409" s="66" t="s">
        <v>1563</v>
      </c>
    </row>
    <row r="410" spans="1:2" x14ac:dyDescent="0.2">
      <c r="A410" s="60" t="s">
        <v>1564</v>
      </c>
      <c r="B410" s="66" t="s">
        <v>1565</v>
      </c>
    </row>
    <row r="411" spans="1:2" x14ac:dyDescent="0.2">
      <c r="A411" s="60" t="s">
        <v>1566</v>
      </c>
      <c r="B411" s="66" t="s">
        <v>1567</v>
      </c>
    </row>
    <row r="412" spans="1:2" x14ac:dyDescent="0.2">
      <c r="A412" s="60" t="s">
        <v>1568</v>
      </c>
      <c r="B412" s="66" t="s">
        <v>1569</v>
      </c>
    </row>
    <row r="413" spans="1:2" x14ac:dyDescent="0.2">
      <c r="A413" s="60" t="s">
        <v>1570</v>
      </c>
      <c r="B413" s="66" t="s">
        <v>1571</v>
      </c>
    </row>
    <row r="414" spans="1:2" x14ac:dyDescent="0.2">
      <c r="A414" s="60" t="s">
        <v>1572</v>
      </c>
      <c r="B414" s="66" t="s">
        <v>1573</v>
      </c>
    </row>
    <row r="415" spans="1:2" x14ac:dyDescent="0.2">
      <c r="A415" s="60" t="s">
        <v>1574</v>
      </c>
      <c r="B415" s="66" t="s">
        <v>1575</v>
      </c>
    </row>
    <row r="416" spans="1:2" x14ac:dyDescent="0.2">
      <c r="A416" s="60" t="s">
        <v>1576</v>
      </c>
      <c r="B416" s="66" t="s">
        <v>1577</v>
      </c>
    </row>
    <row r="417" spans="1:2" x14ac:dyDescent="0.2">
      <c r="A417" s="60" t="s">
        <v>1578</v>
      </c>
      <c r="B417" s="66" t="s">
        <v>1579</v>
      </c>
    </row>
    <row r="418" spans="1:2" x14ac:dyDescent="0.2">
      <c r="A418" s="60" t="s">
        <v>1580</v>
      </c>
      <c r="B418" s="66" t="s">
        <v>1581</v>
      </c>
    </row>
    <row r="419" spans="1:2" x14ac:dyDescent="0.2">
      <c r="A419" s="60" t="s">
        <v>1582</v>
      </c>
      <c r="B419" s="66" t="s">
        <v>1583</v>
      </c>
    </row>
    <row r="420" spans="1:2" x14ac:dyDescent="0.2">
      <c r="A420" s="60" t="s">
        <v>1584</v>
      </c>
      <c r="B420" s="67" t="s">
        <v>1585</v>
      </c>
    </row>
    <row r="421" spans="1:2" x14ac:dyDescent="0.2">
      <c r="A421" s="60" t="s">
        <v>1586</v>
      </c>
      <c r="B421" s="66" t="s">
        <v>1587</v>
      </c>
    </row>
    <row r="422" spans="1:2" x14ac:dyDescent="0.2">
      <c r="A422" s="60" t="s">
        <v>1588</v>
      </c>
      <c r="B422" s="66" t="s">
        <v>1589</v>
      </c>
    </row>
    <row r="423" spans="1:2" x14ac:dyDescent="0.2">
      <c r="A423" s="60" t="s">
        <v>1590</v>
      </c>
      <c r="B423" s="66" t="s">
        <v>1516</v>
      </c>
    </row>
    <row r="424" spans="1:2" x14ac:dyDescent="0.2">
      <c r="A424" s="60" t="s">
        <v>1591</v>
      </c>
      <c r="B424" s="66" t="s">
        <v>1592</v>
      </c>
    </row>
    <row r="425" spans="1:2" x14ac:dyDescent="0.2">
      <c r="A425" s="60" t="s">
        <v>1593</v>
      </c>
      <c r="B425" s="66" t="s">
        <v>1594</v>
      </c>
    </row>
    <row r="426" spans="1:2" x14ac:dyDescent="0.2">
      <c r="A426" s="60" t="s">
        <v>1595</v>
      </c>
      <c r="B426" s="66" t="s">
        <v>1596</v>
      </c>
    </row>
    <row r="427" spans="1:2" x14ac:dyDescent="0.2">
      <c r="A427" s="60" t="s">
        <v>1597</v>
      </c>
      <c r="B427" s="66" t="s">
        <v>1598</v>
      </c>
    </row>
    <row r="428" spans="1:2" x14ac:dyDescent="0.2">
      <c r="A428" s="60" t="s">
        <v>1599</v>
      </c>
      <c r="B428" s="66" t="s">
        <v>1600</v>
      </c>
    </row>
    <row r="429" spans="1:2" x14ac:dyDescent="0.2">
      <c r="A429" s="60" t="s">
        <v>1601</v>
      </c>
      <c r="B429" s="67" t="s">
        <v>1602</v>
      </c>
    </row>
    <row r="430" spans="1:2" x14ac:dyDescent="0.2">
      <c r="A430" s="60" t="s">
        <v>1603</v>
      </c>
      <c r="B430" s="66" t="s">
        <v>1604</v>
      </c>
    </row>
    <row r="431" spans="1:2" x14ac:dyDescent="0.2">
      <c r="A431" s="60" t="s">
        <v>1605</v>
      </c>
      <c r="B431" s="66" t="s">
        <v>1606</v>
      </c>
    </row>
    <row r="432" spans="1:2" x14ac:dyDescent="0.2">
      <c r="A432" s="60" t="s">
        <v>1607</v>
      </c>
      <c r="B432" s="66" t="s">
        <v>1608</v>
      </c>
    </row>
    <row r="433" spans="1:2" x14ac:dyDescent="0.2">
      <c r="A433" s="60" t="s">
        <v>1609</v>
      </c>
      <c r="B433" s="66" t="s">
        <v>1610</v>
      </c>
    </row>
    <row r="434" spans="1:2" x14ac:dyDescent="0.2">
      <c r="A434" s="60" t="s">
        <v>1611</v>
      </c>
      <c r="B434" s="66" t="s">
        <v>1612</v>
      </c>
    </row>
    <row r="435" spans="1:2" x14ac:dyDescent="0.2">
      <c r="A435" s="60" t="s">
        <v>1613</v>
      </c>
      <c r="B435" s="66" t="s">
        <v>1614</v>
      </c>
    </row>
    <row r="436" spans="1:2" x14ac:dyDescent="0.2">
      <c r="A436" s="60" t="s">
        <v>1615</v>
      </c>
      <c r="B436" s="66" t="s">
        <v>1616</v>
      </c>
    </row>
    <row r="437" spans="1:2" x14ac:dyDescent="0.2">
      <c r="A437" s="60" t="s">
        <v>1617</v>
      </c>
      <c r="B437" s="66" t="s">
        <v>1618</v>
      </c>
    </row>
    <row r="438" spans="1:2" x14ac:dyDescent="0.2">
      <c r="A438" s="60" t="s">
        <v>1619</v>
      </c>
      <c r="B438" s="66" t="s">
        <v>1620</v>
      </c>
    </row>
    <row r="439" spans="1:2" x14ac:dyDescent="0.2">
      <c r="A439" s="60" t="s">
        <v>1621</v>
      </c>
      <c r="B439" s="66" t="s">
        <v>1622</v>
      </c>
    </row>
    <row r="440" spans="1:2" x14ac:dyDescent="0.2">
      <c r="A440" s="60" t="s">
        <v>1623</v>
      </c>
      <c r="B440" s="67" t="s">
        <v>1624</v>
      </c>
    </row>
    <row r="441" spans="1:2" x14ac:dyDescent="0.2">
      <c r="A441" s="60" t="s">
        <v>1625</v>
      </c>
      <c r="B441" s="66" t="s">
        <v>1626</v>
      </c>
    </row>
    <row r="442" spans="1:2" x14ac:dyDescent="0.2">
      <c r="A442" s="60" t="s">
        <v>1627</v>
      </c>
      <c r="B442" s="66" t="s">
        <v>1628</v>
      </c>
    </row>
    <row r="443" spans="1:2" x14ac:dyDescent="0.2">
      <c r="A443" s="60" t="s">
        <v>1629</v>
      </c>
      <c r="B443" s="66" t="s">
        <v>1630</v>
      </c>
    </row>
    <row r="444" spans="1:2" x14ac:dyDescent="0.2">
      <c r="A444" s="60" t="s">
        <v>1631</v>
      </c>
      <c r="B444" s="66" t="s">
        <v>1516</v>
      </c>
    </row>
    <row r="445" spans="1:2" x14ac:dyDescent="0.2">
      <c r="A445" s="60" t="s">
        <v>1632</v>
      </c>
      <c r="B445" s="66" t="s">
        <v>1633</v>
      </c>
    </row>
    <row r="446" spans="1:2" x14ac:dyDescent="0.2">
      <c r="A446" s="60" t="s">
        <v>1634</v>
      </c>
      <c r="B446" s="66" t="s">
        <v>1635</v>
      </c>
    </row>
    <row r="447" spans="1:2" x14ac:dyDescent="0.2">
      <c r="A447" s="60" t="s">
        <v>1636</v>
      </c>
      <c r="B447" s="66" t="s">
        <v>1637</v>
      </c>
    </row>
    <row r="448" spans="1:2" x14ac:dyDescent="0.2">
      <c r="A448" s="60" t="s">
        <v>1638</v>
      </c>
      <c r="B448" s="66" t="s">
        <v>1639</v>
      </c>
    </row>
    <row r="449" spans="1:2" x14ac:dyDescent="0.2">
      <c r="A449" s="60" t="s">
        <v>1640</v>
      </c>
      <c r="B449" s="67" t="s">
        <v>1641</v>
      </c>
    </row>
    <row r="450" spans="1:2" x14ac:dyDescent="0.2">
      <c r="A450" s="60" t="s">
        <v>1642</v>
      </c>
      <c r="B450" s="66" t="s">
        <v>1643</v>
      </c>
    </row>
    <row r="451" spans="1:2" x14ac:dyDescent="0.2">
      <c r="A451" s="60" t="s">
        <v>1644</v>
      </c>
      <c r="B451" s="66" t="s">
        <v>1645</v>
      </c>
    </row>
    <row r="452" spans="1:2" x14ac:dyDescent="0.2">
      <c r="A452" s="60" t="s">
        <v>1646</v>
      </c>
      <c r="B452" s="66" t="s">
        <v>1647</v>
      </c>
    </row>
    <row r="453" spans="1:2" x14ac:dyDescent="0.2">
      <c r="A453" s="60" t="s">
        <v>1648</v>
      </c>
      <c r="B453" s="67" t="s">
        <v>1649</v>
      </c>
    </row>
    <row r="454" spans="1:2" x14ac:dyDescent="0.2">
      <c r="A454" s="60" t="s">
        <v>1650</v>
      </c>
      <c r="B454" s="67" t="s">
        <v>1651</v>
      </c>
    </row>
    <row r="455" spans="1:2" x14ac:dyDescent="0.2">
      <c r="A455" s="60" t="s">
        <v>1652</v>
      </c>
      <c r="B455" s="66" t="s">
        <v>1653</v>
      </c>
    </row>
    <row r="456" spans="1:2" x14ac:dyDescent="0.2">
      <c r="A456" s="60" t="s">
        <v>1654</v>
      </c>
      <c r="B456" s="66" t="s">
        <v>1655</v>
      </c>
    </row>
    <row r="457" spans="1:2" x14ac:dyDescent="0.2">
      <c r="A457" s="60" t="s">
        <v>1656</v>
      </c>
      <c r="B457" s="66" t="s">
        <v>1657</v>
      </c>
    </row>
    <row r="458" spans="1:2" x14ac:dyDescent="0.2">
      <c r="A458" s="64" t="s">
        <v>838</v>
      </c>
      <c r="B458" s="63" t="s">
        <v>1658</v>
      </c>
    </row>
    <row r="459" spans="1:2" x14ac:dyDescent="0.2">
      <c r="A459" s="60" t="s">
        <v>1659</v>
      </c>
      <c r="B459" s="66" t="s">
        <v>1660</v>
      </c>
    </row>
    <row r="460" spans="1:2" x14ac:dyDescent="0.2">
      <c r="A460" s="60" t="s">
        <v>1661</v>
      </c>
      <c r="B460" s="66" t="s">
        <v>1662</v>
      </c>
    </row>
    <row r="461" spans="1:2" x14ac:dyDescent="0.2">
      <c r="A461" s="60" t="s">
        <v>1663</v>
      </c>
      <c r="B461" s="66" t="s">
        <v>1664</v>
      </c>
    </row>
    <row r="462" spans="1:2" x14ac:dyDescent="0.2">
      <c r="A462" s="60" t="s">
        <v>1665</v>
      </c>
      <c r="B462" s="66" t="s">
        <v>1666</v>
      </c>
    </row>
    <row r="463" spans="1:2" x14ac:dyDescent="0.2">
      <c r="A463" s="60" t="s">
        <v>1667</v>
      </c>
      <c r="B463" s="66" t="s">
        <v>1668</v>
      </c>
    </row>
    <row r="464" spans="1:2" x14ac:dyDescent="0.2">
      <c r="A464" s="60" t="s">
        <v>1669</v>
      </c>
      <c r="B464" s="66" t="s">
        <v>1670</v>
      </c>
    </row>
    <row r="465" spans="1:2" x14ac:dyDescent="0.2">
      <c r="A465" s="60" t="s">
        <v>1671</v>
      </c>
      <c r="B465" s="66" t="s">
        <v>1672</v>
      </c>
    </row>
    <row r="466" spans="1:2" x14ac:dyDescent="0.2">
      <c r="A466" s="60" t="s">
        <v>1673</v>
      </c>
      <c r="B466" s="66" t="s">
        <v>1674</v>
      </c>
    </row>
    <row r="467" spans="1:2" x14ac:dyDescent="0.2">
      <c r="A467" s="60" t="s">
        <v>1675</v>
      </c>
      <c r="B467" s="66" t="s">
        <v>1676</v>
      </c>
    </row>
    <row r="468" spans="1:2" x14ac:dyDescent="0.2">
      <c r="A468" s="60" t="s">
        <v>1677</v>
      </c>
      <c r="B468" s="66" t="s">
        <v>1678</v>
      </c>
    </row>
    <row r="469" spans="1:2" x14ac:dyDescent="0.2">
      <c r="A469" s="60" t="s">
        <v>1679</v>
      </c>
      <c r="B469" s="66" t="s">
        <v>1680</v>
      </c>
    </row>
    <row r="470" spans="1:2" x14ac:dyDescent="0.2">
      <c r="A470" s="60" t="s">
        <v>1681</v>
      </c>
      <c r="B470" s="66" t="s">
        <v>1682</v>
      </c>
    </row>
    <row r="471" spans="1:2" x14ac:dyDescent="0.2">
      <c r="A471" s="60" t="s">
        <v>1683</v>
      </c>
      <c r="B471" s="66" t="s">
        <v>1684</v>
      </c>
    </row>
    <row r="472" spans="1:2" x14ac:dyDescent="0.2">
      <c r="A472" s="60" t="s">
        <v>1685</v>
      </c>
      <c r="B472" s="66" t="s">
        <v>1686</v>
      </c>
    </row>
    <row r="473" spans="1:2" x14ac:dyDescent="0.2">
      <c r="A473" s="60" t="s">
        <v>1687</v>
      </c>
      <c r="B473" s="66" t="s">
        <v>1688</v>
      </c>
    </row>
    <row r="474" spans="1:2" x14ac:dyDescent="0.2">
      <c r="A474" s="60" t="s">
        <v>1689</v>
      </c>
      <c r="B474" s="67" t="s">
        <v>1690</v>
      </c>
    </row>
    <row r="475" spans="1:2" x14ac:dyDescent="0.2">
      <c r="A475" s="60" t="s">
        <v>1691</v>
      </c>
      <c r="B475" s="66" t="s">
        <v>1692</v>
      </c>
    </row>
    <row r="476" spans="1:2" x14ac:dyDescent="0.2">
      <c r="A476" s="60" t="s">
        <v>1693</v>
      </c>
      <c r="B476" s="66" t="s">
        <v>1694</v>
      </c>
    </row>
    <row r="477" spans="1:2" x14ac:dyDescent="0.2">
      <c r="A477" s="60" t="s">
        <v>1695</v>
      </c>
      <c r="B477" s="66" t="s">
        <v>1696</v>
      </c>
    </row>
    <row r="478" spans="1:2" x14ac:dyDescent="0.2">
      <c r="A478" s="60" t="s">
        <v>1697</v>
      </c>
      <c r="B478" s="66" t="s">
        <v>1698</v>
      </c>
    </row>
    <row r="479" spans="1:2" x14ac:dyDescent="0.2">
      <c r="A479" s="60" t="s">
        <v>1699</v>
      </c>
      <c r="B479" s="66" t="s">
        <v>1700</v>
      </c>
    </row>
    <row r="480" spans="1:2" x14ac:dyDescent="0.2">
      <c r="A480" s="60" t="s">
        <v>1701</v>
      </c>
      <c r="B480" s="66" t="s">
        <v>1702</v>
      </c>
    </row>
    <row r="481" spans="1:2" x14ac:dyDescent="0.2">
      <c r="A481" s="60" t="s">
        <v>1703</v>
      </c>
      <c r="B481" s="66" t="s">
        <v>1704</v>
      </c>
    </row>
    <row r="482" spans="1:2" x14ac:dyDescent="0.2">
      <c r="A482" s="60" t="s">
        <v>1705</v>
      </c>
      <c r="B482" s="66" t="s">
        <v>1706</v>
      </c>
    </row>
    <row r="483" spans="1:2" x14ac:dyDescent="0.2">
      <c r="A483" s="60" t="s">
        <v>1707</v>
      </c>
      <c r="B483" s="66" t="s">
        <v>1708</v>
      </c>
    </row>
    <row r="484" spans="1:2" x14ac:dyDescent="0.2">
      <c r="A484" s="60" t="s">
        <v>1709</v>
      </c>
      <c r="B484" s="66" t="s">
        <v>1710</v>
      </c>
    </row>
    <row r="485" spans="1:2" x14ac:dyDescent="0.2">
      <c r="A485" s="60" t="s">
        <v>1711</v>
      </c>
      <c r="B485" s="66" t="s">
        <v>1712</v>
      </c>
    </row>
    <row r="486" spans="1:2" x14ac:dyDescent="0.2">
      <c r="A486" s="60" t="s">
        <v>1713</v>
      </c>
      <c r="B486" s="66" t="s">
        <v>1714</v>
      </c>
    </row>
    <row r="487" spans="1:2" x14ac:dyDescent="0.2">
      <c r="A487" s="60" t="s">
        <v>1715</v>
      </c>
      <c r="B487" s="66" t="s">
        <v>1716</v>
      </c>
    </row>
    <row r="488" spans="1:2" x14ac:dyDescent="0.2">
      <c r="A488" s="60" t="s">
        <v>1717</v>
      </c>
      <c r="B488" s="66" t="s">
        <v>1718</v>
      </c>
    </row>
    <row r="489" spans="1:2" x14ac:dyDescent="0.2">
      <c r="A489" s="60" t="s">
        <v>1719</v>
      </c>
      <c r="B489" s="67" t="s">
        <v>1720</v>
      </c>
    </row>
    <row r="490" spans="1:2" x14ac:dyDescent="0.2">
      <c r="A490" s="60" t="s">
        <v>1721</v>
      </c>
      <c r="B490" s="66" t="s">
        <v>1722</v>
      </c>
    </row>
    <row r="491" spans="1:2" x14ac:dyDescent="0.2">
      <c r="A491" s="60" t="s">
        <v>1723</v>
      </c>
      <c r="B491" s="66" t="s">
        <v>1724</v>
      </c>
    </row>
    <row r="492" spans="1:2" x14ac:dyDescent="0.2">
      <c r="A492" s="60" t="s">
        <v>1725</v>
      </c>
      <c r="B492" s="66" t="s">
        <v>1726</v>
      </c>
    </row>
    <row r="493" spans="1:2" x14ac:dyDescent="0.2">
      <c r="A493" s="60" t="s">
        <v>1727</v>
      </c>
      <c r="B493" s="66" t="s">
        <v>1728</v>
      </c>
    </row>
    <row r="494" spans="1:2" x14ac:dyDescent="0.2">
      <c r="A494" s="60" t="s">
        <v>1729</v>
      </c>
      <c r="B494" s="66" t="s">
        <v>1730</v>
      </c>
    </row>
    <row r="495" spans="1:2" x14ac:dyDescent="0.2">
      <c r="A495" s="60" t="s">
        <v>1731</v>
      </c>
      <c r="B495" s="66" t="s">
        <v>1516</v>
      </c>
    </row>
    <row r="496" spans="1:2" x14ac:dyDescent="0.2">
      <c r="A496" s="60" t="s">
        <v>1732</v>
      </c>
      <c r="B496" s="66" t="s">
        <v>1733</v>
      </c>
    </row>
    <row r="497" spans="1:2" x14ac:dyDescent="0.2">
      <c r="A497" s="60" t="s">
        <v>1734</v>
      </c>
      <c r="B497" s="66" t="s">
        <v>1735</v>
      </c>
    </row>
    <row r="498" spans="1:2" x14ac:dyDescent="0.2">
      <c r="A498" s="60" t="s">
        <v>1736</v>
      </c>
      <c r="B498" s="66" t="s">
        <v>1737</v>
      </c>
    </row>
    <row r="499" spans="1:2" x14ac:dyDescent="0.2">
      <c r="A499" s="60" t="s">
        <v>1738</v>
      </c>
      <c r="B499" s="66" t="s">
        <v>1739</v>
      </c>
    </row>
    <row r="500" spans="1:2" x14ac:dyDescent="0.2">
      <c r="A500" s="60" t="s">
        <v>1740</v>
      </c>
      <c r="B500" s="66" t="s">
        <v>1741</v>
      </c>
    </row>
    <row r="501" spans="1:2" x14ac:dyDescent="0.2">
      <c r="A501" s="60" t="s">
        <v>1742</v>
      </c>
      <c r="B501" s="66" t="s">
        <v>1743</v>
      </c>
    </row>
    <row r="502" spans="1:2" x14ac:dyDescent="0.2">
      <c r="A502" s="60" t="s">
        <v>1744</v>
      </c>
      <c r="B502" s="66" t="s">
        <v>1745</v>
      </c>
    </row>
    <row r="503" spans="1:2" x14ac:dyDescent="0.2">
      <c r="A503" s="60" t="s">
        <v>1746</v>
      </c>
      <c r="B503" s="66" t="s">
        <v>1747</v>
      </c>
    </row>
    <row r="504" spans="1:2" x14ac:dyDescent="0.2">
      <c r="A504" s="60" t="s">
        <v>1748</v>
      </c>
      <c r="B504" s="66" t="s">
        <v>1749</v>
      </c>
    </row>
    <row r="505" spans="1:2" x14ac:dyDescent="0.2">
      <c r="A505" s="60" t="s">
        <v>1750</v>
      </c>
      <c r="B505" s="66" t="s">
        <v>1751</v>
      </c>
    </row>
    <row r="506" spans="1:2" x14ac:dyDescent="0.2">
      <c r="A506" s="60" t="s">
        <v>1752</v>
      </c>
      <c r="B506" s="66" t="s">
        <v>1753</v>
      </c>
    </row>
    <row r="507" spans="1:2" x14ac:dyDescent="0.2">
      <c r="A507" s="60" t="s">
        <v>1754</v>
      </c>
      <c r="B507" s="66" t="s">
        <v>1755</v>
      </c>
    </row>
    <row r="508" spans="1:2" x14ac:dyDescent="0.2">
      <c r="A508" s="60" t="s">
        <v>1756</v>
      </c>
      <c r="B508" s="66" t="s">
        <v>1757</v>
      </c>
    </row>
    <row r="509" spans="1:2" x14ac:dyDescent="0.2">
      <c r="A509" s="60" t="s">
        <v>1758</v>
      </c>
      <c r="B509" s="66" t="s">
        <v>1759</v>
      </c>
    </row>
    <row r="510" spans="1:2" x14ac:dyDescent="0.2">
      <c r="A510" s="60" t="s">
        <v>1760</v>
      </c>
      <c r="B510" s="66" t="s">
        <v>1761</v>
      </c>
    </row>
    <row r="511" spans="1:2" x14ac:dyDescent="0.2">
      <c r="A511" s="60" t="s">
        <v>1762</v>
      </c>
      <c r="B511" s="66" t="s">
        <v>1516</v>
      </c>
    </row>
    <row r="512" spans="1:2" x14ac:dyDescent="0.2">
      <c r="A512" s="60" t="s">
        <v>1763</v>
      </c>
      <c r="B512" s="66" t="s">
        <v>1764</v>
      </c>
    </row>
    <row r="513" spans="1:2" x14ac:dyDescent="0.2">
      <c r="A513" s="60" t="s">
        <v>1765</v>
      </c>
      <c r="B513" s="66" t="s">
        <v>1516</v>
      </c>
    </row>
    <row r="514" spans="1:2" x14ac:dyDescent="0.2">
      <c r="A514" s="60" t="s">
        <v>1766</v>
      </c>
      <c r="B514" s="66" t="s">
        <v>1516</v>
      </c>
    </row>
    <row r="515" spans="1:2" x14ac:dyDescent="0.2">
      <c r="A515" s="60" t="s">
        <v>1767</v>
      </c>
      <c r="B515" s="66" t="s">
        <v>1768</v>
      </c>
    </row>
    <row r="516" spans="1:2" x14ac:dyDescent="0.2">
      <c r="A516" s="60" t="s">
        <v>1769</v>
      </c>
      <c r="B516" s="66" t="s">
        <v>1770</v>
      </c>
    </row>
    <row r="517" spans="1:2" x14ac:dyDescent="0.2">
      <c r="A517" s="60" t="s">
        <v>1771</v>
      </c>
      <c r="B517" s="66" t="s">
        <v>1772</v>
      </c>
    </row>
    <row r="518" spans="1:2" x14ac:dyDescent="0.2">
      <c r="A518" s="60" t="s">
        <v>1773</v>
      </c>
      <c r="B518" s="66" t="s">
        <v>1774</v>
      </c>
    </row>
    <row r="519" spans="1:2" x14ac:dyDescent="0.2">
      <c r="A519" s="60" t="s">
        <v>1775</v>
      </c>
      <c r="B519" s="66" t="s">
        <v>1776</v>
      </c>
    </row>
    <row r="520" spans="1:2" x14ac:dyDescent="0.2">
      <c r="A520" s="60" t="s">
        <v>1777</v>
      </c>
      <c r="B520" s="66" t="s">
        <v>1778</v>
      </c>
    </row>
    <row r="521" spans="1:2" x14ac:dyDescent="0.2">
      <c r="A521" s="60" t="s">
        <v>1779</v>
      </c>
      <c r="B521" s="66" t="s">
        <v>1780</v>
      </c>
    </row>
    <row r="522" spans="1:2" x14ac:dyDescent="0.2">
      <c r="A522" s="60" t="s">
        <v>1781</v>
      </c>
      <c r="B522" s="66" t="s">
        <v>1782</v>
      </c>
    </row>
    <row r="523" spans="1:2" x14ac:dyDescent="0.2">
      <c r="A523" s="60" t="s">
        <v>1783</v>
      </c>
      <c r="B523" s="66" t="s">
        <v>1784</v>
      </c>
    </row>
    <row r="524" spans="1:2" x14ac:dyDescent="0.2">
      <c r="A524" s="60" t="s">
        <v>1785</v>
      </c>
      <c r="B524" s="66" t="s">
        <v>1786</v>
      </c>
    </row>
    <row r="525" spans="1:2" x14ac:dyDescent="0.2">
      <c r="A525" s="60" t="s">
        <v>1787</v>
      </c>
      <c r="B525" s="66" t="s">
        <v>1788</v>
      </c>
    </row>
    <row r="526" spans="1:2" x14ac:dyDescent="0.2">
      <c r="A526" s="60" t="s">
        <v>1789</v>
      </c>
      <c r="B526" s="66" t="s">
        <v>1790</v>
      </c>
    </row>
    <row r="527" spans="1:2" x14ac:dyDescent="0.2">
      <c r="A527" s="60" t="s">
        <v>1791</v>
      </c>
      <c r="B527" s="66" t="s">
        <v>1792</v>
      </c>
    </row>
    <row r="528" spans="1:2" x14ac:dyDescent="0.2">
      <c r="A528" s="60" t="s">
        <v>1793</v>
      </c>
      <c r="B528" s="66" t="s">
        <v>1794</v>
      </c>
    </row>
    <row r="529" spans="1:2" x14ac:dyDescent="0.2">
      <c r="A529" s="60" t="s">
        <v>1795</v>
      </c>
      <c r="B529" s="66" t="s">
        <v>1516</v>
      </c>
    </row>
    <row r="530" spans="1:2" x14ac:dyDescent="0.2">
      <c r="A530" s="60" t="s">
        <v>1796</v>
      </c>
      <c r="B530" s="66" t="s">
        <v>1797</v>
      </c>
    </row>
    <row r="531" spans="1:2" x14ac:dyDescent="0.2">
      <c r="A531" s="60" t="s">
        <v>1798</v>
      </c>
      <c r="B531" s="67" t="s">
        <v>1799</v>
      </c>
    </row>
    <row r="532" spans="1:2" x14ac:dyDescent="0.2">
      <c r="A532" s="60" t="s">
        <v>1800</v>
      </c>
      <c r="B532" s="67" t="s">
        <v>1801</v>
      </c>
    </row>
    <row r="533" spans="1:2" x14ac:dyDescent="0.2">
      <c r="A533" s="60" t="s">
        <v>1802</v>
      </c>
      <c r="B533" s="66" t="s">
        <v>1803</v>
      </c>
    </row>
    <row r="534" spans="1:2" x14ac:dyDescent="0.2">
      <c r="A534" s="60" t="s">
        <v>1804</v>
      </c>
      <c r="B534" s="66" t="s">
        <v>1805</v>
      </c>
    </row>
    <row r="535" spans="1:2" x14ac:dyDescent="0.2">
      <c r="A535" s="60" t="s">
        <v>1806</v>
      </c>
      <c r="B535" s="66" t="s">
        <v>1807</v>
      </c>
    </row>
    <row r="536" spans="1:2" x14ac:dyDescent="0.2">
      <c r="A536" s="60" t="s">
        <v>1808</v>
      </c>
      <c r="B536" s="66" t="s">
        <v>1809</v>
      </c>
    </row>
    <row r="537" spans="1:2" x14ac:dyDescent="0.2">
      <c r="A537" s="60" t="s">
        <v>1810</v>
      </c>
      <c r="B537" s="66" t="s">
        <v>1516</v>
      </c>
    </row>
    <row r="538" spans="1:2" x14ac:dyDescent="0.2">
      <c r="A538" s="60" t="s">
        <v>1811</v>
      </c>
      <c r="B538" s="66" t="s">
        <v>1516</v>
      </c>
    </row>
    <row r="539" spans="1:2" x14ac:dyDescent="0.2">
      <c r="A539" s="60" t="s">
        <v>1812</v>
      </c>
      <c r="B539" s="66" t="s">
        <v>1813</v>
      </c>
    </row>
    <row r="540" spans="1:2" x14ac:dyDescent="0.2">
      <c r="A540" s="60" t="s">
        <v>1814</v>
      </c>
      <c r="B540" s="66" t="s">
        <v>1815</v>
      </c>
    </row>
    <row r="541" spans="1:2" x14ac:dyDescent="0.2">
      <c r="A541" s="60" t="s">
        <v>1816</v>
      </c>
      <c r="B541" s="66" t="s">
        <v>1817</v>
      </c>
    </row>
    <row r="542" spans="1:2" x14ac:dyDescent="0.2">
      <c r="A542" s="60" t="s">
        <v>1818</v>
      </c>
      <c r="B542" s="66" t="s">
        <v>1819</v>
      </c>
    </row>
    <row r="543" spans="1:2" x14ac:dyDescent="0.2">
      <c r="A543" s="60" t="s">
        <v>1820</v>
      </c>
      <c r="B543" s="66" t="s">
        <v>1821</v>
      </c>
    </row>
    <row r="544" spans="1:2" x14ac:dyDescent="0.2">
      <c r="A544" s="60" t="s">
        <v>1822</v>
      </c>
      <c r="B544" s="66" t="s">
        <v>1823</v>
      </c>
    </row>
    <row r="545" spans="1:2" x14ac:dyDescent="0.2">
      <c r="A545" s="60" t="s">
        <v>1824</v>
      </c>
      <c r="B545" s="66" t="s">
        <v>1825</v>
      </c>
    </row>
    <row r="546" spans="1:2" x14ac:dyDescent="0.2">
      <c r="A546" s="60" t="s">
        <v>1826</v>
      </c>
      <c r="B546" s="67" t="s">
        <v>1827</v>
      </c>
    </row>
    <row r="547" spans="1:2" x14ac:dyDescent="0.2">
      <c r="A547" s="60" t="s">
        <v>1828</v>
      </c>
      <c r="B547" s="66" t="s">
        <v>1829</v>
      </c>
    </row>
    <row r="548" spans="1:2" x14ac:dyDescent="0.2">
      <c r="A548" s="60" t="s">
        <v>1830</v>
      </c>
      <c r="B548" s="66" t="s">
        <v>1831</v>
      </c>
    </row>
    <row r="549" spans="1:2" x14ac:dyDescent="0.2">
      <c r="A549" s="60" t="s">
        <v>1832</v>
      </c>
      <c r="B549" s="66" t="s">
        <v>1833</v>
      </c>
    </row>
    <row r="550" spans="1:2" x14ac:dyDescent="0.2">
      <c r="A550" s="60" t="s">
        <v>1834</v>
      </c>
      <c r="B550" s="66" t="s">
        <v>1835</v>
      </c>
    </row>
    <row r="551" spans="1:2" x14ac:dyDescent="0.2">
      <c r="A551" s="60" t="s">
        <v>1836</v>
      </c>
      <c r="B551" s="67" t="s">
        <v>1837</v>
      </c>
    </row>
    <row r="552" spans="1:2" x14ac:dyDescent="0.2">
      <c r="A552" s="60" t="s">
        <v>1838</v>
      </c>
      <c r="B552" s="66" t="s">
        <v>1839</v>
      </c>
    </row>
    <row r="553" spans="1:2" x14ac:dyDescent="0.2">
      <c r="A553" s="60" t="s">
        <v>1840</v>
      </c>
      <c r="B553" s="66" t="s">
        <v>1841</v>
      </c>
    </row>
    <row r="554" spans="1:2" x14ac:dyDescent="0.2">
      <c r="A554" s="60" t="s">
        <v>1842</v>
      </c>
      <c r="B554" s="67" t="s">
        <v>1843</v>
      </c>
    </row>
    <row r="555" spans="1:2" x14ac:dyDescent="0.2">
      <c r="A555" s="60" t="s">
        <v>1844</v>
      </c>
      <c r="B555" s="66" t="s">
        <v>1845</v>
      </c>
    </row>
    <row r="556" spans="1:2" x14ac:dyDescent="0.2">
      <c r="A556" s="60" t="s">
        <v>1846</v>
      </c>
      <c r="B556" s="66" t="s">
        <v>1847</v>
      </c>
    </row>
    <row r="557" spans="1:2" x14ac:dyDescent="0.2">
      <c r="A557" s="60" t="s">
        <v>1848</v>
      </c>
      <c r="B557" s="66" t="s">
        <v>1849</v>
      </c>
    </row>
    <row r="558" spans="1:2" x14ac:dyDescent="0.2">
      <c r="A558" s="60" t="s">
        <v>1850</v>
      </c>
      <c r="B558" s="66" t="s">
        <v>1851</v>
      </c>
    </row>
    <row r="559" spans="1:2" x14ac:dyDescent="0.2">
      <c r="A559" s="60" t="s">
        <v>1852</v>
      </c>
      <c r="B559" s="66" t="s">
        <v>1853</v>
      </c>
    </row>
    <row r="560" spans="1:2" x14ac:dyDescent="0.2">
      <c r="A560" s="60" t="s">
        <v>1854</v>
      </c>
      <c r="B560" s="66" t="s">
        <v>1855</v>
      </c>
    </row>
    <row r="561" spans="1:2" x14ac:dyDescent="0.2">
      <c r="A561" s="60" t="s">
        <v>1856</v>
      </c>
      <c r="B561" s="66" t="s">
        <v>1857</v>
      </c>
    </row>
    <row r="562" spans="1:2" x14ac:dyDescent="0.2">
      <c r="A562" s="60" t="s">
        <v>1858</v>
      </c>
      <c r="B562" s="66" t="s">
        <v>1516</v>
      </c>
    </row>
    <row r="563" spans="1:2" x14ac:dyDescent="0.2">
      <c r="A563" s="60" t="s">
        <v>1859</v>
      </c>
      <c r="B563" s="66" t="s">
        <v>1860</v>
      </c>
    </row>
    <row r="564" spans="1:2" x14ac:dyDescent="0.2">
      <c r="A564" s="60" t="s">
        <v>1861</v>
      </c>
      <c r="B564" s="66" t="s">
        <v>1862</v>
      </c>
    </row>
    <row r="565" spans="1:2" x14ac:dyDescent="0.2">
      <c r="A565" s="60" t="s">
        <v>1863</v>
      </c>
      <c r="B565" s="67" t="s">
        <v>1864</v>
      </c>
    </row>
    <row r="566" spans="1:2" x14ac:dyDescent="0.2">
      <c r="A566" s="60" t="s">
        <v>1865</v>
      </c>
      <c r="B566" s="66" t="s">
        <v>1866</v>
      </c>
    </row>
    <row r="567" spans="1:2" x14ac:dyDescent="0.2">
      <c r="A567" s="60" t="s">
        <v>1867</v>
      </c>
      <c r="B567" s="66" t="s">
        <v>1516</v>
      </c>
    </row>
    <row r="568" spans="1:2" x14ac:dyDescent="0.2">
      <c r="A568" s="60" t="s">
        <v>1868</v>
      </c>
      <c r="B568" s="66" t="s">
        <v>1869</v>
      </c>
    </row>
    <row r="569" spans="1:2" x14ac:dyDescent="0.2">
      <c r="A569" s="60" t="s">
        <v>1870</v>
      </c>
      <c r="B569" s="66" t="s">
        <v>1871</v>
      </c>
    </row>
    <row r="570" spans="1:2" x14ac:dyDescent="0.2">
      <c r="A570" s="60" t="s">
        <v>1872</v>
      </c>
      <c r="B570" s="66" t="s">
        <v>1873</v>
      </c>
    </row>
    <row r="571" spans="1:2" x14ac:dyDescent="0.2">
      <c r="A571" s="60" t="s">
        <v>1874</v>
      </c>
      <c r="B571" s="66" t="s">
        <v>1875</v>
      </c>
    </row>
    <row r="572" spans="1:2" x14ac:dyDescent="0.2">
      <c r="A572" s="60" t="s">
        <v>1876</v>
      </c>
      <c r="B572" s="66" t="s">
        <v>1877</v>
      </c>
    </row>
    <row r="573" spans="1:2" x14ac:dyDescent="0.2">
      <c r="A573" s="60" t="s">
        <v>1878</v>
      </c>
      <c r="B573" s="67" t="s">
        <v>1879</v>
      </c>
    </row>
    <row r="574" spans="1:2" x14ac:dyDescent="0.2">
      <c r="A574" s="60" t="s">
        <v>1880</v>
      </c>
      <c r="B574" s="67" t="s">
        <v>1881</v>
      </c>
    </row>
    <row r="575" spans="1:2" x14ac:dyDescent="0.2">
      <c r="A575" s="60" t="s">
        <v>1882</v>
      </c>
      <c r="B575" s="67" t="s">
        <v>1883</v>
      </c>
    </row>
    <row r="576" spans="1:2" x14ac:dyDescent="0.2">
      <c r="A576" s="60" t="s">
        <v>1884</v>
      </c>
      <c r="B576" s="66" t="s">
        <v>1885</v>
      </c>
    </row>
    <row r="577" spans="1:2" x14ac:dyDescent="0.2">
      <c r="A577" s="60" t="s">
        <v>1886</v>
      </c>
      <c r="B577" s="66" t="s">
        <v>1887</v>
      </c>
    </row>
    <row r="578" spans="1:2" x14ac:dyDescent="0.2">
      <c r="A578" s="60" t="s">
        <v>1888</v>
      </c>
      <c r="B578" s="66" t="s">
        <v>1889</v>
      </c>
    </row>
    <row r="579" spans="1:2" x14ac:dyDescent="0.2">
      <c r="A579" s="60" t="s">
        <v>1890</v>
      </c>
      <c r="B579" s="66" t="s">
        <v>1891</v>
      </c>
    </row>
    <row r="580" spans="1:2" x14ac:dyDescent="0.2">
      <c r="A580" s="60" t="s">
        <v>1892</v>
      </c>
      <c r="B580" s="66" t="s">
        <v>1893</v>
      </c>
    </row>
    <row r="581" spans="1:2" x14ac:dyDescent="0.2">
      <c r="A581" s="60" t="s">
        <v>1894</v>
      </c>
      <c r="B581" s="66" t="s">
        <v>1895</v>
      </c>
    </row>
    <row r="582" spans="1:2" x14ac:dyDescent="0.2">
      <c r="A582" s="60" t="s">
        <v>1896</v>
      </c>
      <c r="B582" s="66" t="s">
        <v>1897</v>
      </c>
    </row>
    <row r="583" spans="1:2" x14ac:dyDescent="0.2">
      <c r="A583" s="60" t="s">
        <v>1898</v>
      </c>
      <c r="B583" s="66" t="s">
        <v>1899</v>
      </c>
    </row>
    <row r="584" spans="1:2" x14ac:dyDescent="0.2">
      <c r="A584" s="60" t="s">
        <v>1900</v>
      </c>
      <c r="B584" s="66" t="s">
        <v>1901</v>
      </c>
    </row>
    <row r="585" spans="1:2" x14ac:dyDescent="0.2">
      <c r="A585" s="60" t="s">
        <v>1902</v>
      </c>
      <c r="B585" s="66" t="s">
        <v>1903</v>
      </c>
    </row>
    <row r="586" spans="1:2" x14ac:dyDescent="0.2">
      <c r="A586" s="60" t="s">
        <v>1904</v>
      </c>
      <c r="B586" s="66" t="s">
        <v>1516</v>
      </c>
    </row>
    <row r="587" spans="1:2" x14ac:dyDescent="0.2">
      <c r="A587" s="60" t="s">
        <v>1905</v>
      </c>
      <c r="B587" s="66" t="s">
        <v>1906</v>
      </c>
    </row>
    <row r="588" spans="1:2" x14ac:dyDescent="0.2">
      <c r="A588" s="60" t="s">
        <v>1907</v>
      </c>
      <c r="B588" s="66" t="s">
        <v>1908</v>
      </c>
    </row>
    <row r="589" spans="1:2" x14ac:dyDescent="0.2">
      <c r="A589" s="60" t="s">
        <v>1909</v>
      </c>
      <c r="B589" s="66" t="s">
        <v>1910</v>
      </c>
    </row>
    <row r="590" spans="1:2" x14ac:dyDescent="0.2">
      <c r="A590" s="60" t="s">
        <v>1911</v>
      </c>
      <c r="B590" s="66" t="s">
        <v>1912</v>
      </c>
    </row>
    <row r="591" spans="1:2" x14ac:dyDescent="0.2">
      <c r="A591" s="60" t="s">
        <v>1913</v>
      </c>
      <c r="B591" s="66" t="s">
        <v>1914</v>
      </c>
    </row>
    <row r="592" spans="1:2" x14ac:dyDescent="0.2">
      <c r="A592" s="60" t="s">
        <v>1915</v>
      </c>
      <c r="B592" s="66" t="s">
        <v>1916</v>
      </c>
    </row>
    <row r="593" spans="1:2" x14ac:dyDescent="0.2">
      <c r="A593" s="60" t="s">
        <v>1917</v>
      </c>
      <c r="B593" s="66" t="s">
        <v>1918</v>
      </c>
    </row>
    <row r="594" spans="1:2" x14ac:dyDescent="0.2">
      <c r="A594" s="60" t="s">
        <v>1919</v>
      </c>
      <c r="B594" s="66" t="s">
        <v>1920</v>
      </c>
    </row>
    <row r="595" spans="1:2" x14ac:dyDescent="0.2">
      <c r="A595" s="60" t="s">
        <v>1921</v>
      </c>
      <c r="B595" s="66" t="s">
        <v>1922</v>
      </c>
    </row>
    <row r="596" spans="1:2" x14ac:dyDescent="0.2">
      <c r="A596" s="60" t="s">
        <v>1923</v>
      </c>
      <c r="B596" s="66" t="s">
        <v>1924</v>
      </c>
    </row>
    <row r="597" spans="1:2" x14ac:dyDescent="0.2">
      <c r="A597" s="60" t="s">
        <v>1925</v>
      </c>
      <c r="B597" s="66" t="s">
        <v>1926</v>
      </c>
    </row>
    <row r="598" spans="1:2" x14ac:dyDescent="0.2">
      <c r="A598" s="60" t="s">
        <v>1927</v>
      </c>
      <c r="B598" s="67" t="s">
        <v>1928</v>
      </c>
    </row>
    <row r="599" spans="1:2" x14ac:dyDescent="0.2">
      <c r="A599" s="60" t="s">
        <v>1929</v>
      </c>
      <c r="B599" s="66" t="s">
        <v>1930</v>
      </c>
    </row>
    <row r="600" spans="1:2" x14ac:dyDescent="0.2">
      <c r="A600" s="60" t="s">
        <v>1931</v>
      </c>
      <c r="B600" s="66" t="s">
        <v>1932</v>
      </c>
    </row>
    <row r="601" spans="1:2" x14ac:dyDescent="0.2">
      <c r="A601" s="60" t="s">
        <v>1933</v>
      </c>
      <c r="B601" s="66" t="s">
        <v>1934</v>
      </c>
    </row>
    <row r="602" spans="1:2" x14ac:dyDescent="0.2">
      <c r="A602" s="60" t="s">
        <v>1935</v>
      </c>
      <c r="B602" s="66" t="s">
        <v>1936</v>
      </c>
    </row>
    <row r="603" spans="1:2" x14ac:dyDescent="0.2">
      <c r="A603" s="60" t="s">
        <v>1937</v>
      </c>
      <c r="B603" s="66" t="s">
        <v>1938</v>
      </c>
    </row>
    <row r="604" spans="1:2" x14ac:dyDescent="0.2">
      <c r="A604" s="60" t="s">
        <v>1939</v>
      </c>
      <c r="B604" s="67" t="s">
        <v>1940</v>
      </c>
    </row>
    <row r="605" spans="1:2" x14ac:dyDescent="0.2">
      <c r="A605" s="60" t="s">
        <v>1941</v>
      </c>
      <c r="B605" s="66" t="s">
        <v>1942</v>
      </c>
    </row>
    <row r="606" spans="1:2" x14ac:dyDescent="0.2">
      <c r="A606" s="60" t="s">
        <v>1943</v>
      </c>
      <c r="B606" s="66" t="s">
        <v>1516</v>
      </c>
    </row>
    <row r="607" spans="1:2" x14ac:dyDescent="0.2">
      <c r="A607" s="60" t="s">
        <v>1944</v>
      </c>
      <c r="B607" s="66" t="s">
        <v>1945</v>
      </c>
    </row>
    <row r="608" spans="1:2" x14ac:dyDescent="0.2">
      <c r="A608" s="60" t="s">
        <v>1946</v>
      </c>
      <c r="B608" s="66" t="s">
        <v>1947</v>
      </c>
    </row>
    <row r="609" spans="1:2" x14ac:dyDescent="0.2">
      <c r="A609" s="60" t="s">
        <v>1948</v>
      </c>
      <c r="B609" s="66" t="s">
        <v>1949</v>
      </c>
    </row>
    <row r="610" spans="1:2" x14ac:dyDescent="0.2">
      <c r="A610" s="60" t="s">
        <v>1950</v>
      </c>
      <c r="B610" s="66" t="s">
        <v>1951</v>
      </c>
    </row>
    <row r="611" spans="1:2" x14ac:dyDescent="0.2">
      <c r="A611" s="60" t="s">
        <v>1952</v>
      </c>
      <c r="B611" s="66" t="s">
        <v>1953</v>
      </c>
    </row>
    <row r="612" spans="1:2" x14ac:dyDescent="0.2">
      <c r="A612" s="60" t="s">
        <v>1954</v>
      </c>
      <c r="B612" s="66" t="s">
        <v>1955</v>
      </c>
    </row>
    <row r="613" spans="1:2" x14ac:dyDescent="0.2">
      <c r="A613" s="60" t="s">
        <v>1956</v>
      </c>
      <c r="B613" s="66" t="s">
        <v>1957</v>
      </c>
    </row>
    <row r="614" spans="1:2" x14ac:dyDescent="0.2">
      <c r="A614" s="60" t="s">
        <v>1958</v>
      </c>
      <c r="B614" s="66" t="s">
        <v>1959</v>
      </c>
    </row>
    <row r="615" spans="1:2" x14ac:dyDescent="0.2">
      <c r="A615" s="60" t="s">
        <v>1960</v>
      </c>
      <c r="B615" s="66" t="s">
        <v>1961</v>
      </c>
    </row>
    <row r="616" spans="1:2" x14ac:dyDescent="0.2">
      <c r="A616" s="60" t="s">
        <v>1962</v>
      </c>
      <c r="B616" s="66" t="s">
        <v>1963</v>
      </c>
    </row>
    <row r="617" spans="1:2" x14ac:dyDescent="0.2">
      <c r="A617" s="60" t="s">
        <v>1964</v>
      </c>
      <c r="B617" s="66" t="s">
        <v>1965</v>
      </c>
    </row>
    <row r="618" spans="1:2" x14ac:dyDescent="0.2">
      <c r="A618" s="60" t="s">
        <v>1966</v>
      </c>
      <c r="B618" s="66" t="s">
        <v>1967</v>
      </c>
    </row>
    <row r="619" spans="1:2" x14ac:dyDescent="0.2">
      <c r="A619" s="60" t="s">
        <v>1968</v>
      </c>
      <c r="B619" s="66" t="s">
        <v>1969</v>
      </c>
    </row>
    <row r="620" spans="1:2" x14ac:dyDescent="0.2">
      <c r="A620" s="60" t="s">
        <v>1970</v>
      </c>
      <c r="B620" s="66" t="s">
        <v>1971</v>
      </c>
    </row>
    <row r="621" spans="1:2" x14ac:dyDescent="0.2">
      <c r="A621" s="60" t="s">
        <v>1972</v>
      </c>
      <c r="B621" s="66" t="s">
        <v>1973</v>
      </c>
    </row>
    <row r="622" spans="1:2" x14ac:dyDescent="0.2">
      <c r="A622" s="60" t="s">
        <v>1974</v>
      </c>
      <c r="B622" s="66" t="s">
        <v>1975</v>
      </c>
    </row>
    <row r="623" spans="1:2" x14ac:dyDescent="0.2">
      <c r="A623" s="60" t="s">
        <v>1976</v>
      </c>
      <c r="B623" s="66" t="s">
        <v>1977</v>
      </c>
    </row>
    <row r="624" spans="1:2" x14ac:dyDescent="0.2">
      <c r="A624" s="60" t="s">
        <v>1978</v>
      </c>
      <c r="B624" s="66" t="s">
        <v>1979</v>
      </c>
    </row>
    <row r="625" spans="1:2" x14ac:dyDescent="0.2">
      <c r="A625" s="60" t="s">
        <v>1980</v>
      </c>
      <c r="B625" s="66" t="s">
        <v>1981</v>
      </c>
    </row>
    <row r="626" spans="1:2" x14ac:dyDescent="0.2">
      <c r="A626" s="60" t="s">
        <v>1982</v>
      </c>
      <c r="B626" s="66" t="s">
        <v>2107</v>
      </c>
    </row>
    <row r="627" spans="1:2" x14ac:dyDescent="0.2">
      <c r="A627" s="60" t="s">
        <v>1983</v>
      </c>
      <c r="B627" s="66" t="s">
        <v>1984</v>
      </c>
    </row>
    <row r="628" spans="1:2" x14ac:dyDescent="0.2">
      <c r="A628" s="60" t="s">
        <v>1985</v>
      </c>
      <c r="B628" s="66" t="s">
        <v>1986</v>
      </c>
    </row>
    <row r="629" spans="1:2" x14ac:dyDescent="0.2">
      <c r="A629" s="60" t="s">
        <v>1987</v>
      </c>
      <c r="B629" s="66" t="s">
        <v>1988</v>
      </c>
    </row>
    <row r="630" spans="1:2" x14ac:dyDescent="0.2">
      <c r="A630" s="60" t="s">
        <v>1989</v>
      </c>
      <c r="B630" s="66" t="s">
        <v>1990</v>
      </c>
    </row>
    <row r="631" spans="1:2" ht="25.5" x14ac:dyDescent="0.2">
      <c r="A631" s="61" t="s">
        <v>1991</v>
      </c>
      <c r="B631" s="65" t="s">
        <v>1992</v>
      </c>
    </row>
    <row r="632" spans="1:2" ht="25.5" x14ac:dyDescent="0.2">
      <c r="A632" s="61" t="s">
        <v>1993</v>
      </c>
      <c r="B632" s="65" t="s">
        <v>1994</v>
      </c>
    </row>
    <row r="633" spans="1:2" ht="25.5" x14ac:dyDescent="0.2">
      <c r="A633" s="61" t="s">
        <v>1995</v>
      </c>
      <c r="B633" s="65" t="s">
        <v>1996</v>
      </c>
    </row>
    <row r="634" spans="1:2" ht="25.5" x14ac:dyDescent="0.2">
      <c r="A634" s="61" t="s">
        <v>1997</v>
      </c>
      <c r="B634" s="65" t="s">
        <v>1998</v>
      </c>
    </row>
    <row r="635" spans="1:2" ht="51" x14ac:dyDescent="0.2">
      <c r="A635" s="62" t="s">
        <v>823</v>
      </c>
      <c r="B635" s="63" t="s">
        <v>1999</v>
      </c>
    </row>
    <row r="636" spans="1:2" ht="51" x14ac:dyDescent="0.2">
      <c r="A636" s="64" t="s">
        <v>824</v>
      </c>
      <c r="B636" s="63" t="s">
        <v>2000</v>
      </c>
    </row>
    <row r="637" spans="1:2" ht="25.5" x14ac:dyDescent="0.2">
      <c r="A637" s="62" t="s">
        <v>830</v>
      </c>
      <c r="B637" s="63" t="s">
        <v>2001</v>
      </c>
    </row>
    <row r="638" spans="1:2" ht="38.25" x14ac:dyDescent="0.2">
      <c r="A638" s="64" t="s">
        <v>833</v>
      </c>
      <c r="B638" s="63" t="s">
        <v>2002</v>
      </c>
    </row>
    <row r="639" spans="1:2" x14ac:dyDescent="0.2">
      <c r="A639" s="64" t="s">
        <v>834</v>
      </c>
      <c r="B639" s="63" t="s">
        <v>2003</v>
      </c>
    </row>
    <row r="640" spans="1:2" x14ac:dyDescent="0.2">
      <c r="A640" s="64" t="s">
        <v>839</v>
      </c>
      <c r="B640" s="63" t="s">
        <v>2004</v>
      </c>
    </row>
    <row r="641" spans="1:2" ht="63.75" x14ac:dyDescent="0.2">
      <c r="A641" s="64" t="s">
        <v>842</v>
      </c>
      <c r="B641" s="63" t="s">
        <v>2005</v>
      </c>
    </row>
    <row r="642" spans="1:2" ht="63.75" x14ac:dyDescent="0.2">
      <c r="A642" s="64" t="s">
        <v>844</v>
      </c>
      <c r="B642" s="63" t="s">
        <v>2006</v>
      </c>
    </row>
    <row r="643" spans="1:2" ht="38.25" x14ac:dyDescent="0.2">
      <c r="A643" s="62" t="s">
        <v>845</v>
      </c>
      <c r="B643" s="63" t="s">
        <v>2007</v>
      </c>
    </row>
    <row r="644" spans="1:2" ht="25.5" x14ac:dyDescent="0.2">
      <c r="A644" s="62" t="s">
        <v>847</v>
      </c>
      <c r="B644" s="63" t="s">
        <v>2008</v>
      </c>
    </row>
    <row r="645" spans="1:2" ht="25.5" x14ac:dyDescent="0.2">
      <c r="A645" s="62" t="s">
        <v>848</v>
      </c>
      <c r="B645" s="63" t="s">
        <v>2009</v>
      </c>
    </row>
    <row r="646" spans="1:2" ht="25.5" x14ac:dyDescent="0.2">
      <c r="A646" s="62" t="s">
        <v>850</v>
      </c>
      <c r="B646" s="63" t="s">
        <v>2010</v>
      </c>
    </row>
    <row r="647" spans="1:2" x14ac:dyDescent="0.2">
      <c r="A647" s="62" t="s">
        <v>858</v>
      </c>
      <c r="B647" s="63" t="s">
        <v>2011</v>
      </c>
    </row>
    <row r="648" spans="1:2" ht="114.75" x14ac:dyDescent="0.2">
      <c r="A648" s="62" t="s">
        <v>853</v>
      </c>
      <c r="B648" s="63" t="s">
        <v>2012</v>
      </c>
    </row>
    <row r="649" spans="1:2" ht="25.5" x14ac:dyDescent="0.2">
      <c r="A649" s="62" t="s">
        <v>861</v>
      </c>
      <c r="B649" s="63" t="s">
        <v>2013</v>
      </c>
    </row>
    <row r="650" spans="1:2" ht="25.5" x14ac:dyDescent="0.2">
      <c r="A650" s="62" t="s">
        <v>862</v>
      </c>
      <c r="B650" s="63" t="s">
        <v>2014</v>
      </c>
    </row>
    <row r="651" spans="1:2" ht="38.25" x14ac:dyDescent="0.2">
      <c r="A651" s="62" t="s">
        <v>865</v>
      </c>
      <c r="B651" s="63" t="s">
        <v>2015</v>
      </c>
    </row>
    <row r="652" spans="1:2" ht="25.5" x14ac:dyDescent="0.2">
      <c r="A652" s="62" t="s">
        <v>866</v>
      </c>
      <c r="B652" s="63" t="s">
        <v>2016</v>
      </c>
    </row>
    <row r="653" spans="1:2" ht="38.25" x14ac:dyDescent="0.2">
      <c r="A653" s="62" t="s">
        <v>868</v>
      </c>
      <c r="B653" s="63" t="s">
        <v>2017</v>
      </c>
    </row>
    <row r="654" spans="1:2" ht="51" x14ac:dyDescent="0.2">
      <c r="A654" s="62" t="s">
        <v>2018</v>
      </c>
      <c r="B654" s="63" t="s">
        <v>2019</v>
      </c>
    </row>
    <row r="655" spans="1:2" ht="38.25" x14ac:dyDescent="0.2">
      <c r="A655" s="62" t="s">
        <v>871</v>
      </c>
      <c r="B655" s="63" t="s">
        <v>2020</v>
      </c>
    </row>
    <row r="656" spans="1:2" x14ac:dyDescent="0.2">
      <c r="A656" s="62" t="s">
        <v>869</v>
      </c>
      <c r="B656" s="63" t="s">
        <v>2021</v>
      </c>
    </row>
    <row r="657" spans="1:2" ht="38.25" x14ac:dyDescent="0.2">
      <c r="A657" s="62" t="s">
        <v>879</v>
      </c>
      <c r="B657" s="63" t="s">
        <v>2022</v>
      </c>
    </row>
    <row r="658" spans="1:2" ht="25.5" x14ac:dyDescent="0.2">
      <c r="A658" s="62" t="s">
        <v>599</v>
      </c>
      <c r="B658" s="63" t="s">
        <v>2023</v>
      </c>
    </row>
    <row r="659" spans="1:2" ht="25.5" x14ac:dyDescent="0.2">
      <c r="A659" s="62" t="s">
        <v>600</v>
      </c>
      <c r="B659" s="63" t="s">
        <v>2024</v>
      </c>
    </row>
    <row r="660" spans="1:2" x14ac:dyDescent="0.2">
      <c r="A660" s="114" t="s">
        <v>2150</v>
      </c>
      <c r="B660" s="63" t="s">
        <v>2151</v>
      </c>
    </row>
    <row r="661" spans="1:2" x14ac:dyDescent="0.2">
      <c r="A661" s="114">
        <v>1.1000000000000001</v>
      </c>
      <c r="B661" s="63" t="s">
        <v>2152</v>
      </c>
    </row>
    <row r="662" spans="1:2" x14ac:dyDescent="0.2">
      <c r="A662" s="114" t="s">
        <v>2153</v>
      </c>
      <c r="B662" s="63" t="s">
        <v>2154</v>
      </c>
    </row>
    <row r="663" spans="1:2" x14ac:dyDescent="0.2">
      <c r="A663" s="114" t="s">
        <v>2155</v>
      </c>
      <c r="B663" s="63" t="s">
        <v>2156</v>
      </c>
    </row>
    <row r="664" spans="1:2" x14ac:dyDescent="0.2">
      <c r="A664" s="114" t="s">
        <v>2157</v>
      </c>
      <c r="B664" s="63" t="s">
        <v>2158</v>
      </c>
    </row>
    <row r="665" spans="1:2" x14ac:dyDescent="0.2">
      <c r="A665" s="114" t="s">
        <v>2159</v>
      </c>
      <c r="B665" s="63" t="s">
        <v>2160</v>
      </c>
    </row>
    <row r="666" spans="1:2" x14ac:dyDescent="0.2">
      <c r="A666" s="114" t="s">
        <v>2161</v>
      </c>
      <c r="B666" s="63" t="s">
        <v>2162</v>
      </c>
    </row>
    <row r="667" spans="1:2" x14ac:dyDescent="0.2">
      <c r="A667" s="114" t="s">
        <v>2163</v>
      </c>
      <c r="B667" s="63" t="s">
        <v>2164</v>
      </c>
    </row>
    <row r="668" spans="1:2" x14ac:dyDescent="0.2">
      <c r="A668" s="114" t="s">
        <v>2165</v>
      </c>
      <c r="B668" s="63" t="s">
        <v>2166</v>
      </c>
    </row>
    <row r="669" spans="1:2" x14ac:dyDescent="0.2">
      <c r="A669" s="114">
        <v>1.2</v>
      </c>
      <c r="B669" s="63" t="s">
        <v>2167</v>
      </c>
    </row>
    <row r="670" spans="1:2" x14ac:dyDescent="0.2">
      <c r="A670" s="114" t="s">
        <v>2168</v>
      </c>
      <c r="B670" s="63" t="s">
        <v>2169</v>
      </c>
    </row>
    <row r="671" spans="1:2" x14ac:dyDescent="0.2">
      <c r="A671" s="114" t="s">
        <v>2170</v>
      </c>
      <c r="B671" s="63" t="s">
        <v>2171</v>
      </c>
    </row>
    <row r="672" spans="1:2" x14ac:dyDescent="0.2">
      <c r="A672" s="114" t="s">
        <v>2172</v>
      </c>
      <c r="B672" s="63" t="s">
        <v>2173</v>
      </c>
    </row>
    <row r="673" spans="1:2" x14ac:dyDescent="0.2">
      <c r="A673" s="114">
        <v>1.3</v>
      </c>
      <c r="B673" s="63" t="s">
        <v>2174</v>
      </c>
    </row>
    <row r="674" spans="1:2" x14ac:dyDescent="0.2">
      <c r="A674" s="114" t="s">
        <v>2175</v>
      </c>
      <c r="B674" s="63" t="s">
        <v>2176</v>
      </c>
    </row>
    <row r="675" spans="1:2" x14ac:dyDescent="0.2">
      <c r="A675" s="114" t="s">
        <v>2177</v>
      </c>
      <c r="B675" s="63" t="s">
        <v>2178</v>
      </c>
    </row>
    <row r="676" spans="1:2" x14ac:dyDescent="0.2">
      <c r="A676" s="114" t="s">
        <v>2179</v>
      </c>
      <c r="B676" s="63" t="s">
        <v>2180</v>
      </c>
    </row>
    <row r="677" spans="1:2" x14ac:dyDescent="0.2">
      <c r="A677" s="114" t="s">
        <v>2181</v>
      </c>
      <c r="B677" s="63" t="s">
        <v>2182</v>
      </c>
    </row>
    <row r="678" spans="1:2" x14ac:dyDescent="0.2">
      <c r="A678" s="114" t="s">
        <v>2183</v>
      </c>
      <c r="B678" s="63" t="s">
        <v>2184</v>
      </c>
    </row>
    <row r="679" spans="1:2" x14ac:dyDescent="0.2">
      <c r="A679" s="114" t="s">
        <v>2185</v>
      </c>
      <c r="B679" s="63" t="s">
        <v>2186</v>
      </c>
    </row>
    <row r="680" spans="1:2" x14ac:dyDescent="0.2">
      <c r="A680" s="114" t="s">
        <v>2187</v>
      </c>
      <c r="B680" s="63" t="s">
        <v>2188</v>
      </c>
    </row>
    <row r="681" spans="1:2" x14ac:dyDescent="0.2">
      <c r="A681" s="114">
        <v>1.4</v>
      </c>
      <c r="B681" s="63" t="s">
        <v>2189</v>
      </c>
    </row>
    <row r="682" spans="1:2" x14ac:dyDescent="0.2">
      <c r="A682" s="114">
        <v>1.5</v>
      </c>
      <c r="B682" s="63" t="s">
        <v>2190</v>
      </c>
    </row>
    <row r="683" spans="1:2" x14ac:dyDescent="0.2">
      <c r="A683" s="114" t="s">
        <v>2191</v>
      </c>
      <c r="B683" s="63" t="s">
        <v>2192</v>
      </c>
    </row>
    <row r="684" spans="1:2" x14ac:dyDescent="0.2">
      <c r="A684" s="114">
        <v>2.1</v>
      </c>
      <c r="B684" s="63" t="s">
        <v>2193</v>
      </c>
    </row>
    <row r="685" spans="1:2" x14ac:dyDescent="0.2">
      <c r="A685" s="114" t="s">
        <v>2194</v>
      </c>
      <c r="B685" s="63" t="s">
        <v>2195</v>
      </c>
    </row>
    <row r="686" spans="1:2" x14ac:dyDescent="0.2">
      <c r="A686" s="114">
        <v>2.2000000000000002</v>
      </c>
      <c r="B686" s="63" t="s">
        <v>2196</v>
      </c>
    </row>
    <row r="687" spans="1:2" x14ac:dyDescent="0.2">
      <c r="A687" s="114" t="s">
        <v>2197</v>
      </c>
      <c r="B687" s="63" t="s">
        <v>2198</v>
      </c>
    </row>
    <row r="688" spans="1:2" x14ac:dyDescent="0.2">
      <c r="A688" s="114" t="s">
        <v>2199</v>
      </c>
      <c r="B688" s="63" t="s">
        <v>2200</v>
      </c>
    </row>
    <row r="689" spans="1:2" x14ac:dyDescent="0.2">
      <c r="A689" s="114" t="s">
        <v>2201</v>
      </c>
      <c r="B689" s="63" t="s">
        <v>2202</v>
      </c>
    </row>
    <row r="690" spans="1:2" x14ac:dyDescent="0.2">
      <c r="A690" s="114" t="s">
        <v>2203</v>
      </c>
      <c r="B690" s="63" t="s">
        <v>2204</v>
      </c>
    </row>
    <row r="691" spans="1:2" x14ac:dyDescent="0.2">
      <c r="A691" s="114" t="s">
        <v>2205</v>
      </c>
      <c r="B691" s="63" t="s">
        <v>2206</v>
      </c>
    </row>
    <row r="692" spans="1:2" x14ac:dyDescent="0.2">
      <c r="A692" s="114">
        <v>2.2999999999999998</v>
      </c>
      <c r="B692" s="63" t="s">
        <v>2207</v>
      </c>
    </row>
    <row r="693" spans="1:2" x14ac:dyDescent="0.2">
      <c r="A693" s="114">
        <v>2.4</v>
      </c>
      <c r="B693" s="63" t="s">
        <v>2208</v>
      </c>
    </row>
    <row r="694" spans="1:2" x14ac:dyDescent="0.2">
      <c r="A694" s="114">
        <v>2.5</v>
      </c>
      <c r="B694" s="63" t="s">
        <v>2209</v>
      </c>
    </row>
    <row r="695" spans="1:2" x14ac:dyDescent="0.2">
      <c r="A695" s="114">
        <v>2.6</v>
      </c>
      <c r="B695" s="63" t="s">
        <v>2210</v>
      </c>
    </row>
    <row r="696" spans="1:2" x14ac:dyDescent="0.2">
      <c r="A696" s="114" t="s">
        <v>2211</v>
      </c>
      <c r="B696" s="63" t="s">
        <v>2212</v>
      </c>
    </row>
    <row r="697" spans="1:2" x14ac:dyDescent="0.2">
      <c r="A697" s="114">
        <v>3.1</v>
      </c>
      <c r="B697" s="63" t="s">
        <v>2213</v>
      </c>
    </row>
    <row r="698" spans="1:2" x14ac:dyDescent="0.2">
      <c r="A698" s="114">
        <v>3.2</v>
      </c>
      <c r="B698" s="63" t="s">
        <v>2214</v>
      </c>
    </row>
    <row r="699" spans="1:2" x14ac:dyDescent="0.2">
      <c r="A699" s="114" t="s">
        <v>751</v>
      </c>
      <c r="B699" s="63" t="s">
        <v>2215</v>
      </c>
    </row>
    <row r="700" spans="1:2" x14ac:dyDescent="0.2">
      <c r="A700" s="114" t="s">
        <v>759</v>
      </c>
      <c r="B700" s="63" t="s">
        <v>2216</v>
      </c>
    </row>
    <row r="701" spans="1:2" x14ac:dyDescent="0.2">
      <c r="A701" s="114" t="s">
        <v>1322</v>
      </c>
      <c r="B701" s="63" t="s">
        <v>2217</v>
      </c>
    </row>
    <row r="702" spans="1:2" x14ac:dyDescent="0.2">
      <c r="A702" s="114">
        <v>3.3</v>
      </c>
      <c r="B702" s="63" t="s">
        <v>2218</v>
      </c>
    </row>
    <row r="703" spans="1:2" x14ac:dyDescent="0.2">
      <c r="A703" s="114">
        <v>3.4</v>
      </c>
      <c r="B703" s="63" t="s">
        <v>2219</v>
      </c>
    </row>
    <row r="704" spans="1:2" x14ac:dyDescent="0.2">
      <c r="A704" s="114" t="s">
        <v>1340</v>
      </c>
      <c r="B704" s="63" t="s">
        <v>2220</v>
      </c>
    </row>
    <row r="705" spans="1:2" x14ac:dyDescent="0.2">
      <c r="A705" s="114">
        <v>3.5</v>
      </c>
      <c r="B705" s="63" t="s">
        <v>2221</v>
      </c>
    </row>
    <row r="706" spans="1:2" x14ac:dyDescent="0.2">
      <c r="A706" s="114" t="s">
        <v>712</v>
      </c>
      <c r="B706" s="63" t="s">
        <v>2222</v>
      </c>
    </row>
    <row r="707" spans="1:2" x14ac:dyDescent="0.2">
      <c r="A707" s="114" t="s">
        <v>1357</v>
      </c>
      <c r="B707" s="63" t="s">
        <v>2223</v>
      </c>
    </row>
    <row r="708" spans="1:2" x14ac:dyDescent="0.2">
      <c r="A708" s="114" t="s">
        <v>1359</v>
      </c>
      <c r="B708" s="63" t="s">
        <v>2224</v>
      </c>
    </row>
    <row r="709" spans="1:2" x14ac:dyDescent="0.2">
      <c r="A709" s="114" t="s">
        <v>1361</v>
      </c>
      <c r="B709" s="63" t="s">
        <v>2225</v>
      </c>
    </row>
    <row r="710" spans="1:2" x14ac:dyDescent="0.2">
      <c r="A710" s="114">
        <v>3.6</v>
      </c>
      <c r="B710" s="63" t="s">
        <v>2226</v>
      </c>
    </row>
    <row r="711" spans="1:2" x14ac:dyDescent="0.2">
      <c r="A711" s="114" t="s">
        <v>1373</v>
      </c>
      <c r="B711" s="63" t="s">
        <v>2227</v>
      </c>
    </row>
    <row r="712" spans="1:2" x14ac:dyDescent="0.2">
      <c r="A712" s="114" t="s">
        <v>738</v>
      </c>
      <c r="B712" s="63" t="s">
        <v>2228</v>
      </c>
    </row>
    <row r="713" spans="1:2" x14ac:dyDescent="0.2">
      <c r="A713" s="114" t="s">
        <v>1376</v>
      </c>
      <c r="B713" s="63" t="s">
        <v>2229</v>
      </c>
    </row>
    <row r="714" spans="1:2" x14ac:dyDescent="0.2">
      <c r="A714" s="114" t="s">
        <v>2230</v>
      </c>
      <c r="B714" s="63" t="s">
        <v>2231</v>
      </c>
    </row>
    <row r="715" spans="1:2" x14ac:dyDescent="0.2">
      <c r="A715" s="114" t="s">
        <v>2232</v>
      </c>
      <c r="B715" s="63" t="s">
        <v>2233</v>
      </c>
    </row>
    <row r="716" spans="1:2" x14ac:dyDescent="0.2">
      <c r="A716" s="114" t="s">
        <v>2234</v>
      </c>
      <c r="B716" s="63" t="s">
        <v>2235</v>
      </c>
    </row>
    <row r="717" spans="1:2" x14ac:dyDescent="0.2">
      <c r="A717" s="114" t="s">
        <v>2236</v>
      </c>
      <c r="B717" s="63" t="s">
        <v>2237</v>
      </c>
    </row>
    <row r="718" spans="1:2" x14ac:dyDescent="0.2">
      <c r="A718" s="114" t="s">
        <v>2238</v>
      </c>
      <c r="B718" s="63" t="s">
        <v>2239</v>
      </c>
    </row>
    <row r="719" spans="1:2" x14ac:dyDescent="0.2">
      <c r="A719" s="114">
        <v>3.7</v>
      </c>
      <c r="B719" s="63" t="s">
        <v>2240</v>
      </c>
    </row>
    <row r="720" spans="1:2" x14ac:dyDescent="0.2">
      <c r="A720" s="114" t="s">
        <v>2241</v>
      </c>
      <c r="B720" s="63" t="s">
        <v>2242</v>
      </c>
    </row>
    <row r="721" spans="1:2" x14ac:dyDescent="0.2">
      <c r="A721" s="114">
        <v>4.0999999999999996</v>
      </c>
      <c r="B721" s="63" t="s">
        <v>2243</v>
      </c>
    </row>
    <row r="722" spans="1:2" x14ac:dyDescent="0.2">
      <c r="A722" s="114" t="s">
        <v>2244</v>
      </c>
      <c r="B722" s="63" t="s">
        <v>2245</v>
      </c>
    </row>
    <row r="723" spans="1:2" x14ac:dyDescent="0.2">
      <c r="A723" s="114">
        <v>4.2</v>
      </c>
      <c r="B723" s="63" t="s">
        <v>2246</v>
      </c>
    </row>
    <row r="724" spans="1:2" x14ac:dyDescent="0.2">
      <c r="A724" s="114">
        <v>4.3</v>
      </c>
      <c r="B724" s="63" t="s">
        <v>2247</v>
      </c>
    </row>
    <row r="725" spans="1:2" x14ac:dyDescent="0.2">
      <c r="A725" s="114" t="s">
        <v>2248</v>
      </c>
      <c r="B725" s="63" t="s">
        <v>2249</v>
      </c>
    </row>
    <row r="726" spans="1:2" x14ac:dyDescent="0.2">
      <c r="A726" s="114">
        <v>5.0999999999999996</v>
      </c>
      <c r="B726" s="63" t="s">
        <v>2250</v>
      </c>
    </row>
    <row r="727" spans="1:2" x14ac:dyDescent="0.2">
      <c r="A727" s="114" t="s">
        <v>674</v>
      </c>
      <c r="B727" s="63" t="s">
        <v>2251</v>
      </c>
    </row>
    <row r="728" spans="1:2" x14ac:dyDescent="0.2">
      <c r="A728" s="114" t="s">
        <v>905</v>
      </c>
      <c r="B728" s="63" t="s">
        <v>2252</v>
      </c>
    </row>
    <row r="729" spans="1:2" x14ac:dyDescent="0.2">
      <c r="A729" s="114">
        <v>5.2</v>
      </c>
      <c r="B729" s="63" t="s">
        <v>2253</v>
      </c>
    </row>
    <row r="730" spans="1:2" x14ac:dyDescent="0.2">
      <c r="A730" s="114">
        <v>5.3</v>
      </c>
      <c r="B730" s="63" t="s">
        <v>2254</v>
      </c>
    </row>
    <row r="731" spans="1:2" x14ac:dyDescent="0.2">
      <c r="A731" s="114">
        <v>5.4</v>
      </c>
      <c r="B731" s="63" t="s">
        <v>2255</v>
      </c>
    </row>
    <row r="732" spans="1:2" x14ac:dyDescent="0.2">
      <c r="A732" s="114" t="s">
        <v>2256</v>
      </c>
      <c r="B732" s="63" t="s">
        <v>2257</v>
      </c>
    </row>
    <row r="733" spans="1:2" x14ac:dyDescent="0.2">
      <c r="A733" s="114">
        <v>6.1</v>
      </c>
      <c r="B733" s="63" t="s">
        <v>2258</v>
      </c>
    </row>
    <row r="734" spans="1:2" x14ac:dyDescent="0.2">
      <c r="A734" s="114">
        <v>6.2</v>
      </c>
      <c r="B734" s="63" t="s">
        <v>2259</v>
      </c>
    </row>
    <row r="735" spans="1:2" x14ac:dyDescent="0.2">
      <c r="A735" s="114">
        <v>6.3</v>
      </c>
      <c r="B735" s="63" t="s">
        <v>2260</v>
      </c>
    </row>
    <row r="736" spans="1:2" x14ac:dyDescent="0.2">
      <c r="A736" s="114" t="s">
        <v>2261</v>
      </c>
      <c r="B736" s="63" t="s">
        <v>2262</v>
      </c>
    </row>
    <row r="737" spans="1:2" x14ac:dyDescent="0.2">
      <c r="A737" s="114" t="s">
        <v>2138</v>
      </c>
      <c r="B737" s="63" t="s">
        <v>2263</v>
      </c>
    </row>
    <row r="738" spans="1:2" x14ac:dyDescent="0.2">
      <c r="A738" s="114">
        <v>6.4</v>
      </c>
      <c r="B738" s="63" t="s">
        <v>2264</v>
      </c>
    </row>
    <row r="739" spans="1:2" x14ac:dyDescent="0.2">
      <c r="A739" s="114" t="s">
        <v>2265</v>
      </c>
      <c r="B739" s="63" t="s">
        <v>2266</v>
      </c>
    </row>
    <row r="740" spans="1:2" x14ac:dyDescent="0.2">
      <c r="A740" s="114" t="s">
        <v>2267</v>
      </c>
      <c r="B740" s="63" t="s">
        <v>2268</v>
      </c>
    </row>
    <row r="741" spans="1:2" x14ac:dyDescent="0.2">
      <c r="A741" s="114" t="s">
        <v>2269</v>
      </c>
      <c r="B741" s="63" t="s">
        <v>2270</v>
      </c>
    </row>
    <row r="742" spans="1:2" x14ac:dyDescent="0.2">
      <c r="A742" s="114" t="s">
        <v>2271</v>
      </c>
      <c r="B742" s="63" t="s">
        <v>2272</v>
      </c>
    </row>
    <row r="743" spans="1:2" x14ac:dyDescent="0.2">
      <c r="A743" s="114" t="s">
        <v>2136</v>
      </c>
      <c r="B743" s="63" t="s">
        <v>2273</v>
      </c>
    </row>
    <row r="744" spans="1:2" x14ac:dyDescent="0.2">
      <c r="A744" s="114" t="s">
        <v>2274</v>
      </c>
      <c r="B744" s="63" t="s">
        <v>2275</v>
      </c>
    </row>
    <row r="745" spans="1:2" x14ac:dyDescent="0.2">
      <c r="A745" s="114" t="s">
        <v>2276</v>
      </c>
      <c r="B745" s="63" t="s">
        <v>2277</v>
      </c>
    </row>
    <row r="746" spans="1:2" x14ac:dyDescent="0.2">
      <c r="A746" s="114" t="s">
        <v>2278</v>
      </c>
      <c r="B746" s="63" t="s">
        <v>2279</v>
      </c>
    </row>
    <row r="747" spans="1:2" x14ac:dyDescent="0.2">
      <c r="A747" s="114" t="s">
        <v>2280</v>
      </c>
      <c r="B747" s="63" t="s">
        <v>2281</v>
      </c>
    </row>
    <row r="748" spans="1:2" x14ac:dyDescent="0.2">
      <c r="A748" s="114" t="s">
        <v>2282</v>
      </c>
      <c r="B748" s="63" t="s">
        <v>2283</v>
      </c>
    </row>
    <row r="749" spans="1:2" x14ac:dyDescent="0.2">
      <c r="A749" s="114">
        <v>6.5</v>
      </c>
      <c r="B749" s="63" t="s">
        <v>2284</v>
      </c>
    </row>
    <row r="750" spans="1:2" x14ac:dyDescent="0.2">
      <c r="A750" s="114" t="s">
        <v>2285</v>
      </c>
      <c r="B750" s="63" t="s">
        <v>2286</v>
      </c>
    </row>
    <row r="751" spans="1:2" x14ac:dyDescent="0.2">
      <c r="A751" s="114" t="s">
        <v>2287</v>
      </c>
      <c r="B751" s="63" t="s">
        <v>2288</v>
      </c>
    </row>
    <row r="752" spans="1:2" x14ac:dyDescent="0.2">
      <c r="A752" s="114" t="s">
        <v>2289</v>
      </c>
      <c r="B752" s="63" t="s">
        <v>2290</v>
      </c>
    </row>
    <row r="753" spans="1:2" x14ac:dyDescent="0.2">
      <c r="A753" s="114" t="s">
        <v>2291</v>
      </c>
      <c r="B753" s="63" t="s">
        <v>2292</v>
      </c>
    </row>
    <row r="754" spans="1:2" x14ac:dyDescent="0.2">
      <c r="A754" s="114" t="s">
        <v>2293</v>
      </c>
      <c r="B754" s="63" t="s">
        <v>2294</v>
      </c>
    </row>
    <row r="755" spans="1:2" x14ac:dyDescent="0.2">
      <c r="A755" s="114" t="s">
        <v>2295</v>
      </c>
      <c r="B755" s="63" t="s">
        <v>2296</v>
      </c>
    </row>
    <row r="756" spans="1:2" x14ac:dyDescent="0.2">
      <c r="A756" s="114" t="s">
        <v>2297</v>
      </c>
      <c r="B756" s="63" t="s">
        <v>2298</v>
      </c>
    </row>
    <row r="757" spans="1:2" x14ac:dyDescent="0.2">
      <c r="A757" s="114" t="s">
        <v>2299</v>
      </c>
      <c r="B757" s="63" t="s">
        <v>2300</v>
      </c>
    </row>
    <row r="758" spans="1:2" x14ac:dyDescent="0.2">
      <c r="A758" s="114" t="s">
        <v>2301</v>
      </c>
      <c r="B758" s="63" t="s">
        <v>2302</v>
      </c>
    </row>
    <row r="759" spans="1:2" x14ac:dyDescent="0.2">
      <c r="A759" s="114" t="s">
        <v>2303</v>
      </c>
      <c r="B759" s="63" t="s">
        <v>2304</v>
      </c>
    </row>
    <row r="760" spans="1:2" x14ac:dyDescent="0.2">
      <c r="A760" s="114">
        <v>6.6</v>
      </c>
      <c r="B760" s="63" t="s">
        <v>2305</v>
      </c>
    </row>
    <row r="761" spans="1:2" x14ac:dyDescent="0.2">
      <c r="A761" s="114">
        <v>6.7</v>
      </c>
      <c r="B761" s="63" t="s">
        <v>2306</v>
      </c>
    </row>
    <row r="762" spans="1:2" x14ac:dyDescent="0.2">
      <c r="A762" s="114" t="s">
        <v>2112</v>
      </c>
      <c r="B762" s="63" t="s">
        <v>2307</v>
      </c>
    </row>
    <row r="763" spans="1:2" x14ac:dyDescent="0.2">
      <c r="A763" s="114">
        <v>7.1</v>
      </c>
      <c r="B763" s="63" t="s">
        <v>2308</v>
      </c>
    </row>
    <row r="764" spans="1:2" x14ac:dyDescent="0.2">
      <c r="A764" s="114" t="s">
        <v>677</v>
      </c>
      <c r="B764" s="63" t="s">
        <v>2309</v>
      </c>
    </row>
    <row r="765" spans="1:2" x14ac:dyDescent="0.2">
      <c r="A765" s="114" t="s">
        <v>678</v>
      </c>
      <c r="B765" s="63" t="s">
        <v>2310</v>
      </c>
    </row>
    <row r="766" spans="1:2" x14ac:dyDescent="0.2">
      <c r="A766" s="114" t="s">
        <v>663</v>
      </c>
      <c r="B766" s="63" t="s">
        <v>2311</v>
      </c>
    </row>
    <row r="767" spans="1:2" x14ac:dyDescent="0.2">
      <c r="A767" s="114" t="s">
        <v>2312</v>
      </c>
      <c r="B767" s="63" t="s">
        <v>2313</v>
      </c>
    </row>
    <row r="768" spans="1:2" x14ac:dyDescent="0.2">
      <c r="A768" s="114">
        <v>7.2</v>
      </c>
      <c r="B768" s="63" t="s">
        <v>2314</v>
      </c>
    </row>
    <row r="769" spans="1:2" x14ac:dyDescent="0.2">
      <c r="A769" s="114" t="s">
        <v>922</v>
      </c>
      <c r="B769" s="63" t="s">
        <v>2315</v>
      </c>
    </row>
    <row r="770" spans="1:2" x14ac:dyDescent="0.2">
      <c r="A770" s="114" t="s">
        <v>679</v>
      </c>
      <c r="B770" s="63" t="s">
        <v>2316</v>
      </c>
    </row>
    <row r="771" spans="1:2" x14ac:dyDescent="0.2">
      <c r="A771" s="114" t="s">
        <v>925</v>
      </c>
      <c r="B771" s="63" t="s">
        <v>2317</v>
      </c>
    </row>
    <row r="772" spans="1:2" x14ac:dyDescent="0.2">
      <c r="A772" s="114">
        <v>7.3</v>
      </c>
      <c r="B772" s="63" t="s">
        <v>2318</v>
      </c>
    </row>
    <row r="773" spans="1:2" x14ac:dyDescent="0.2">
      <c r="A773" s="114" t="s">
        <v>2117</v>
      </c>
      <c r="B773" s="63" t="s">
        <v>2319</v>
      </c>
    </row>
    <row r="774" spans="1:2" x14ac:dyDescent="0.2">
      <c r="A774" s="114">
        <v>8.1</v>
      </c>
      <c r="B774" s="63" t="s">
        <v>2320</v>
      </c>
    </row>
    <row r="775" spans="1:2" x14ac:dyDescent="0.2">
      <c r="A775" s="114" t="s">
        <v>929</v>
      </c>
      <c r="B775" s="63" t="s">
        <v>2321</v>
      </c>
    </row>
    <row r="776" spans="1:2" x14ac:dyDescent="0.2">
      <c r="A776" s="114" t="s">
        <v>653</v>
      </c>
      <c r="B776" s="63" t="s">
        <v>2322</v>
      </c>
    </row>
    <row r="777" spans="1:2" x14ac:dyDescent="0.2">
      <c r="A777" s="114" t="s">
        <v>932</v>
      </c>
      <c r="B777" s="63" t="s">
        <v>2323</v>
      </c>
    </row>
    <row r="778" spans="1:2" x14ac:dyDescent="0.2">
      <c r="A778" s="114" t="s">
        <v>651</v>
      </c>
      <c r="B778" s="63" t="s">
        <v>2324</v>
      </c>
    </row>
    <row r="779" spans="1:2" x14ac:dyDescent="0.2">
      <c r="A779" s="114" t="s">
        <v>2325</v>
      </c>
      <c r="B779" s="63" t="s">
        <v>2326</v>
      </c>
    </row>
    <row r="780" spans="1:2" x14ac:dyDescent="0.2">
      <c r="A780" s="114" t="s">
        <v>2327</v>
      </c>
      <c r="B780" s="63" t="s">
        <v>2328</v>
      </c>
    </row>
    <row r="781" spans="1:2" x14ac:dyDescent="0.2">
      <c r="A781" s="114" t="s">
        <v>2329</v>
      </c>
      <c r="B781" s="63" t="s">
        <v>2330</v>
      </c>
    </row>
    <row r="782" spans="1:2" x14ac:dyDescent="0.2">
      <c r="A782" s="114" t="s">
        <v>2331</v>
      </c>
      <c r="B782" s="63" t="s">
        <v>2332</v>
      </c>
    </row>
    <row r="783" spans="1:2" x14ac:dyDescent="0.2">
      <c r="A783" s="114">
        <v>8.1999999999999993</v>
      </c>
      <c r="B783" s="63" t="s">
        <v>2333</v>
      </c>
    </row>
    <row r="784" spans="1:2" x14ac:dyDescent="0.2">
      <c r="A784" s="114" t="s">
        <v>648</v>
      </c>
      <c r="B784" s="63" t="s">
        <v>2334</v>
      </c>
    </row>
    <row r="785" spans="1:2" x14ac:dyDescent="0.2">
      <c r="A785" s="114" t="s">
        <v>936</v>
      </c>
      <c r="B785" s="63" t="s">
        <v>2335</v>
      </c>
    </row>
    <row r="786" spans="1:2" x14ac:dyDescent="0.2">
      <c r="A786" s="114" t="s">
        <v>668</v>
      </c>
      <c r="B786" s="63" t="s">
        <v>2336</v>
      </c>
    </row>
    <row r="787" spans="1:2" x14ac:dyDescent="0.2">
      <c r="A787" s="114" t="s">
        <v>2337</v>
      </c>
      <c r="B787" s="63" t="s">
        <v>2338</v>
      </c>
    </row>
    <row r="788" spans="1:2" x14ac:dyDescent="0.2">
      <c r="A788" s="114" t="s">
        <v>2339</v>
      </c>
      <c r="B788" s="63" t="s">
        <v>2340</v>
      </c>
    </row>
    <row r="789" spans="1:2" x14ac:dyDescent="0.2">
      <c r="A789" s="114" t="s">
        <v>2341</v>
      </c>
      <c r="B789" s="63" t="s">
        <v>2342</v>
      </c>
    </row>
    <row r="790" spans="1:2" x14ac:dyDescent="0.2">
      <c r="A790" s="114">
        <v>8.3000000000000007</v>
      </c>
      <c r="B790" s="63" t="s">
        <v>2343</v>
      </c>
    </row>
    <row r="791" spans="1:2" x14ac:dyDescent="0.2">
      <c r="A791" s="114" t="s">
        <v>655</v>
      </c>
      <c r="B791" s="63" t="s">
        <v>2344</v>
      </c>
    </row>
    <row r="792" spans="1:2" x14ac:dyDescent="0.2">
      <c r="A792" s="114" t="s">
        <v>940</v>
      </c>
      <c r="B792" s="63" t="s">
        <v>2345</v>
      </c>
    </row>
    <row r="793" spans="1:2" x14ac:dyDescent="0.2">
      <c r="A793" s="114">
        <v>8.4</v>
      </c>
      <c r="B793" s="63" t="s">
        <v>2346</v>
      </c>
    </row>
    <row r="794" spans="1:2" x14ac:dyDescent="0.2">
      <c r="A794" s="114">
        <v>8.5</v>
      </c>
      <c r="B794" s="63" t="s">
        <v>2347</v>
      </c>
    </row>
    <row r="795" spans="1:2" x14ac:dyDescent="0.2">
      <c r="A795" s="114" t="s">
        <v>2348</v>
      </c>
      <c r="B795" s="63" t="s">
        <v>2349</v>
      </c>
    </row>
    <row r="796" spans="1:2" x14ac:dyDescent="0.2">
      <c r="A796" s="114">
        <v>8.6</v>
      </c>
      <c r="B796" s="63" t="s">
        <v>2350</v>
      </c>
    </row>
    <row r="797" spans="1:2" x14ac:dyDescent="0.2">
      <c r="A797" s="114">
        <v>8.6999999999999993</v>
      </c>
      <c r="B797" s="63" t="s">
        <v>2351</v>
      </c>
    </row>
    <row r="798" spans="1:2" x14ac:dyDescent="0.2">
      <c r="A798" s="114">
        <v>8.8000000000000007</v>
      </c>
      <c r="B798" s="63" t="s">
        <v>2352</v>
      </c>
    </row>
    <row r="799" spans="1:2" x14ac:dyDescent="0.2">
      <c r="A799" s="114" t="s">
        <v>2131</v>
      </c>
      <c r="B799" s="63" t="s">
        <v>2353</v>
      </c>
    </row>
    <row r="800" spans="1:2" x14ac:dyDescent="0.2">
      <c r="A800" s="114">
        <v>9.1</v>
      </c>
      <c r="B800" s="63" t="s">
        <v>2354</v>
      </c>
    </row>
    <row r="801" spans="1:2" x14ac:dyDescent="0.2">
      <c r="A801" s="114" t="s">
        <v>627</v>
      </c>
      <c r="B801" s="63" t="s">
        <v>2355</v>
      </c>
    </row>
    <row r="802" spans="1:2" x14ac:dyDescent="0.2">
      <c r="A802" s="114" t="s">
        <v>623</v>
      </c>
      <c r="B802" s="63" t="s">
        <v>2356</v>
      </c>
    </row>
    <row r="803" spans="1:2" x14ac:dyDescent="0.2">
      <c r="A803" s="114" t="s">
        <v>2357</v>
      </c>
      <c r="B803" s="63" t="s">
        <v>2358</v>
      </c>
    </row>
    <row r="804" spans="1:2" x14ac:dyDescent="0.2">
      <c r="A804" s="114">
        <v>9.1999999999999993</v>
      </c>
      <c r="B804" s="63" t="s">
        <v>2359</v>
      </c>
    </row>
    <row r="805" spans="1:2" x14ac:dyDescent="0.2">
      <c r="A805" s="114">
        <v>9.3000000000000007</v>
      </c>
      <c r="B805" s="63" t="s">
        <v>2360</v>
      </c>
    </row>
    <row r="806" spans="1:2" x14ac:dyDescent="0.2">
      <c r="A806" s="114">
        <v>9.4</v>
      </c>
      <c r="B806" s="63" t="s">
        <v>2361</v>
      </c>
    </row>
    <row r="807" spans="1:2" x14ac:dyDescent="0.2">
      <c r="A807" s="114" t="s">
        <v>956</v>
      </c>
      <c r="B807" s="63" t="s">
        <v>2362</v>
      </c>
    </row>
    <row r="808" spans="1:2" x14ac:dyDescent="0.2">
      <c r="A808" s="114" t="s">
        <v>669</v>
      </c>
      <c r="B808" s="63" t="s">
        <v>2363</v>
      </c>
    </row>
    <row r="809" spans="1:2" x14ac:dyDescent="0.2">
      <c r="A809" s="114" t="s">
        <v>633</v>
      </c>
      <c r="B809" s="63" t="s">
        <v>2364</v>
      </c>
    </row>
    <row r="810" spans="1:2" x14ac:dyDescent="0.2">
      <c r="A810" s="114" t="s">
        <v>960</v>
      </c>
      <c r="B810" s="63" t="s">
        <v>2365</v>
      </c>
    </row>
    <row r="811" spans="1:2" x14ac:dyDescent="0.2">
      <c r="A811" s="114">
        <v>9.5</v>
      </c>
      <c r="B811" s="63" t="s">
        <v>2366</v>
      </c>
    </row>
    <row r="812" spans="1:2" x14ac:dyDescent="0.2">
      <c r="A812" s="114" t="s">
        <v>2367</v>
      </c>
      <c r="B812" s="63" t="s">
        <v>2368</v>
      </c>
    </row>
    <row r="813" spans="1:2" x14ac:dyDescent="0.2">
      <c r="A813" s="114">
        <v>9.6</v>
      </c>
      <c r="B813" s="63" t="s">
        <v>2369</v>
      </c>
    </row>
    <row r="814" spans="1:2" x14ac:dyDescent="0.2">
      <c r="A814" s="114" t="s">
        <v>2370</v>
      </c>
      <c r="B814" s="63" t="s">
        <v>2371</v>
      </c>
    </row>
    <row r="815" spans="1:2" x14ac:dyDescent="0.2">
      <c r="A815" s="114" t="s">
        <v>2372</v>
      </c>
      <c r="B815" s="63" t="s">
        <v>2373</v>
      </c>
    </row>
    <row r="816" spans="1:2" x14ac:dyDescent="0.2">
      <c r="A816" s="114" t="s">
        <v>2374</v>
      </c>
      <c r="B816" s="63" t="s">
        <v>2375</v>
      </c>
    </row>
    <row r="817" spans="1:2" x14ac:dyDescent="0.2">
      <c r="A817" s="114">
        <v>9.6999999999999993</v>
      </c>
      <c r="B817" s="63" t="s">
        <v>2376</v>
      </c>
    </row>
    <row r="818" spans="1:2" x14ac:dyDescent="0.2">
      <c r="A818" s="114" t="s">
        <v>2377</v>
      </c>
      <c r="B818" s="63" t="s">
        <v>2378</v>
      </c>
    </row>
    <row r="819" spans="1:2" x14ac:dyDescent="0.2">
      <c r="A819" s="114">
        <v>9.8000000000000007</v>
      </c>
      <c r="B819" s="63" t="s">
        <v>2379</v>
      </c>
    </row>
    <row r="820" spans="1:2" x14ac:dyDescent="0.2">
      <c r="A820" s="114" t="s">
        <v>2380</v>
      </c>
      <c r="B820" s="63" t="s">
        <v>2381</v>
      </c>
    </row>
    <row r="821" spans="1:2" x14ac:dyDescent="0.2">
      <c r="A821" s="114" t="s">
        <v>2382</v>
      </c>
      <c r="B821" s="63" t="s">
        <v>2383</v>
      </c>
    </row>
    <row r="822" spans="1:2" x14ac:dyDescent="0.2">
      <c r="A822" s="114">
        <v>9.9</v>
      </c>
      <c r="B822" s="63" t="s">
        <v>2384</v>
      </c>
    </row>
    <row r="823" spans="1:2" x14ac:dyDescent="0.2">
      <c r="A823" s="114" t="s">
        <v>2385</v>
      </c>
      <c r="B823" s="63" t="s">
        <v>2386</v>
      </c>
    </row>
    <row r="824" spans="1:2" x14ac:dyDescent="0.2">
      <c r="A824" s="114" t="s">
        <v>2387</v>
      </c>
      <c r="B824" s="63" t="s">
        <v>2388</v>
      </c>
    </row>
    <row r="825" spans="1:2" x14ac:dyDescent="0.2">
      <c r="A825" s="114" t="s">
        <v>2389</v>
      </c>
      <c r="B825" s="63" t="s">
        <v>2390</v>
      </c>
    </row>
    <row r="826" spans="1:2" x14ac:dyDescent="0.2">
      <c r="A826" s="114" t="s">
        <v>2551</v>
      </c>
      <c r="B826" s="63" t="s">
        <v>2391</v>
      </c>
    </row>
    <row r="827" spans="1:2" x14ac:dyDescent="0.2">
      <c r="A827" s="114" t="s">
        <v>2392</v>
      </c>
      <c r="B827" s="63" t="s">
        <v>2393</v>
      </c>
    </row>
    <row r="828" spans="1:2" x14ac:dyDescent="0.2">
      <c r="A828" s="114">
        <v>10.1</v>
      </c>
      <c r="B828" s="63" t="s">
        <v>2394</v>
      </c>
    </row>
    <row r="829" spans="1:2" x14ac:dyDescent="0.2">
      <c r="A829" s="114">
        <v>10.199999999999999</v>
      </c>
      <c r="B829" s="63" t="s">
        <v>2395</v>
      </c>
    </row>
    <row r="830" spans="1:2" x14ac:dyDescent="0.2">
      <c r="A830" s="114" t="s">
        <v>2396</v>
      </c>
      <c r="B830" s="63" t="s">
        <v>2397</v>
      </c>
    </row>
    <row r="831" spans="1:2" x14ac:dyDescent="0.2">
      <c r="A831" s="114" t="s">
        <v>2398</v>
      </c>
      <c r="B831" s="63" t="s">
        <v>2399</v>
      </c>
    </row>
    <row r="832" spans="1:2" x14ac:dyDescent="0.2">
      <c r="A832" s="114" t="s">
        <v>2400</v>
      </c>
      <c r="B832" s="63" t="s">
        <v>2401</v>
      </c>
    </row>
    <row r="833" spans="1:2" x14ac:dyDescent="0.2">
      <c r="A833" s="114" t="s">
        <v>2402</v>
      </c>
      <c r="B833" s="63" t="s">
        <v>2403</v>
      </c>
    </row>
    <row r="834" spans="1:2" x14ac:dyDescent="0.2">
      <c r="A834" s="114" t="s">
        <v>2404</v>
      </c>
      <c r="B834" s="63" t="s">
        <v>2405</v>
      </c>
    </row>
    <row r="835" spans="1:2" x14ac:dyDescent="0.2">
      <c r="A835" s="114" t="s">
        <v>2406</v>
      </c>
      <c r="B835" s="63" t="s">
        <v>2407</v>
      </c>
    </row>
    <row r="836" spans="1:2" x14ac:dyDescent="0.2">
      <c r="A836" s="114" t="s">
        <v>2408</v>
      </c>
      <c r="B836" s="63" t="s">
        <v>2409</v>
      </c>
    </row>
    <row r="837" spans="1:2" x14ac:dyDescent="0.2">
      <c r="A837" s="114">
        <v>10.3</v>
      </c>
      <c r="B837" s="63" t="s">
        <v>2410</v>
      </c>
    </row>
    <row r="838" spans="1:2" x14ac:dyDescent="0.2">
      <c r="A838" s="114" t="s">
        <v>2411</v>
      </c>
      <c r="B838" s="63" t="s">
        <v>2412</v>
      </c>
    </row>
    <row r="839" spans="1:2" x14ac:dyDescent="0.2">
      <c r="A839" s="114" t="s">
        <v>2413</v>
      </c>
      <c r="B839" s="63" t="s">
        <v>2414</v>
      </c>
    </row>
    <row r="840" spans="1:2" x14ac:dyDescent="0.2">
      <c r="A840" s="114" t="s">
        <v>2415</v>
      </c>
      <c r="B840" s="63" t="s">
        <v>2416</v>
      </c>
    </row>
    <row r="841" spans="1:2" x14ac:dyDescent="0.2">
      <c r="A841" s="114" t="s">
        <v>2417</v>
      </c>
      <c r="B841" s="63" t="s">
        <v>2418</v>
      </c>
    </row>
    <row r="842" spans="1:2" x14ac:dyDescent="0.2">
      <c r="A842" s="114" t="s">
        <v>2419</v>
      </c>
      <c r="B842" s="63" t="s">
        <v>2420</v>
      </c>
    </row>
    <row r="843" spans="1:2" x14ac:dyDescent="0.2">
      <c r="A843" s="114" t="s">
        <v>2421</v>
      </c>
      <c r="B843" s="63" t="s">
        <v>2422</v>
      </c>
    </row>
    <row r="844" spans="1:2" x14ac:dyDescent="0.2">
      <c r="A844" s="114">
        <v>10.4</v>
      </c>
      <c r="B844" s="63" t="s">
        <v>2423</v>
      </c>
    </row>
    <row r="845" spans="1:2" x14ac:dyDescent="0.2">
      <c r="A845" s="114" t="s">
        <v>2424</v>
      </c>
      <c r="B845" s="63" t="s">
        <v>2425</v>
      </c>
    </row>
    <row r="846" spans="1:2" x14ac:dyDescent="0.2">
      <c r="A846" s="114" t="s">
        <v>2426</v>
      </c>
      <c r="B846" s="63" t="s">
        <v>2427</v>
      </c>
    </row>
    <row r="847" spans="1:2" x14ac:dyDescent="0.2">
      <c r="A847" s="114" t="s">
        <v>2428</v>
      </c>
      <c r="B847" s="63" t="s">
        <v>2429</v>
      </c>
    </row>
    <row r="848" spans="1:2" x14ac:dyDescent="0.2">
      <c r="A848" s="114">
        <v>10.5</v>
      </c>
      <c r="B848" s="63" t="s">
        <v>2430</v>
      </c>
    </row>
    <row r="849" spans="1:2" x14ac:dyDescent="0.2">
      <c r="A849" s="114" t="s">
        <v>2431</v>
      </c>
      <c r="B849" s="63" t="s">
        <v>2432</v>
      </c>
    </row>
    <row r="850" spans="1:2" x14ac:dyDescent="0.2">
      <c r="A850" s="114" t="s">
        <v>2433</v>
      </c>
      <c r="B850" s="63" t="s">
        <v>2434</v>
      </c>
    </row>
    <row r="851" spans="1:2" x14ac:dyDescent="0.2">
      <c r="A851" s="114" t="s">
        <v>2435</v>
      </c>
      <c r="B851" s="63" t="s">
        <v>2436</v>
      </c>
    </row>
    <row r="852" spans="1:2" x14ac:dyDescent="0.2">
      <c r="A852" s="114" t="s">
        <v>2437</v>
      </c>
      <c r="B852" s="63" t="s">
        <v>2438</v>
      </c>
    </row>
    <row r="853" spans="1:2" x14ac:dyDescent="0.2">
      <c r="A853" s="114" t="s">
        <v>2439</v>
      </c>
      <c r="B853" s="63" t="s">
        <v>2440</v>
      </c>
    </row>
    <row r="854" spans="1:2" x14ac:dyDescent="0.2">
      <c r="A854" s="114">
        <v>10.6</v>
      </c>
      <c r="B854" s="63" t="s">
        <v>2441</v>
      </c>
    </row>
    <row r="855" spans="1:2" x14ac:dyDescent="0.2">
      <c r="A855" s="114" t="s">
        <v>2442</v>
      </c>
      <c r="B855" s="63" t="s">
        <v>2443</v>
      </c>
    </row>
    <row r="856" spans="1:2" x14ac:dyDescent="0.2">
      <c r="A856" s="114" t="s">
        <v>2444</v>
      </c>
      <c r="B856" s="63" t="s">
        <v>2445</v>
      </c>
    </row>
    <row r="857" spans="1:2" x14ac:dyDescent="0.2">
      <c r="A857" s="114" t="s">
        <v>2446</v>
      </c>
      <c r="B857" s="63" t="s">
        <v>2447</v>
      </c>
    </row>
    <row r="858" spans="1:2" x14ac:dyDescent="0.2">
      <c r="A858" s="114">
        <v>10.7</v>
      </c>
      <c r="B858" s="63" t="s">
        <v>2448</v>
      </c>
    </row>
    <row r="859" spans="1:2" x14ac:dyDescent="0.2">
      <c r="A859" s="114">
        <v>10.8</v>
      </c>
      <c r="B859" s="63" t="s">
        <v>2449</v>
      </c>
    </row>
    <row r="860" spans="1:2" x14ac:dyDescent="0.2">
      <c r="A860" s="114" t="s">
        <v>2450</v>
      </c>
      <c r="B860" s="63" t="s">
        <v>2451</v>
      </c>
    </row>
    <row r="861" spans="1:2" x14ac:dyDescent="0.2">
      <c r="A861" s="114">
        <v>10.9</v>
      </c>
      <c r="B861" s="63" t="s">
        <v>2452</v>
      </c>
    </row>
    <row r="862" spans="1:2" x14ac:dyDescent="0.2">
      <c r="A862" s="114" t="s">
        <v>2453</v>
      </c>
      <c r="B862" s="63" t="s">
        <v>2454</v>
      </c>
    </row>
    <row r="863" spans="1:2" x14ac:dyDescent="0.2">
      <c r="A863" s="114">
        <v>11.1</v>
      </c>
      <c r="B863" s="63" t="s">
        <v>2455</v>
      </c>
    </row>
    <row r="864" spans="1:2" x14ac:dyDescent="0.2">
      <c r="A864" s="114" t="s">
        <v>658</v>
      </c>
      <c r="B864" s="63" t="s">
        <v>2456</v>
      </c>
    </row>
    <row r="865" spans="1:2" x14ac:dyDescent="0.2">
      <c r="A865" s="114" t="s">
        <v>671</v>
      </c>
      <c r="B865" s="63" t="s">
        <v>2457</v>
      </c>
    </row>
    <row r="866" spans="1:2" x14ac:dyDescent="0.2">
      <c r="A866" s="114">
        <v>11.2</v>
      </c>
      <c r="B866" s="63" t="s">
        <v>2458</v>
      </c>
    </row>
    <row r="867" spans="1:2" x14ac:dyDescent="0.2">
      <c r="A867" s="114" t="s">
        <v>660</v>
      </c>
      <c r="B867" s="63" t="s">
        <v>2459</v>
      </c>
    </row>
    <row r="868" spans="1:2" x14ac:dyDescent="0.2">
      <c r="A868" s="114" t="s">
        <v>976</v>
      </c>
      <c r="B868" s="63" t="s">
        <v>2460</v>
      </c>
    </row>
    <row r="869" spans="1:2" x14ac:dyDescent="0.2">
      <c r="A869" s="114" t="s">
        <v>978</v>
      </c>
      <c r="B869" s="63" t="s">
        <v>2461</v>
      </c>
    </row>
    <row r="870" spans="1:2" x14ac:dyDescent="0.2">
      <c r="A870" s="114">
        <v>11.3</v>
      </c>
      <c r="B870" s="63" t="s">
        <v>2462</v>
      </c>
    </row>
    <row r="871" spans="1:2" x14ac:dyDescent="0.2">
      <c r="A871" s="114" t="s">
        <v>2463</v>
      </c>
      <c r="B871" s="63" t="s">
        <v>2464</v>
      </c>
    </row>
    <row r="872" spans="1:2" x14ac:dyDescent="0.2">
      <c r="A872" s="114" t="s">
        <v>2465</v>
      </c>
      <c r="B872" s="63" t="s">
        <v>2466</v>
      </c>
    </row>
    <row r="873" spans="1:2" x14ac:dyDescent="0.2">
      <c r="A873" s="114" t="s">
        <v>2467</v>
      </c>
      <c r="B873" s="63" t="s">
        <v>2468</v>
      </c>
    </row>
    <row r="874" spans="1:2" x14ac:dyDescent="0.2">
      <c r="A874" s="114" t="s">
        <v>2469</v>
      </c>
      <c r="B874" s="63" t="s">
        <v>2470</v>
      </c>
    </row>
    <row r="875" spans="1:2" x14ac:dyDescent="0.2">
      <c r="A875" s="114" t="s">
        <v>2471</v>
      </c>
      <c r="B875" s="63" t="s">
        <v>2472</v>
      </c>
    </row>
    <row r="876" spans="1:2" x14ac:dyDescent="0.2">
      <c r="A876" s="114">
        <v>11.4</v>
      </c>
      <c r="B876" s="63" t="s">
        <v>2473</v>
      </c>
    </row>
    <row r="877" spans="1:2" x14ac:dyDescent="0.2">
      <c r="A877" s="114">
        <v>11.5</v>
      </c>
      <c r="B877" s="63" t="s">
        <v>2474</v>
      </c>
    </row>
    <row r="878" spans="1:2" x14ac:dyDescent="0.2">
      <c r="A878" s="114" t="s">
        <v>2475</v>
      </c>
      <c r="B878" s="63" t="s">
        <v>2476</v>
      </c>
    </row>
    <row r="879" spans="1:2" x14ac:dyDescent="0.2">
      <c r="A879" s="114">
        <v>11.6</v>
      </c>
      <c r="B879" s="63" t="s">
        <v>2477</v>
      </c>
    </row>
    <row r="880" spans="1:2" x14ac:dyDescent="0.2">
      <c r="A880" s="114" t="s">
        <v>2114</v>
      </c>
      <c r="B880" s="63" t="s">
        <v>2478</v>
      </c>
    </row>
    <row r="881" spans="1:2" x14ac:dyDescent="0.2">
      <c r="A881" s="114">
        <v>12.1</v>
      </c>
      <c r="B881" s="63" t="s">
        <v>2479</v>
      </c>
    </row>
    <row r="882" spans="1:2" x14ac:dyDescent="0.2">
      <c r="A882" s="114" t="s">
        <v>629</v>
      </c>
      <c r="B882" s="63" t="s">
        <v>2480</v>
      </c>
    </row>
    <row r="883" spans="1:2" x14ac:dyDescent="0.2">
      <c r="A883" s="114">
        <v>12.2</v>
      </c>
      <c r="B883" s="63" t="s">
        <v>2481</v>
      </c>
    </row>
    <row r="884" spans="1:2" x14ac:dyDescent="0.2">
      <c r="A884" s="114">
        <v>12.3</v>
      </c>
      <c r="B884" s="63" t="s">
        <v>2482</v>
      </c>
    </row>
    <row r="885" spans="1:2" x14ac:dyDescent="0.2">
      <c r="A885" s="114" t="s">
        <v>652</v>
      </c>
      <c r="B885" s="63" t="s">
        <v>2483</v>
      </c>
    </row>
    <row r="886" spans="1:2" x14ac:dyDescent="0.2">
      <c r="A886" s="114" t="s">
        <v>2484</v>
      </c>
      <c r="B886" s="63" t="s">
        <v>2485</v>
      </c>
    </row>
    <row r="887" spans="1:2" x14ac:dyDescent="0.2">
      <c r="A887" s="114" t="s">
        <v>2486</v>
      </c>
      <c r="B887" s="63" t="s">
        <v>2487</v>
      </c>
    </row>
    <row r="888" spans="1:2" x14ac:dyDescent="0.2">
      <c r="A888" s="114" t="s">
        <v>2488</v>
      </c>
      <c r="B888" s="63" t="s">
        <v>2489</v>
      </c>
    </row>
    <row r="889" spans="1:2" x14ac:dyDescent="0.2">
      <c r="A889" s="114" t="s">
        <v>2490</v>
      </c>
      <c r="B889" s="63" t="s">
        <v>2491</v>
      </c>
    </row>
    <row r="890" spans="1:2" x14ac:dyDescent="0.2">
      <c r="A890" s="114" t="s">
        <v>2492</v>
      </c>
      <c r="B890" s="63" t="s">
        <v>2493</v>
      </c>
    </row>
    <row r="891" spans="1:2" x14ac:dyDescent="0.2">
      <c r="A891" s="114" t="s">
        <v>2494</v>
      </c>
      <c r="B891" s="63" t="s">
        <v>2495</v>
      </c>
    </row>
    <row r="892" spans="1:2" x14ac:dyDescent="0.2">
      <c r="A892" s="114" t="s">
        <v>2496</v>
      </c>
      <c r="B892" s="63" t="s">
        <v>2497</v>
      </c>
    </row>
    <row r="893" spans="1:2" x14ac:dyDescent="0.2">
      <c r="A893" s="114" t="s">
        <v>2498</v>
      </c>
      <c r="B893" s="63" t="s">
        <v>2499</v>
      </c>
    </row>
    <row r="894" spans="1:2" x14ac:dyDescent="0.2">
      <c r="A894" s="114" t="s">
        <v>2500</v>
      </c>
      <c r="B894" s="63" t="s">
        <v>2501</v>
      </c>
    </row>
    <row r="895" spans="1:2" x14ac:dyDescent="0.2">
      <c r="A895" s="114">
        <v>12.4</v>
      </c>
      <c r="B895" s="63" t="s">
        <v>2502</v>
      </c>
    </row>
    <row r="896" spans="1:2" x14ac:dyDescent="0.2">
      <c r="A896" s="114" t="s">
        <v>666</v>
      </c>
      <c r="B896" s="63" t="s">
        <v>2503</v>
      </c>
    </row>
    <row r="897" spans="1:2" x14ac:dyDescent="0.2">
      <c r="A897" s="114">
        <v>12.5</v>
      </c>
      <c r="B897" s="63" t="s">
        <v>2504</v>
      </c>
    </row>
    <row r="898" spans="1:2" x14ac:dyDescent="0.2">
      <c r="A898" s="114" t="s">
        <v>628</v>
      </c>
      <c r="B898" s="63" t="s">
        <v>2505</v>
      </c>
    </row>
    <row r="899" spans="1:2" x14ac:dyDescent="0.2">
      <c r="A899" s="114" t="s">
        <v>2506</v>
      </c>
      <c r="B899" s="63" t="s">
        <v>2507</v>
      </c>
    </row>
    <row r="900" spans="1:2" x14ac:dyDescent="0.2">
      <c r="A900" s="114" t="s">
        <v>2508</v>
      </c>
      <c r="B900" s="63" t="s">
        <v>2509</v>
      </c>
    </row>
    <row r="901" spans="1:2" x14ac:dyDescent="0.2">
      <c r="A901" s="114" t="s">
        <v>2510</v>
      </c>
      <c r="B901" s="63" t="s">
        <v>2511</v>
      </c>
    </row>
    <row r="902" spans="1:2" x14ac:dyDescent="0.2">
      <c r="A902" s="114" t="s">
        <v>2512</v>
      </c>
      <c r="B902" s="63" t="s">
        <v>2513</v>
      </c>
    </row>
    <row r="903" spans="1:2" x14ac:dyDescent="0.2">
      <c r="A903" s="114">
        <v>12.6</v>
      </c>
      <c r="B903" s="63" t="s">
        <v>2514</v>
      </c>
    </row>
    <row r="904" spans="1:2" x14ac:dyDescent="0.2">
      <c r="A904" s="114" t="s">
        <v>647</v>
      </c>
      <c r="B904" s="63" t="s">
        <v>2515</v>
      </c>
    </row>
    <row r="905" spans="1:2" x14ac:dyDescent="0.2">
      <c r="A905" s="114" t="s">
        <v>1008</v>
      </c>
      <c r="B905" s="63" t="s">
        <v>2516</v>
      </c>
    </row>
    <row r="906" spans="1:2" x14ac:dyDescent="0.2">
      <c r="A906" s="114">
        <v>12.7</v>
      </c>
      <c r="B906" s="63" t="s">
        <v>2517</v>
      </c>
    </row>
    <row r="907" spans="1:2" x14ac:dyDescent="0.2">
      <c r="A907" s="114">
        <v>12.8</v>
      </c>
      <c r="B907" s="63" t="s">
        <v>2518</v>
      </c>
    </row>
    <row r="908" spans="1:2" x14ac:dyDescent="0.2">
      <c r="A908" s="114" t="s">
        <v>2519</v>
      </c>
      <c r="B908" s="63" t="s">
        <v>2520</v>
      </c>
    </row>
    <row r="909" spans="1:2" x14ac:dyDescent="0.2">
      <c r="A909" s="114" t="s">
        <v>2521</v>
      </c>
      <c r="B909" s="63" t="s">
        <v>2522</v>
      </c>
    </row>
    <row r="910" spans="1:2" x14ac:dyDescent="0.2">
      <c r="A910" s="114" t="s">
        <v>2523</v>
      </c>
      <c r="B910" s="63" t="s">
        <v>2524</v>
      </c>
    </row>
    <row r="911" spans="1:2" x14ac:dyDescent="0.2">
      <c r="A911" s="114" t="s">
        <v>2525</v>
      </c>
      <c r="B911" s="63" t="s">
        <v>2526</v>
      </c>
    </row>
    <row r="912" spans="1:2" x14ac:dyDescent="0.2">
      <c r="A912" s="114" t="s">
        <v>2527</v>
      </c>
      <c r="B912" s="63" t="s">
        <v>2528</v>
      </c>
    </row>
    <row r="913" spans="1:2" x14ac:dyDescent="0.2">
      <c r="A913" s="114">
        <v>12.9</v>
      </c>
      <c r="B913" s="63" t="s">
        <v>2529</v>
      </c>
    </row>
    <row r="914" spans="1:2" x14ac:dyDescent="0.2">
      <c r="A914" s="114" t="s">
        <v>2550</v>
      </c>
      <c r="B914" s="63" t="s">
        <v>2530</v>
      </c>
    </row>
    <row r="915" spans="1:2" x14ac:dyDescent="0.2">
      <c r="A915" s="114" t="s">
        <v>2531</v>
      </c>
      <c r="B915" s="63" t="s">
        <v>2532</v>
      </c>
    </row>
    <row r="916" spans="1:2" x14ac:dyDescent="0.2">
      <c r="A916" s="114" t="s">
        <v>2533</v>
      </c>
      <c r="B916" s="63" t="s">
        <v>2534</v>
      </c>
    </row>
    <row r="917" spans="1:2" x14ac:dyDescent="0.2">
      <c r="A917" s="114" t="s">
        <v>2535</v>
      </c>
      <c r="B917" s="63" t="s">
        <v>2536</v>
      </c>
    </row>
    <row r="918" spans="1:2" x14ac:dyDescent="0.2">
      <c r="A918" s="114" t="s">
        <v>2537</v>
      </c>
      <c r="B918" s="63" t="s">
        <v>2538</v>
      </c>
    </row>
    <row r="919" spans="1:2" x14ac:dyDescent="0.2">
      <c r="A919" s="114" t="s">
        <v>2539</v>
      </c>
      <c r="B919" s="63" t="s">
        <v>2540</v>
      </c>
    </row>
    <row r="920" spans="1:2" x14ac:dyDescent="0.2">
      <c r="A920" s="114" t="s">
        <v>2541</v>
      </c>
      <c r="B920" s="63" t="s">
        <v>2542</v>
      </c>
    </row>
    <row r="921" spans="1:2" x14ac:dyDescent="0.2">
      <c r="A921" s="114">
        <v>12.11</v>
      </c>
      <c r="B921" s="63" t="s">
        <v>2543</v>
      </c>
    </row>
    <row r="922" spans="1:2" x14ac:dyDescent="0.2">
      <c r="A922" s="114" t="s">
        <v>2544</v>
      </c>
      <c r="B922" s="63" t="s">
        <v>2545</v>
      </c>
    </row>
    <row r="923" spans="1:2" ht="30" x14ac:dyDescent="0.2">
      <c r="A923" s="108" t="s">
        <v>2109</v>
      </c>
      <c r="B923" s="63" t="s">
        <v>2546</v>
      </c>
    </row>
    <row r="924" spans="1:2" x14ac:dyDescent="0.2">
      <c r="A924" s="109" t="s">
        <v>615</v>
      </c>
      <c r="B924" s="63" t="s">
        <v>2547</v>
      </c>
    </row>
    <row r="925" spans="1:2" x14ac:dyDescent="0.2">
      <c r="A925" s="109" t="s">
        <v>2108</v>
      </c>
      <c r="B925" s="63" t="str">
        <f>CONCATENATE(B923,"; ",B924)</f>
        <v>All system components included in or connected to the cardholder data environment (CDE); The process of determining the CDE and subsequent PCI scope</v>
      </c>
    </row>
    <row r="926" spans="1:2" s="107" customFormat="1" x14ac:dyDescent="0.2">
      <c r="A926" s="109" t="s">
        <v>2116</v>
      </c>
      <c r="B926" s="63" t="str">
        <f>B923</f>
        <v>All system components included in or connected to the cardholder data environment (CDE)</v>
      </c>
    </row>
    <row r="927" spans="1:2" ht="28.5" x14ac:dyDescent="0.2">
      <c r="A927" s="110" t="s">
        <v>2110</v>
      </c>
      <c r="B927" s="63" t="str">
        <f>CONCATENATE(B914,"; ",B923)</f>
        <v>Implement an incident response plan. Be prepared to respond immediately to a system breach.; All system components included in or connected to the cardholder data environment (CDE)</v>
      </c>
    </row>
    <row r="928" spans="1:2" x14ac:dyDescent="0.2">
      <c r="A928" s="111" t="s">
        <v>2111</v>
      </c>
      <c r="B928" s="63"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109" t="s">
        <v>2548</v>
      </c>
      <c r="B929" s="63"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111" t="s">
        <v>2115</v>
      </c>
      <c r="B930" s="63" t="str">
        <f>CONCATENATE(B762,"; ",B773)</f>
        <v>Restrict access to cardholder data by business need to know; Assign a unique ID to each person with computer access</v>
      </c>
    </row>
    <row r="931" spans="1:2" x14ac:dyDescent="0.2">
      <c r="A931" s="110" t="s">
        <v>2118</v>
      </c>
      <c r="B931" s="63"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110" t="s">
        <v>2121</v>
      </c>
      <c r="B932" s="63" t="str">
        <f>CONCATENATE(B773,"; ",B723)</f>
        <v>Assign a unique ID to each person with computer access; Never send unprotected PANs by end-user messaging technologies (for example, e-mail, instant messaging, SMS, chat, etc.).</v>
      </c>
    </row>
    <row r="933" spans="1:2" ht="85.5" x14ac:dyDescent="0.2">
      <c r="A933" s="110" t="s">
        <v>2119</v>
      </c>
      <c r="B933" s="63"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57" x14ac:dyDescent="0.2">
      <c r="A934" s="110" t="s">
        <v>2122</v>
      </c>
      <c r="B934" s="63"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28.5" x14ac:dyDescent="0.2">
      <c r="A935" s="110" t="s">
        <v>2123</v>
      </c>
      <c r="B935" s="63"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ht="28.5" x14ac:dyDescent="0.2">
      <c r="A936" s="110" t="s">
        <v>2124</v>
      </c>
      <c r="B936" s="63"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29.25" thickBot="1" x14ac:dyDescent="0.25">
      <c r="A937" s="110" t="s">
        <v>2125</v>
      </c>
      <c r="B937" s="63"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29.25" thickBot="1" x14ac:dyDescent="0.25">
      <c r="A938" s="112" t="s">
        <v>2126</v>
      </c>
      <c r="B938" s="63"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43.5" thickBot="1" x14ac:dyDescent="0.25">
      <c r="A939" s="113" t="s">
        <v>2127</v>
      </c>
      <c r="B939" s="63"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29.25" thickBot="1" x14ac:dyDescent="0.25">
      <c r="A940" s="113" t="s">
        <v>2128</v>
      </c>
      <c r="B940" s="63"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5.75" thickBot="1" x14ac:dyDescent="0.25">
      <c r="A941" s="112" t="s">
        <v>2129</v>
      </c>
      <c r="B941" s="63" t="str">
        <f>CONCATENATE(B910,"; ",B799)</f>
        <v>Ensure there is an established process for engaging service providers including proper due diligence prior to engagement.; Restrict physical access to cardholder data</v>
      </c>
    </row>
    <row r="942" spans="1:2" ht="15.75" thickBot="1" x14ac:dyDescent="0.25">
      <c r="A942" s="113" t="s">
        <v>2130</v>
      </c>
      <c r="B942" s="63"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29.25" thickBot="1" x14ac:dyDescent="0.25">
      <c r="A943" s="112" t="s">
        <v>2132</v>
      </c>
      <c r="B943" s="63"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72" thickBot="1" x14ac:dyDescent="0.25">
      <c r="A944" s="113" t="s">
        <v>2133</v>
      </c>
      <c r="B944" s="63"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110" t="s">
        <v>2134</v>
      </c>
      <c r="B945" s="63" t="str">
        <f>CONCATENATE(B881,"; ",B799)</f>
        <v>Establish, publish, maintain, and disseminate a security policy.; Restrict physical access to cardholder data</v>
      </c>
    </row>
    <row r="946" spans="1:2" ht="28.5" x14ac:dyDescent="0.2">
      <c r="A946" s="110" t="s">
        <v>2135</v>
      </c>
      <c r="B946" s="63" t="str">
        <f>CONCATENATE(B895,"; ",B897)</f>
        <v>Ensure that the security policy and procedures clearly define information security responsibilities for all personnel.; Assign to an individual or team the following information security management responsibilities:</v>
      </c>
    </row>
    <row r="947" spans="1:2" ht="15.75" thickBot="1" x14ac:dyDescent="0.25">
      <c r="A947" s="110" t="s">
        <v>2137</v>
      </c>
      <c r="B947" s="63"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29.25" thickBot="1" x14ac:dyDescent="0.25">
      <c r="A948" s="112" t="s">
        <v>2139</v>
      </c>
      <c r="B948" s="63"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5.75" thickBot="1" x14ac:dyDescent="0.25">
      <c r="A949" s="113" t="s">
        <v>2140</v>
      </c>
      <c r="B949" s="63"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43.5" thickBot="1" x14ac:dyDescent="0.25">
      <c r="A950" s="110" t="s">
        <v>2141</v>
      </c>
      <c r="B950" s="63"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29.25" thickBot="1" x14ac:dyDescent="0.25">
      <c r="A951" s="112" t="s">
        <v>2142</v>
      </c>
      <c r="B951" s="63"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29.25" thickBot="1" x14ac:dyDescent="0.25">
      <c r="A952" s="113" t="s">
        <v>2143</v>
      </c>
      <c r="B952" s="63" t="str">
        <f>CONCATENATE(B762,"; ",B773,"; ",B799)</f>
        <v>Restrict access to cardholder data by business need to know; Assign a unique ID to each person with computer access; Restrict physical access to cardholder data</v>
      </c>
    </row>
    <row r="953" spans="1:2" x14ac:dyDescent="0.2">
      <c r="A953" s="111" t="s">
        <v>2549</v>
      </c>
      <c r="B953" s="63" t="str">
        <f>CONCATENATE(B881,"; ",B731)</f>
        <v>Establish, publish, maintain, and disseminate a security policy.; Ensure that security policies and operational procedures for protecting systems against malware are documented, in use, and known to all affected parties.</v>
      </c>
    </row>
    <row r="954" spans="1:2" ht="43.5" thickBot="1" x14ac:dyDescent="0.25">
      <c r="A954" s="110" t="s">
        <v>2145</v>
      </c>
      <c r="B954" s="63"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29.25" thickBot="1" x14ac:dyDescent="0.25">
      <c r="A955" s="112" t="s">
        <v>2146</v>
      </c>
      <c r="B955" s="63"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29.25" thickBot="1" x14ac:dyDescent="0.25">
      <c r="A956" s="113" t="s">
        <v>2147</v>
      </c>
      <c r="B956" s="63"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28.5" x14ac:dyDescent="0.2">
      <c r="A957" s="110" t="s">
        <v>2148</v>
      </c>
      <c r="B957" s="63" t="str">
        <f>CONCATENATE(B914,"; ",B827)</f>
        <v>Implement an incident response plan. Be prepared to respond immediately to a system breach.; Track and monitor all access to network resources and cardholder data</v>
      </c>
    </row>
    <row r="958" spans="1:2" x14ac:dyDescent="0.2">
      <c r="B958"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Y268"/>
  <sheetViews>
    <sheetView zoomScale="90" zoomScaleNormal="90" workbookViewId="0">
      <pane ySplit="1" topLeftCell="A148" activePane="bottomLeft" state="frozen"/>
      <selection activeCell="A956" sqref="A956"/>
      <selection pane="bottomLeft" activeCell="I155" sqref="I155"/>
    </sheetView>
  </sheetViews>
  <sheetFormatPr defaultColWidth="8.59765625" defaultRowHeight="14.25" x14ac:dyDescent="0.2"/>
  <cols>
    <col min="1" max="1" width="6" style="71" customWidth="1"/>
    <col min="2" max="2" width="8.59765625" style="71"/>
    <col min="3" max="3" width="28.5" style="71" customWidth="1"/>
    <col min="4" max="4" width="6.19921875" style="71" customWidth="1"/>
    <col min="5" max="5" width="6.09765625" style="71" customWidth="1"/>
    <col min="6" max="6" width="8.59765625" style="71"/>
    <col min="7" max="7" width="4.09765625" style="71" customWidth="1"/>
    <col min="8" max="8" width="5.09765625" style="71" customWidth="1"/>
    <col min="9" max="9" width="3.69921875" style="71" customWidth="1"/>
    <col min="10" max="10" width="3" style="71" customWidth="1"/>
    <col min="11" max="13" width="9.19921875" style="71" customWidth="1"/>
    <col min="14" max="14" width="12.09765625" style="71" customWidth="1"/>
    <col min="15" max="16" width="9.19921875" style="71" customWidth="1"/>
    <col min="17" max="17" width="11.69921875" style="71" customWidth="1"/>
    <col min="18" max="18" width="12.19921875" style="71" bestFit="1" customWidth="1"/>
    <col min="19" max="19" width="12.19921875" style="71" customWidth="1"/>
    <col min="20" max="25" width="9.69921875" style="71" customWidth="1"/>
    <col min="26" max="16384" width="8.59765625" style="71"/>
  </cols>
  <sheetData>
    <row r="1" spans="1:25" ht="72" thickBot="1" x14ac:dyDescent="0.25">
      <c r="A1" s="71" t="s">
        <v>2083</v>
      </c>
      <c r="B1" s="71" t="s">
        <v>2025</v>
      </c>
      <c r="C1" s="71" t="s">
        <v>2026</v>
      </c>
      <c r="D1" s="71" t="s">
        <v>2027</v>
      </c>
      <c r="E1" s="71" t="s">
        <v>2028</v>
      </c>
      <c r="F1" s="71" t="s">
        <v>2046</v>
      </c>
      <c r="G1" s="71" t="s">
        <v>2047</v>
      </c>
      <c r="H1" s="71" t="s">
        <v>2048</v>
      </c>
      <c r="I1" s="71" t="s">
        <v>2049</v>
      </c>
      <c r="J1" s="71" t="s">
        <v>2056</v>
      </c>
      <c r="K1" s="71" t="s">
        <v>2057</v>
      </c>
      <c r="L1" s="71" t="s">
        <v>2052</v>
      </c>
      <c r="M1" s="73" t="s">
        <v>2084</v>
      </c>
      <c r="N1" s="73" t="s">
        <v>562</v>
      </c>
      <c r="O1" s="74" t="s">
        <v>2085</v>
      </c>
      <c r="P1" s="75" t="s">
        <v>565</v>
      </c>
      <c r="Q1" s="74" t="s">
        <v>564</v>
      </c>
      <c r="R1" s="74" t="s">
        <v>563</v>
      </c>
      <c r="S1" s="74" t="s">
        <v>2045</v>
      </c>
      <c r="T1" s="76"/>
      <c r="U1" s="76" t="s">
        <v>2050</v>
      </c>
      <c r="V1" s="76" t="s">
        <v>2051</v>
      </c>
      <c r="W1" s="76" t="s">
        <v>2052</v>
      </c>
      <c r="X1" s="76" t="s">
        <v>2053</v>
      </c>
      <c r="Y1" s="76" t="s">
        <v>2054</v>
      </c>
    </row>
    <row r="2" spans="1:25" ht="72" thickBot="1" x14ac:dyDescent="0.25">
      <c r="A2" s="71">
        <v>1</v>
      </c>
      <c r="B2" s="77" t="s">
        <v>164</v>
      </c>
      <c r="C2" s="78" t="str">
        <f>VLOOKUP(B2,'HECVAT - Full'!A:E,2,FALSE)</f>
        <v>Does your product process protected health information (PHI) or any data covered by the Health Insurance Portability and Accountability Act?</v>
      </c>
      <c r="D2" s="71">
        <f>VLOOKUP(B2,'HECVAT - Full'!A:E,4,FALSE)</f>
        <v>0</v>
      </c>
      <c r="E2" s="79" t="b">
        <v>1</v>
      </c>
      <c r="F2" s="80" t="s">
        <v>12</v>
      </c>
      <c r="G2" s="80" t="s">
        <v>17</v>
      </c>
      <c r="H2" s="81">
        <v>1</v>
      </c>
      <c r="I2" s="71">
        <f>VLOOKUP(B2,'HECVAT - Full'!A:E,3,FALSE)</f>
        <v>0</v>
      </c>
      <c r="J2" s="71">
        <v>1</v>
      </c>
      <c r="K2" s="71">
        <f>IF(Table1[[#This Row],[Column8]]=1,10,"")</f>
        <v>10</v>
      </c>
      <c r="L2" s="71">
        <f>IF(Table1[[#This Row],[Column8]]=1,J2*K2,"")</f>
        <v>10</v>
      </c>
      <c r="M2" s="72" t="str">
        <f>VLOOKUP($B2,'Standards Crosswalk'!$A:$H,3,FALSE)</f>
        <v>CSC 13</v>
      </c>
      <c r="N2" s="72" t="str">
        <f>VLOOKUP($B2,'Standards Crosswalk'!$A:$H,4,FALSE)</f>
        <v>Discovery</v>
      </c>
      <c r="O2" s="72" t="str">
        <f>VLOOKUP($B2,'Standards Crosswalk'!$A:$H,5,FALSE)</f>
        <v>18.1.1</v>
      </c>
      <c r="P2" s="72" t="str">
        <f>VLOOKUP($B2,'Standards Crosswalk'!$A:$H,6,FALSE)</f>
        <v>ID.GV-3</v>
      </c>
      <c r="Q2" s="72" t="str">
        <f>VLOOKUP($B2,'Standards Crosswalk'!$A:$H,7,FALSE)</f>
        <v>ID.GV-3</v>
      </c>
      <c r="R2" s="72" t="str">
        <f>VLOOKUP($B2,'Standards Crosswalk'!$A:$H,8,FALSE)</f>
        <v>RA-2</v>
      </c>
      <c r="S2" s="72">
        <f>VLOOKUP($B2,'Standards Crosswalk'!$A:$I,9,FALSE)</f>
        <v>0</v>
      </c>
      <c r="T2" s="77" t="s">
        <v>18</v>
      </c>
      <c r="U2" s="82">
        <f>COUNTIFS(B:B,"DOCU*",J:J,"=1")</f>
        <v>0</v>
      </c>
      <c r="V2" s="83">
        <f>COUNTIF(B:B,"DOCU*")</f>
        <v>6</v>
      </c>
      <c r="W2" s="83">
        <f>SUMIFS(L:L,B:B, "DOCU*")</f>
        <v>0</v>
      </c>
      <c r="X2" s="83">
        <f>SUMIFS(K:K,B:B, "DOCU*")</f>
        <v>105</v>
      </c>
      <c r="Y2" s="84">
        <f t="shared" ref="Y2:Y14" si="0">W2/X2</f>
        <v>0</v>
      </c>
    </row>
    <row r="3" spans="1:25" ht="43.5" thickBot="1" x14ac:dyDescent="0.25">
      <c r="A3" s="71">
        <f>A2+1</f>
        <v>2</v>
      </c>
      <c r="B3" s="77" t="s">
        <v>165</v>
      </c>
      <c r="C3" s="78" t="str">
        <f>VLOOKUP(B3,'HECVAT - Full'!A:E,2,FALSE)</f>
        <v>Does the vended product host/support a mobile application? (e.g. app)</v>
      </c>
      <c r="D3" s="71">
        <f>VLOOKUP(B3,'HECVAT - Full'!A:E,4,FALSE)</f>
        <v>0</v>
      </c>
      <c r="E3" s="79" t="b">
        <v>0</v>
      </c>
      <c r="F3" s="80" t="s">
        <v>12</v>
      </c>
      <c r="G3" s="80" t="s">
        <v>17</v>
      </c>
      <c r="H3" s="81">
        <v>1</v>
      </c>
      <c r="I3" s="71">
        <f>VLOOKUP(B3,'HECVAT - Full'!A:E,3,FALSE)</f>
        <v>0</v>
      </c>
      <c r="J3" s="71">
        <v>1</v>
      </c>
      <c r="K3" s="71">
        <f>IF(Table1[[#This Row],[Column8]]=1,10,"")</f>
        <v>10</v>
      </c>
      <c r="L3" s="71">
        <f>IF(Table1[[#This Row],[Column8]]=1,J3*K3,"")</f>
        <v>10</v>
      </c>
      <c r="M3" s="72" t="str">
        <f>VLOOKUP($B3,'Standards Crosswalk'!$A:$H,3,FALSE)</f>
        <v>CSC 18</v>
      </c>
      <c r="N3" s="72">
        <f>VLOOKUP($B3,'Standards Crosswalk'!$A:$H,4,FALSE)</f>
        <v>0</v>
      </c>
      <c r="O3" s="72">
        <f>VLOOKUP($B3,'Standards Crosswalk'!$A:$H,5,FALSE)</f>
        <v>0</v>
      </c>
      <c r="P3" s="72">
        <f>VLOOKUP($B3,'Standards Crosswalk'!$A:$H,6,FALSE)</f>
        <v>0</v>
      </c>
      <c r="Q3" s="72">
        <f>VLOOKUP($B3,'Standards Crosswalk'!$A:$H,7,FALSE)</f>
        <v>0</v>
      </c>
      <c r="R3" s="72" t="str">
        <f>VLOOKUP($B3,'Standards Crosswalk'!$A:$H,8,FALSE)</f>
        <v>IA-2, IA-3, CM-3, SI-2</v>
      </c>
      <c r="S3" s="72">
        <f>VLOOKUP($B3,'Standards Crosswalk'!$A:$I,9,FALSE)</f>
        <v>0</v>
      </c>
      <c r="T3" s="77" t="s">
        <v>2055</v>
      </c>
      <c r="U3" s="85">
        <f>COUNTIFS(B:B,"APPL*",J:J,"=1")</f>
        <v>0</v>
      </c>
      <c r="V3" s="83">
        <f>COUNTIF(B:B,"APPL*")</f>
        <v>17</v>
      </c>
      <c r="W3" s="83">
        <f>SUMIFS(L:L,B:B, "APPL*")</f>
        <v>0</v>
      </c>
      <c r="X3" s="83">
        <f>SUMIFS(K:K,B:B, "APPL*")</f>
        <v>375</v>
      </c>
      <c r="Y3" s="84">
        <f t="shared" si="0"/>
        <v>0</v>
      </c>
    </row>
    <row r="4" spans="1:25" ht="72" thickBot="1" x14ac:dyDescent="0.25">
      <c r="A4" s="71">
        <f t="shared" ref="A4:A67" si="1">A3+1</f>
        <v>3</v>
      </c>
      <c r="B4" s="77" t="s">
        <v>166</v>
      </c>
      <c r="C4" s="78" t="str">
        <f>VLOOKUP(B4,'HECVAT - Full'!A:E,2,FALSE)</f>
        <v>Will institution data be shared with or hosted by any third parties? (e.g. any entity not wholly-owned by your company is considered a third-party)</v>
      </c>
      <c r="D4" s="71">
        <f>VLOOKUP(B4,'HECVAT - Full'!A:E,4,FALSE)</f>
        <v>0</v>
      </c>
      <c r="E4" s="79" t="b">
        <v>1</v>
      </c>
      <c r="F4" s="80" t="s">
        <v>12</v>
      </c>
      <c r="G4" s="80" t="s">
        <v>20</v>
      </c>
      <c r="H4" s="81">
        <v>1</v>
      </c>
      <c r="I4" s="71">
        <f>VLOOKUP(B4,'HECVAT - Full'!A:E,3,FALSE)</f>
        <v>0</v>
      </c>
      <c r="J4" s="71">
        <v>1</v>
      </c>
      <c r="K4" s="71">
        <f>IF(Table1[[#This Row],[Column8]]=1,10,"")</f>
        <v>10</v>
      </c>
      <c r="L4" s="71">
        <f>IF(Table1[[#This Row],[Column8]]=1,J4*K4,"")</f>
        <v>10</v>
      </c>
      <c r="M4" s="72" t="str">
        <f>VLOOKUP($B4,'Standards Crosswalk'!$A:$H,3,FALSE)</f>
        <v>CSC 13</v>
      </c>
      <c r="N4" s="72">
        <f>VLOOKUP($B4,'Standards Crosswalk'!$A:$H,4,FALSE)</f>
        <v>0</v>
      </c>
      <c r="O4" s="72">
        <f>VLOOKUP($B4,'Standards Crosswalk'!$A:$H,5,FALSE)</f>
        <v>0</v>
      </c>
      <c r="P4" s="72" t="str">
        <f>VLOOKUP($B4,'Standards Crosswalk'!$A:$H,6,FALSE)</f>
        <v>ID.AM-6, PR.AT-3</v>
      </c>
      <c r="Q4" s="72" t="str">
        <f>VLOOKUP($B4,'Standards Crosswalk'!$A:$H,7,FALSE)</f>
        <v>ID.AM-6, PR.AT-3</v>
      </c>
      <c r="R4" s="72">
        <f>VLOOKUP($B4,'Standards Crosswalk'!$A:$H,8,FALSE)</f>
        <v>0</v>
      </c>
      <c r="S4" s="72">
        <f>VLOOKUP($B4,'Standards Crosswalk'!$A:$I,9,FALSE)</f>
        <v>12.8</v>
      </c>
      <c r="T4" s="77" t="s">
        <v>2030</v>
      </c>
      <c r="U4" s="85">
        <f>COUNTIFS(B:B,"AAAI*",J:J,"=1")</f>
        <v>0</v>
      </c>
      <c r="V4" s="83">
        <f>COUNTIF(B:B,"AAAI*")</f>
        <v>17</v>
      </c>
      <c r="W4" s="83">
        <f>SUMIFS(L:L,B:B, "AAAI*")</f>
        <v>0</v>
      </c>
      <c r="X4" s="83">
        <f>SUMIFS(K:K,B:B, "AAAI*")</f>
        <v>365</v>
      </c>
      <c r="Y4" s="84">
        <f t="shared" si="0"/>
        <v>0</v>
      </c>
    </row>
    <row r="5" spans="1:25" ht="43.5" thickBot="1" x14ac:dyDescent="0.25">
      <c r="A5" s="71">
        <f t="shared" si="1"/>
        <v>4</v>
      </c>
      <c r="B5" s="77" t="s">
        <v>167</v>
      </c>
      <c r="C5" s="78" t="str">
        <f>VLOOKUP(B5,'HECVAT - Full'!A:E,2,FALSE)</f>
        <v>Do you have a Business Continuity Plan (BCP)?</v>
      </c>
      <c r="D5" s="71">
        <f>VLOOKUP(B5,'HECVAT - Full'!A:E,4,FALSE)</f>
        <v>0</v>
      </c>
      <c r="E5" s="79" t="b">
        <v>1</v>
      </c>
      <c r="F5" s="80" t="s">
        <v>12</v>
      </c>
      <c r="G5" s="80" t="s">
        <v>17</v>
      </c>
      <c r="H5" s="81">
        <v>1</v>
      </c>
      <c r="I5" s="71">
        <f>VLOOKUP(B5,'HECVAT - Full'!A:E,3,FALSE)</f>
        <v>0</v>
      </c>
      <c r="J5" s="71">
        <v>1</v>
      </c>
      <c r="K5" s="71">
        <f>IF(Table1[[#This Row],[Column8]]=1,10,"")</f>
        <v>10</v>
      </c>
      <c r="L5" s="71">
        <f>IF(Table1[[#This Row],[Column8]]=1,J5*K5,"")</f>
        <v>10</v>
      </c>
      <c r="M5" s="72" t="str">
        <f>VLOOKUP($B5,'Standards Crosswalk'!$A:$H,3,FALSE)</f>
        <v>CSC 10</v>
      </c>
      <c r="N5" s="72">
        <f>VLOOKUP($B5,'Standards Crosswalk'!$A:$H,4,FALSE)</f>
        <v>0</v>
      </c>
      <c r="O5" s="72" t="str">
        <f>VLOOKUP($B5,'Standards Crosswalk'!$A:$H,5,FALSE)</f>
        <v>17.1.2</v>
      </c>
      <c r="P5" s="72" t="str">
        <f>VLOOKUP($B5,'Standards Crosswalk'!$A:$H,6,FALSE)</f>
        <v>PR.IP-9</v>
      </c>
      <c r="Q5" s="72" t="str">
        <f>VLOOKUP($B5,'Standards Crosswalk'!$A:$H,7,FALSE)</f>
        <v>PR.IP-9</v>
      </c>
      <c r="R5" s="72" t="str">
        <f>VLOOKUP($B5,'Standards Crosswalk'!$A:$H,8,FALSE)</f>
        <v>AU-7, AU-9, IR-4</v>
      </c>
      <c r="S5" s="72">
        <f>VLOOKUP($B5,'Standards Crosswalk'!$A:$I,9,FALSE)</f>
        <v>12.1</v>
      </c>
      <c r="T5" s="86" t="s">
        <v>2032</v>
      </c>
      <c r="U5" s="85">
        <f>COUNTIFS(B:B,"CHNG*",J:J,"=1")</f>
        <v>0</v>
      </c>
      <c r="V5" s="83">
        <f>COUNTIF(B:B,"CHNG*")</f>
        <v>15</v>
      </c>
      <c r="W5" s="83">
        <f>SUMIFS(L:L,B:B, "CHNG*")</f>
        <v>0</v>
      </c>
      <c r="X5" s="83">
        <f>SUMIFS(K:K,B:B, "CHNG*")</f>
        <v>275</v>
      </c>
      <c r="Y5" s="84">
        <f t="shared" si="0"/>
        <v>0</v>
      </c>
    </row>
    <row r="6" spans="1:25" ht="15" thickBot="1" x14ac:dyDescent="0.25">
      <c r="A6" s="118"/>
      <c r="B6" s="119"/>
      <c r="C6" s="120"/>
      <c r="D6" s="118"/>
      <c r="E6" s="121"/>
      <c r="F6" s="122"/>
      <c r="G6" s="123"/>
      <c r="H6" s="124"/>
      <c r="I6" s="118"/>
      <c r="J6" s="118"/>
      <c r="K6" s="118"/>
      <c r="L6" s="118"/>
      <c r="M6" s="125"/>
      <c r="N6" s="125">
        <f>VLOOKUP($B7,'Standards Crosswalk'!$A:$H,4,FALSE)</f>
        <v>0</v>
      </c>
      <c r="O6" s="125"/>
      <c r="P6" s="125"/>
      <c r="Q6" s="125"/>
      <c r="R6" s="125"/>
      <c r="S6" s="125"/>
      <c r="T6" s="97" t="s">
        <v>2559</v>
      </c>
      <c r="U6" s="85">
        <f>COUNTIFS(B:B,"COMP*",J:J,"=1")</f>
        <v>0</v>
      </c>
      <c r="V6" s="83">
        <f>COUNTIF(B:B,"COMP*")</f>
        <v>7</v>
      </c>
      <c r="W6" s="83">
        <f>SUMIFS(L:L,B:B, "COMP*")</f>
        <v>0</v>
      </c>
      <c r="X6" s="83">
        <f>SUMIFS(K:K,B:B, "COMP*")</f>
        <v>120</v>
      </c>
      <c r="Y6" s="84">
        <f t="shared" ref="Y6" si="2">W6/X6</f>
        <v>0</v>
      </c>
    </row>
    <row r="7" spans="1:25" ht="29.25" thickBot="1" x14ac:dyDescent="0.25">
      <c r="A7" s="71">
        <f>A5+1</f>
        <v>5</v>
      </c>
      <c r="B7" s="77" t="s">
        <v>168</v>
      </c>
      <c r="C7" s="78" t="str">
        <f>VLOOKUP(B7,'HECVAT - Full'!A:E,2,FALSE)</f>
        <v>Do you have a Disaster Recovery Plan (DRP)?</v>
      </c>
      <c r="D7" s="71">
        <f>VLOOKUP(B7,'HECVAT - Full'!A:E,4,FALSE)</f>
        <v>0</v>
      </c>
      <c r="E7" s="79" t="b">
        <v>1</v>
      </c>
      <c r="F7" s="80" t="s">
        <v>12</v>
      </c>
      <c r="G7" s="80" t="s">
        <v>17</v>
      </c>
      <c r="H7" s="81">
        <v>1</v>
      </c>
      <c r="I7" s="71">
        <f>VLOOKUP(B7,'HECVAT - Full'!A:E,3,FALSE)</f>
        <v>0</v>
      </c>
      <c r="J7" s="71">
        <v>1</v>
      </c>
      <c r="K7" s="71">
        <f>IF(Table1[[#This Row],[Column8]]=1,10,"")</f>
        <v>10</v>
      </c>
      <c r="L7" s="71">
        <f>IF(Table1[[#This Row],[Column8]]=1,J7*K7,"")</f>
        <v>10</v>
      </c>
      <c r="M7" s="72" t="str">
        <f>VLOOKUP($B7,'Standards Crosswalk'!$A:$H,3,FALSE)</f>
        <v>CSC 10</v>
      </c>
      <c r="N7" s="72">
        <f>VLOOKUP($B7,'Standards Crosswalk'!$A:$H,4,FALSE)</f>
        <v>0</v>
      </c>
      <c r="O7" s="72" t="str">
        <f>VLOOKUP($B7,'Standards Crosswalk'!$A:$H,5,FALSE)</f>
        <v>17.1.2</v>
      </c>
      <c r="P7" s="72" t="str">
        <f>VLOOKUP($B7,'Standards Crosswalk'!$A:$H,6,FALSE)</f>
        <v>PR.IP-9</v>
      </c>
      <c r="Q7" s="72" t="str">
        <f>VLOOKUP($B7,'Standards Crosswalk'!$A:$H,7,FALSE)</f>
        <v>PR.IP-9</v>
      </c>
      <c r="R7" s="72" t="str">
        <f>VLOOKUP($B7,'Standards Crosswalk'!$A:$H,8,FALSE)</f>
        <v>CA-5, PL-2</v>
      </c>
      <c r="S7" s="72">
        <f>VLOOKUP($B7,'Standards Crosswalk'!$A:$I,9,FALSE)</f>
        <v>12.1</v>
      </c>
      <c r="T7" s="77" t="s">
        <v>2033</v>
      </c>
      <c r="U7" s="87">
        <f>COUNTIFS(B:B,"DATA*",J:J,"=1")</f>
        <v>0</v>
      </c>
      <c r="V7" s="88">
        <f>COUNTIF(B:B,"DATA*")</f>
        <v>27</v>
      </c>
      <c r="W7" s="88">
        <f>SUMIFS(L:L,B:B, "DATA*")</f>
        <v>0</v>
      </c>
      <c r="X7" s="88">
        <f>SUMIFS(K:K,B:B, "DATA*")</f>
        <v>550</v>
      </c>
      <c r="Y7" s="89">
        <f t="shared" si="0"/>
        <v>0</v>
      </c>
    </row>
    <row r="8" spans="1:25" ht="29.25" thickBot="1" x14ac:dyDescent="0.25">
      <c r="A8" s="71">
        <f t="shared" si="1"/>
        <v>6</v>
      </c>
      <c r="B8" s="77" t="s">
        <v>169</v>
      </c>
      <c r="C8" s="78" t="str">
        <f>VLOOKUP(B8,'HECVAT - Full'!A:E,2,FALSE)</f>
        <v>Will data regulated by PCI DSS reside in the vended product?</v>
      </c>
      <c r="D8" s="71">
        <f>VLOOKUP(B8,'HECVAT - Full'!A:E,4,FALSE)</f>
        <v>0</v>
      </c>
      <c r="E8" s="79" t="b">
        <v>1</v>
      </c>
      <c r="F8" s="80" t="s">
        <v>12</v>
      </c>
      <c r="G8" s="80" t="s">
        <v>20</v>
      </c>
      <c r="H8" s="81">
        <v>1</v>
      </c>
      <c r="I8" s="71">
        <f>VLOOKUP(B8,'HECVAT - Full'!A:E,3,FALSE)</f>
        <v>0</v>
      </c>
      <c r="J8" s="71">
        <v>1</v>
      </c>
      <c r="K8" s="71">
        <f>IF(Table1[[#This Row],[Column8]]=1,10,"")</f>
        <v>10</v>
      </c>
      <c r="L8" s="71">
        <f>IF(Table1[[#This Row],[Column8]]=1,J8*K8,"")</f>
        <v>10</v>
      </c>
      <c r="M8" s="72" t="str">
        <f>VLOOKUP($B8,'Standards Crosswalk'!$A:$H,3,FALSE)</f>
        <v>CSC 13</v>
      </c>
      <c r="N8" s="72">
        <f>VLOOKUP($B8,'Standards Crosswalk'!$A:$H,4,FALSE)</f>
        <v>0</v>
      </c>
      <c r="O8" s="72" t="str">
        <f>VLOOKUP($B8,'Standards Crosswalk'!$A:$H,5,FALSE)</f>
        <v>18.1.1</v>
      </c>
      <c r="P8" s="72" t="str">
        <f>VLOOKUP($B8,'Standards Crosswalk'!$A:$H,6,FALSE)</f>
        <v>ID.GV-3</v>
      </c>
      <c r="Q8" s="72" t="str">
        <f>VLOOKUP($B8,'Standards Crosswalk'!$A:$H,7,FALSE)</f>
        <v>ID.GV-3</v>
      </c>
      <c r="R8" s="72" t="str">
        <f>VLOOKUP($B8,'Standards Crosswalk'!$A:$H,8,FALSE)</f>
        <v>RA-2</v>
      </c>
      <c r="S8" s="72" t="str">
        <f>VLOOKUP($B8,'Standards Crosswalk'!$A:$I,9,FALSE)</f>
        <v>PCI Scope, Discovery</v>
      </c>
      <c r="T8" s="73" t="s">
        <v>2034</v>
      </c>
      <c r="U8" s="85">
        <f>COUNTIFS(B:B,"DBAS*",J:J,"=1")</f>
        <v>0</v>
      </c>
      <c r="V8" s="83">
        <f>COUNTIF(B:B,"DBAS*")</f>
        <v>2</v>
      </c>
      <c r="W8" s="83">
        <f>SUMIFS(L:L,B:B, "DBAS*")</f>
        <v>0</v>
      </c>
      <c r="X8" s="83">
        <f>SUMIFS(K:K,B:B, "DBAS*")</f>
        <v>50</v>
      </c>
      <c r="Y8" s="84">
        <f t="shared" si="0"/>
        <v>0</v>
      </c>
    </row>
    <row r="9" spans="1:25" ht="43.5" thickBot="1" x14ac:dyDescent="0.25">
      <c r="A9" s="71">
        <f t="shared" si="1"/>
        <v>7</v>
      </c>
      <c r="B9" s="77" t="s">
        <v>170</v>
      </c>
      <c r="C9" s="78" t="str">
        <f>VLOOKUP(B9,'HECVAT - Full'!A:E,2,FALSE)</f>
        <v>Is your company a consulting firm providing only consultation to the Institution?</v>
      </c>
      <c r="D9" s="71">
        <f>VLOOKUP(B9,'HECVAT - Full'!A:E,4,FALSE)</f>
        <v>0</v>
      </c>
      <c r="E9" s="79" t="b">
        <v>0</v>
      </c>
      <c r="F9" s="80" t="s">
        <v>12</v>
      </c>
      <c r="G9" s="80" t="s">
        <v>17</v>
      </c>
      <c r="H9" s="81">
        <v>1</v>
      </c>
      <c r="I9" s="71">
        <f>VLOOKUP(B9,'HECVAT - Full'!A:E,3,FALSE)</f>
        <v>0</v>
      </c>
      <c r="J9" s="71">
        <v>1</v>
      </c>
      <c r="K9" s="71">
        <f>IF(Table1[[#This Row],[Column8]]=1,10,"")</f>
        <v>10</v>
      </c>
      <c r="L9" s="71">
        <f>IF(Table1[[#This Row],[Column8]]=1,J9*K9,"")</f>
        <v>10</v>
      </c>
      <c r="M9" s="72" t="str">
        <f>VLOOKUP($B9,'Standards Crosswalk'!$A:$H,3,FALSE)</f>
        <v>CSC 14</v>
      </c>
      <c r="N9" s="72">
        <f>VLOOKUP($B9,'Standards Crosswalk'!$A:$H,4,FALSE)</f>
        <v>0</v>
      </c>
      <c r="O9" s="72">
        <f>VLOOKUP($B9,'Standards Crosswalk'!$A:$H,5,FALSE)</f>
        <v>0</v>
      </c>
      <c r="P9" s="72">
        <f>VLOOKUP($B9,'Standards Crosswalk'!$A:$H,6,FALSE)</f>
        <v>0</v>
      </c>
      <c r="Q9" s="72">
        <f>VLOOKUP($B9,'Standards Crosswalk'!$A:$H,7,FALSE)</f>
        <v>0</v>
      </c>
      <c r="R9" s="72">
        <f>VLOOKUP($B9,'Standards Crosswalk'!$A:$H,8,FALSE)</f>
        <v>0</v>
      </c>
      <c r="S9" s="72" t="str">
        <f>VLOOKUP($B9,'Standards Crosswalk'!$A:$I,9,FALSE)</f>
        <v>PCI Scope</v>
      </c>
      <c r="T9" s="73" t="s">
        <v>2035</v>
      </c>
      <c r="U9" s="85">
        <f>COUNTIFS(B:B,"DCTR*",J:J,"=1")</f>
        <v>0</v>
      </c>
      <c r="V9" s="83">
        <f>COUNTIF(B:B,"DCTR*")</f>
        <v>18</v>
      </c>
      <c r="W9" s="83">
        <f>SUMIFS(L:L,B:B, "DCTR*")</f>
        <v>0</v>
      </c>
      <c r="X9" s="83">
        <f>SUMIFS(K:K,B:B, "DCTR*")</f>
        <v>290</v>
      </c>
      <c r="Y9" s="84">
        <f t="shared" si="0"/>
        <v>0</v>
      </c>
    </row>
    <row r="10" spans="1:25" ht="29.25" thickBot="1" x14ac:dyDescent="0.25">
      <c r="A10" s="71">
        <f t="shared" si="1"/>
        <v>8</v>
      </c>
      <c r="B10" s="77" t="s">
        <v>171</v>
      </c>
      <c r="C10" s="78" t="str">
        <f>VLOOKUP(B10,'HECVAT - Full'!A:E,2,FALSE)</f>
        <v>Have you undergone a SSAE 18 audit?</v>
      </c>
      <c r="D10" s="71">
        <f>VLOOKUP(B10,'HECVAT - Full'!A:E,4,FALSE)</f>
        <v>0</v>
      </c>
      <c r="E10" s="79" t="b">
        <f>IF(Table1[[#This Row],[Column11]]&gt;20,TRUE,FALSE)</f>
        <v>0</v>
      </c>
      <c r="F10" s="79" t="s">
        <v>18</v>
      </c>
      <c r="G10" s="80" t="s">
        <v>17</v>
      </c>
      <c r="H10" s="81">
        <v>1</v>
      </c>
      <c r="I10" s="71">
        <f>VLOOKUP(B10,'HECVAT - Full'!A:E,3,FALSE)</f>
        <v>0</v>
      </c>
      <c r="J10" s="71">
        <f>IF(Table1[[#This Row],[Column7]]=Table1[[#This Row],[Column9]],1,0)</f>
        <v>0</v>
      </c>
      <c r="K10" s="71">
        <f>IF(Table1[[#This Row],[Column8]]=1,15,"")</f>
        <v>15</v>
      </c>
      <c r="L10" s="71">
        <f>IF(Table1[[#This Row],[Column8]]=1,J10*K10,"")</f>
        <v>0</v>
      </c>
      <c r="M10" s="72">
        <f>VLOOKUP($B10,'Standards Crosswalk'!$A:$H,3,FALSE)</f>
        <v>0</v>
      </c>
      <c r="N10" s="72">
        <f>VLOOKUP($B10,'Standards Crosswalk'!$A:$H,4,FALSE)</f>
        <v>0</v>
      </c>
      <c r="O10" s="72" t="str">
        <f>VLOOKUP($B10,'Standards Crosswalk'!$A:$H,5,FALSE)</f>
        <v>15.2.1</v>
      </c>
      <c r="P10" s="72">
        <f>VLOOKUP($B10,'Standards Crosswalk'!$A:$H,6,FALSE)</f>
        <v>0</v>
      </c>
      <c r="Q10" s="72">
        <f>VLOOKUP($B10,'Standards Crosswalk'!$A:$H,7,FALSE)</f>
        <v>0</v>
      </c>
      <c r="R10" s="72" t="str">
        <f>VLOOKUP($B10,'Standards Crosswalk'!$A:$H,8,FALSE)</f>
        <v>SA-9</v>
      </c>
      <c r="S10" s="72">
        <f>VLOOKUP($B10,'Standards Crosswalk'!$A:$I,9,FALSE)</f>
        <v>0</v>
      </c>
      <c r="T10" s="73" t="s">
        <v>2037</v>
      </c>
      <c r="U10" s="85">
        <f>COUNTIFS(B:B,"FIDP*",J:J,"=1")</f>
        <v>0</v>
      </c>
      <c r="V10" s="83">
        <f>COUNTIF(B:B,"FIDP*")</f>
        <v>12</v>
      </c>
      <c r="W10" s="83">
        <f>SUMIFS(L:L,B:B, "FIDP*")</f>
        <v>0</v>
      </c>
      <c r="X10" s="83">
        <f>SUMIFS(K:K,B:B, "FIDP*")</f>
        <v>245</v>
      </c>
      <c r="Y10" s="84">
        <f t="shared" si="0"/>
        <v>0</v>
      </c>
    </row>
    <row r="11" spans="1:25" ht="57.75" thickBot="1" x14ac:dyDescent="0.25">
      <c r="A11" s="71">
        <f t="shared" si="1"/>
        <v>9</v>
      </c>
      <c r="B11" s="77" t="s">
        <v>172</v>
      </c>
      <c r="C11" s="78" t="str">
        <f>VLOOKUP(B11,'HECVAT - Full'!A:E,2,FALSE)</f>
        <v>Have you completed the Cloud Security Alliance (CSA) self assessment or CAIQ?</v>
      </c>
      <c r="D11" s="71">
        <f>VLOOKUP(B11,'HECVAT - Full'!A:E,4,FALSE)</f>
        <v>0</v>
      </c>
      <c r="E11" s="79" t="b">
        <f>IF(Table1[[#This Row],[Column11]]&gt;20,TRUE,FALSE)</f>
        <v>0</v>
      </c>
      <c r="F11" s="79" t="s">
        <v>18</v>
      </c>
      <c r="G11" s="80" t="s">
        <v>17</v>
      </c>
      <c r="H11" s="81">
        <v>1</v>
      </c>
      <c r="I11" s="71">
        <f>VLOOKUP(B11,'HECVAT - Full'!A:E,3,FALSE)</f>
        <v>0</v>
      </c>
      <c r="J11" s="71">
        <f>IF(Table1[[#This Row],[Column7]]=Table1[[#This Row],[Column9]],1,0)</f>
        <v>0</v>
      </c>
      <c r="K11" s="71">
        <f>IF(Table1[[#This Row],[Column8]]=1,10,"")</f>
        <v>10</v>
      </c>
      <c r="L11" s="71">
        <f>IF(Table1[[#This Row],[Column8]]=1,J11*K11,"")</f>
        <v>0</v>
      </c>
      <c r="M11" s="72">
        <f>VLOOKUP($B11,'Standards Crosswalk'!$A:$H,3,FALSE)</f>
        <v>0</v>
      </c>
      <c r="N11" s="72">
        <f>VLOOKUP($B11,'Standards Crosswalk'!$A:$H,4,FALSE)</f>
        <v>0</v>
      </c>
      <c r="O11" s="72" t="str">
        <f>VLOOKUP($B11,'Standards Crosswalk'!$A:$H,5,FALSE)</f>
        <v>15.2.1</v>
      </c>
      <c r="P11" s="72">
        <f>VLOOKUP($B11,'Standards Crosswalk'!$A:$H,6,FALSE)</f>
        <v>0</v>
      </c>
      <c r="Q11" s="72">
        <f>VLOOKUP($B11,'Standards Crosswalk'!$A:$H,7,FALSE)</f>
        <v>0</v>
      </c>
      <c r="R11" s="72" t="str">
        <f>VLOOKUP($B11,'Standards Crosswalk'!$A:$H,8,FALSE)</f>
        <v>PE-2, PE-3, PE-5, PE-11, PE-13, PE-14, SA-9</v>
      </c>
      <c r="S11" s="72">
        <f>VLOOKUP($B11,'Standards Crosswalk'!$A:$I,9,FALSE)</f>
        <v>0</v>
      </c>
      <c r="T11" s="73" t="s">
        <v>2039</v>
      </c>
      <c r="U11" s="85">
        <f>COUNTIFS(B:B,"PHYS*",J:J,"=1")</f>
        <v>0</v>
      </c>
      <c r="V11" s="83">
        <f>COUNTIF(B:B,"PHYS*")</f>
        <v>5</v>
      </c>
      <c r="W11" s="83">
        <f>SUMIFS(L:L,B:B, "PHYS*")</f>
        <v>0</v>
      </c>
      <c r="X11" s="83">
        <f>SUMIFS(K:K,B:B, "PHYS*")</f>
        <v>100</v>
      </c>
      <c r="Y11" s="84">
        <f t="shared" si="0"/>
        <v>0</v>
      </c>
    </row>
    <row r="12" spans="1:25" ht="57.75" thickBot="1" x14ac:dyDescent="0.25">
      <c r="A12" s="71">
        <f t="shared" si="1"/>
        <v>10</v>
      </c>
      <c r="B12" s="77" t="s">
        <v>173</v>
      </c>
      <c r="C12" s="78" t="str">
        <f>VLOOKUP(B12,'HECVAT - Full'!A:E,2,FALSE)</f>
        <v>Have you received the Cloud Security Alliance STAR certification?</v>
      </c>
      <c r="D12" s="71">
        <f>VLOOKUP(B12,'HECVAT - Full'!A:E,4,FALSE)</f>
        <v>0</v>
      </c>
      <c r="E12" s="79" t="b">
        <f>IF(Table1[[#This Row],[Column11]]&gt;20,TRUE,FALSE)</f>
        <v>0</v>
      </c>
      <c r="F12" s="79" t="s">
        <v>18</v>
      </c>
      <c r="G12" s="80" t="s">
        <v>17</v>
      </c>
      <c r="H12" s="81">
        <v>1</v>
      </c>
      <c r="I12" s="71">
        <f>VLOOKUP(B12,'HECVAT - Full'!A:E,3,FALSE)</f>
        <v>0</v>
      </c>
      <c r="J12" s="71">
        <f>IF(Table1[[#This Row],[Column7]]=Table1[[#This Row],[Column9]],1,0)</f>
        <v>0</v>
      </c>
      <c r="K12" s="71">
        <f>IF(Table1[[#This Row],[Column8]]=1,15,"")</f>
        <v>15</v>
      </c>
      <c r="L12" s="71">
        <f>IF(Table1[[#This Row],[Column8]]=1,J12*K12,"")</f>
        <v>0</v>
      </c>
      <c r="M12" s="72">
        <f>VLOOKUP($B12,'Standards Crosswalk'!$A:$H,3,FALSE)</f>
        <v>0</v>
      </c>
      <c r="N12" s="72">
        <f>VLOOKUP($B12,'Standards Crosswalk'!$A:$H,4,FALSE)</f>
        <v>0</v>
      </c>
      <c r="O12" s="72" t="str">
        <f>VLOOKUP($B12,'Standards Crosswalk'!$A:$H,5,FALSE)</f>
        <v>15.2.1</v>
      </c>
      <c r="P12" s="72">
        <f>VLOOKUP($B12,'Standards Crosswalk'!$A:$H,6,FALSE)</f>
        <v>0</v>
      </c>
      <c r="Q12" s="72">
        <f>VLOOKUP($B12,'Standards Crosswalk'!$A:$H,7,FALSE)</f>
        <v>0</v>
      </c>
      <c r="R12" s="72" t="str">
        <f>VLOOKUP($B12,'Standards Crosswalk'!$A:$H,8,FALSE)</f>
        <v>PE-2, PE-3, PE-5, PE-11, PE-13, PE-14, SA-9</v>
      </c>
      <c r="S12" s="72">
        <f>VLOOKUP($B12,'Standards Crosswalk'!$A:$I,9,FALSE)</f>
        <v>0</v>
      </c>
      <c r="T12" s="73" t="s">
        <v>2040</v>
      </c>
      <c r="U12" s="85">
        <f>COUNTIFS(B:B,"PPPR*",J:J,"=1")</f>
        <v>0</v>
      </c>
      <c r="V12" s="83">
        <f>COUNTIF(B:B,"PPPR*")</f>
        <v>20</v>
      </c>
      <c r="W12" s="83">
        <f>SUMIFS(L:L,B:B, "PPPR*")</f>
        <v>0</v>
      </c>
      <c r="X12" s="83">
        <f>SUMIFS(K:K,B:B, "PPPR*")</f>
        <v>420</v>
      </c>
      <c r="Y12" s="84">
        <f t="shared" si="0"/>
        <v>0</v>
      </c>
    </row>
    <row r="13" spans="1:25" ht="72" thickBot="1" x14ac:dyDescent="0.25">
      <c r="A13" s="71">
        <f t="shared" si="1"/>
        <v>11</v>
      </c>
      <c r="B13" s="77" t="s">
        <v>174</v>
      </c>
      <c r="C13" s="78" t="str">
        <f>VLOOKUP(B13,'HECVAT - Full'!A:E,2,FALSE)</f>
        <v>Do you conform with a specific industry standard security framework? (e.g. NIST Cybersecurity Framework, ISO 27001, etc.)</v>
      </c>
      <c r="D13" s="71">
        <f>VLOOKUP(B13,'HECVAT - Full'!A:E,4,FALSE)</f>
        <v>0</v>
      </c>
      <c r="E13" s="79" t="b">
        <f>IF(Table1[[#This Row],[Column11]]&gt;20,TRUE,FALSE)</f>
        <v>1</v>
      </c>
      <c r="F13" s="79" t="s">
        <v>18</v>
      </c>
      <c r="G13" s="80" t="s">
        <v>17</v>
      </c>
      <c r="H13" s="81">
        <v>1</v>
      </c>
      <c r="I13" s="71">
        <f>VLOOKUP(B13,'HECVAT - Full'!A:E,3,FALSE)</f>
        <v>0</v>
      </c>
      <c r="J13" s="71">
        <f>IF(Table1[[#This Row],[Column7]]=Table1[[#This Row],[Column9]],1,0)</f>
        <v>0</v>
      </c>
      <c r="K13" s="71">
        <f>IF(Table1[[#This Row],[Column8]]=1,25,"")</f>
        <v>25</v>
      </c>
      <c r="L13" s="71">
        <f>IF(Table1[[#This Row],[Column8]]=1,J13*K13,"")</f>
        <v>0</v>
      </c>
      <c r="M13" s="72">
        <f>VLOOKUP($B13,'Standards Crosswalk'!$A:$H,3,FALSE)</f>
        <v>0</v>
      </c>
      <c r="N13" s="72">
        <f>VLOOKUP($B13,'Standards Crosswalk'!$A:$H,4,FALSE)</f>
        <v>0</v>
      </c>
      <c r="O13" s="72" t="str">
        <f>VLOOKUP($B13,'Standards Crosswalk'!$A:$H,5,FALSE)</f>
        <v>18.1.1</v>
      </c>
      <c r="P13" s="72">
        <f>VLOOKUP($B13,'Standards Crosswalk'!$A:$H,6,FALSE)</f>
        <v>0</v>
      </c>
      <c r="Q13" s="72">
        <f>VLOOKUP($B13,'Standards Crosswalk'!$A:$H,7,FALSE)</f>
        <v>0</v>
      </c>
      <c r="R13" s="72" t="str">
        <f>VLOOKUP($B13,'Standards Crosswalk'!$A:$H,8,FALSE)</f>
        <v>SA-9</v>
      </c>
      <c r="S13" s="72" t="str">
        <f>VLOOKUP($B13,'Standards Crosswalk'!$A:$I,9,FALSE)</f>
        <v>12.1, Scope</v>
      </c>
      <c r="T13" s="73" t="s">
        <v>2043</v>
      </c>
      <c r="U13" s="85">
        <f>COUNTIFS(B:B,"SYST*",J:J,"=1")</f>
        <v>0</v>
      </c>
      <c r="V13" s="83">
        <f>COUNTIF(B:B,"SYST*")</f>
        <v>4</v>
      </c>
      <c r="W13" s="83">
        <f>SUMIFS(L:L,B:B, "SYST*")</f>
        <v>0</v>
      </c>
      <c r="X13" s="83">
        <f>SUMIFS(K:K,B:B, "SYST*")</f>
        <v>70</v>
      </c>
      <c r="Y13" s="84">
        <f t="shared" si="0"/>
        <v>0</v>
      </c>
    </row>
    <row r="14" spans="1:25" ht="29.25" thickBot="1" x14ac:dyDescent="0.25">
      <c r="A14" s="71">
        <f t="shared" si="1"/>
        <v>12</v>
      </c>
      <c r="B14" s="77" t="s">
        <v>175</v>
      </c>
      <c r="C14" s="78" t="str">
        <f>VLOOKUP(B14,'HECVAT - Full'!A:E,2,FALSE)</f>
        <v>Are you compliant with FISMA standards?</v>
      </c>
      <c r="D14" s="71">
        <f>VLOOKUP(B14,'HECVAT - Full'!A:E,4,FALSE)</f>
        <v>0</v>
      </c>
      <c r="E14" s="79" t="b">
        <f>IF(Table1[[#This Row],[Column11]]&gt;20,TRUE,FALSE)</f>
        <v>0</v>
      </c>
      <c r="F14" s="79" t="s">
        <v>18</v>
      </c>
      <c r="G14" s="80" t="s">
        <v>17</v>
      </c>
      <c r="H14" s="81">
        <v>1</v>
      </c>
      <c r="I14" s="71">
        <f>VLOOKUP(B14,'HECVAT - Full'!A:E,3,FALSE)</f>
        <v>0</v>
      </c>
      <c r="J14" s="71">
        <f>IF(Table1[[#This Row],[Column7]]=Table1[[#This Row],[Column9]],1,0)</f>
        <v>0</v>
      </c>
      <c r="K14" s="71">
        <f>IF(Table1[[#This Row],[Column8]]=1,15,"")</f>
        <v>15</v>
      </c>
      <c r="L14" s="71">
        <f>IF(Table1[[#This Row],[Column8]]=1,J14*K14,"")</f>
        <v>0</v>
      </c>
      <c r="M14" s="72">
        <f>VLOOKUP($B14,'Standards Crosswalk'!$A:$H,3,FALSE)</f>
        <v>0</v>
      </c>
      <c r="N14" s="72">
        <f>VLOOKUP($B14,'Standards Crosswalk'!$A:$H,4,FALSE)</f>
        <v>0</v>
      </c>
      <c r="O14" s="72" t="str">
        <f>VLOOKUP($B14,'Standards Crosswalk'!$A:$H,5,FALSE)</f>
        <v>18.1.1</v>
      </c>
      <c r="P14" s="72">
        <f>VLOOKUP($B14,'Standards Crosswalk'!$A:$H,6,FALSE)</f>
        <v>0</v>
      </c>
      <c r="Q14" s="72">
        <f>VLOOKUP($B14,'Standards Crosswalk'!$A:$H,7,FALSE)</f>
        <v>0</v>
      </c>
      <c r="R14" s="72" t="str">
        <f>VLOOKUP($B14,'Standards Crosswalk'!$A:$H,8,FALSE)</f>
        <v>SA-9</v>
      </c>
      <c r="S14" s="72">
        <f>VLOOKUP($B14,'Standards Crosswalk'!$A:$I,9,FALSE)</f>
        <v>0</v>
      </c>
      <c r="T14" s="90" t="s">
        <v>2044</v>
      </c>
      <c r="U14" s="87">
        <f>COUNTIFS(B:B,"VULN*",J:J,"=1")</f>
        <v>0</v>
      </c>
      <c r="V14" s="88">
        <f>COUNTIF(B:B,"VULN*")</f>
        <v>9</v>
      </c>
      <c r="W14" s="88">
        <f>SUMIFS(L:L,B:B, "VULN*")</f>
        <v>0</v>
      </c>
      <c r="X14" s="88">
        <f>SUMIFS(K:K,B:B, "VULN*")</f>
        <v>170</v>
      </c>
      <c r="Y14" s="89">
        <f t="shared" si="0"/>
        <v>0</v>
      </c>
    </row>
    <row r="15" spans="1:25" ht="29.25" thickBot="1" x14ac:dyDescent="0.25">
      <c r="A15" s="71">
        <f t="shared" si="1"/>
        <v>13</v>
      </c>
      <c r="B15" s="77" t="s">
        <v>176</v>
      </c>
      <c r="C15" s="78" t="str">
        <f>VLOOKUP(B15,'HECVAT - Full'!A:E,2,FALSE)</f>
        <v>Does your organization have a data privacy policy?</v>
      </c>
      <c r="D15" s="71">
        <f>VLOOKUP(B15,'HECVAT - Full'!A:E,4,FALSE)</f>
        <v>0</v>
      </c>
      <c r="E15" s="79" t="b">
        <f>IF(Table1[[#This Row],[Column11]]&gt;20,TRUE,FALSE)</f>
        <v>1</v>
      </c>
      <c r="F15" s="79" t="s">
        <v>18</v>
      </c>
      <c r="G15" s="80" t="s">
        <v>17</v>
      </c>
      <c r="H15" s="81">
        <v>1</v>
      </c>
      <c r="I15" s="71">
        <f>VLOOKUP(B15,'HECVAT - Full'!A:E,3,FALSE)</f>
        <v>0</v>
      </c>
      <c r="J15" s="71">
        <f>IF(Table1[[#This Row],[Column7]]=Table1[[#This Row],[Column9]],1,0)</f>
        <v>0</v>
      </c>
      <c r="K15" s="71">
        <f>IF(Table1[[#This Row],[Column8]]=1,25,"")</f>
        <v>25</v>
      </c>
      <c r="L15" s="71">
        <f>IF(Table1[[#This Row],[Column8]]=1,J15*K15,"")</f>
        <v>0</v>
      </c>
      <c r="M15" s="72">
        <f>VLOOKUP($B15,'Standards Crosswalk'!$A:$H,3,FALSE)</f>
        <v>0</v>
      </c>
      <c r="N15" s="72" t="str">
        <f>VLOOKUP($B15,'Standards Crosswalk'!$A:$H,4,FALSE)</f>
        <v>§164.308(a)(1)(i)</v>
      </c>
      <c r="O15" s="72" t="str">
        <f>VLOOKUP($B15,'Standards Crosswalk'!$A:$H,5,FALSE)</f>
        <v>18.1.4</v>
      </c>
      <c r="P15" s="72" t="str">
        <f>VLOOKUP($B15,'Standards Crosswalk'!$A:$H,6,FALSE)</f>
        <v>ID.GV-3</v>
      </c>
      <c r="Q15" s="72" t="str">
        <f>VLOOKUP($B15,'Standards Crosswalk'!$A:$H,7,FALSE)</f>
        <v>ID.GV-3</v>
      </c>
      <c r="R15" s="72" t="str">
        <f>VLOOKUP($B15,'Standards Crosswalk'!$A:$H,8,FALSE)</f>
        <v>SA-9</v>
      </c>
      <c r="S15" s="72">
        <f>VLOOKUP($B15,'Standards Crosswalk'!$A:$I,9,FALSE)</f>
        <v>0</v>
      </c>
      <c r="T15" s="71" t="str">
        <f>IF(I2="Yes","HIPAA","")</f>
        <v/>
      </c>
      <c r="U15" s="71" t="str">
        <f>IF(I2="Yes",(COUNTIFS(B:B,"HIPA*",J:J,"=1")),"")</f>
        <v/>
      </c>
      <c r="V15" s="71" t="str">
        <f>IF(I2="Yes",(COUNTIF(B:B,"HIPA*")),"")</f>
        <v/>
      </c>
      <c r="W15" s="71" t="str">
        <f>IF(I2="Yes",(SUMIFS(L:L,B:B, "HIPA*")),"")</f>
        <v/>
      </c>
      <c r="X15" s="71" t="str">
        <f>IF(I2="Yes",(SUMIFS(K:K,B:B, "HIPA*")),"")</f>
        <v/>
      </c>
      <c r="Y15" s="101" t="str">
        <f>IF(I2="Yes",(W15/X15),"")</f>
        <v/>
      </c>
    </row>
    <row r="16" spans="1:25" ht="28.5" customHeight="1" thickBot="1" x14ac:dyDescent="0.25">
      <c r="A16" s="71">
        <f t="shared" si="1"/>
        <v>14</v>
      </c>
      <c r="B16" s="95" t="s">
        <v>183</v>
      </c>
      <c r="C16" s="96" t="str">
        <f>VLOOKUP(B16,'HECVAT - Full'!A:E,2,FALSE)</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D16" s="94">
        <f>VLOOKUP(B16,'HECVAT - Full'!A:E,4,FALSE)</f>
        <v>0</v>
      </c>
      <c r="E16" s="79" t="b">
        <f>IF(Table1[[#This Row],[Column11]]&gt;20,TRUE,FALSE)</f>
        <v>1</v>
      </c>
      <c r="F16" s="97" t="s">
        <v>2089</v>
      </c>
      <c r="G16" s="80" t="s">
        <v>17</v>
      </c>
      <c r="H16" s="81">
        <v>1</v>
      </c>
      <c r="I16" s="94">
        <f>VLOOKUP(B16,'HECVAT - Full'!A:E,3,FALSE)</f>
        <v>0</v>
      </c>
      <c r="J16" s="71">
        <f>IF(VLOOKUP(Table1[[#This Row],[Column2]],'Analyst Report'!$A$41:$G$88,7,FALSE)="Yes",1,0)</f>
        <v>0</v>
      </c>
      <c r="K16" s="71">
        <f>IF(Table1[[#This Row],[Column8]]=1,25,"")</f>
        <v>25</v>
      </c>
      <c r="L16" s="71">
        <f>IF(Table1[[#This Row],[Column8]]=1,J16*K16,"")</f>
        <v>0</v>
      </c>
      <c r="M16" s="100" t="str">
        <f>VLOOKUP($B16,'Standards Crosswalk'!$A:$H,3,FALSE)</f>
        <v>CSC 13</v>
      </c>
      <c r="N16" s="100">
        <f>VLOOKUP($B16,'Standards Crosswalk'!$A:$H,4,FALSE)</f>
        <v>0</v>
      </c>
      <c r="O16" s="100" t="str">
        <f>VLOOKUP($B16,'Standards Crosswalk'!$A:$H,5,FALSE)</f>
        <v>15.1.3</v>
      </c>
      <c r="P16" s="100" t="str">
        <f>VLOOKUP($B16,'Standards Crosswalk'!$A:$H,6,FALSE)</f>
        <v>ID.AM-6, PR-AT-3</v>
      </c>
      <c r="Q16" s="100" t="str">
        <f>VLOOKUP($B16,'Standards Crosswalk'!$A:$H,7,FALSE)</f>
        <v>3.8.2</v>
      </c>
      <c r="R16" s="100" t="str">
        <f>VLOOKUP($B16,'Standards Crosswalk'!$A:$H,8,FALSE)</f>
        <v>MP-2, RA-3</v>
      </c>
      <c r="S16" s="72">
        <f>VLOOKUP($B16,'Standards Crosswalk'!$A:$I,9,FALSE)</f>
        <v>12.8</v>
      </c>
      <c r="T16" s="71" t="str">
        <f>IF(I3="Yes","Mobile App","")</f>
        <v/>
      </c>
      <c r="U16" s="71" t="str">
        <f>IF(I3="Yes",(COUNTIFS(B:B,"MAPP*",J:J,"=1")),"")</f>
        <v/>
      </c>
      <c r="V16" s="71" t="str">
        <f>IF(I3="Yes",(COUNTIF(B:B,"MAPP*")),"")</f>
        <v/>
      </c>
      <c r="W16" s="71" t="str">
        <f>IF(I3="Yes",(SUMIFS(L:L,B:B, "MAPP*")),"")</f>
        <v/>
      </c>
      <c r="X16" s="71" t="str">
        <f>IF(I3="Yes",(SUMIFS(K:K,B:B, "MAPP*")),"")</f>
        <v/>
      </c>
      <c r="Y16" s="101" t="str">
        <f>IF(I3="Yes",(W16/X16),"")</f>
        <v/>
      </c>
    </row>
    <row r="17" spans="1:25" ht="28.5" customHeight="1" thickBot="1" x14ac:dyDescent="0.25">
      <c r="A17" s="71">
        <f t="shared" si="1"/>
        <v>15</v>
      </c>
      <c r="B17" s="95" t="s">
        <v>184</v>
      </c>
      <c r="C17" s="96" t="str">
        <f>VLOOKUP(B17,'HECVAT - Full'!A:E,2,FALSE)</f>
        <v>Provide a brief description for why each of these third parties will have access to institution data.</v>
      </c>
      <c r="D17" s="94">
        <f>VLOOKUP(B17,'HECVAT - Full'!A:E,4,FALSE)</f>
        <v>0</v>
      </c>
      <c r="E17" s="79" t="b">
        <f>IF(Table1[[#This Row],[Column11]]&gt;20,TRUE,FALSE)</f>
        <v>1</v>
      </c>
      <c r="F17" s="97" t="s">
        <v>2089</v>
      </c>
      <c r="G17" s="80" t="s">
        <v>17</v>
      </c>
      <c r="H17" s="81">
        <v>1</v>
      </c>
      <c r="I17" s="94">
        <f>VLOOKUP(B17,'HECVAT - Full'!A:E,3,FALSE)</f>
        <v>0</v>
      </c>
      <c r="J17" s="71">
        <f>IF(VLOOKUP(Table1[[#This Row],[Column2]],'Analyst Report'!$A$41:$G$88,7,FALSE)="Yes",1,0)</f>
        <v>0</v>
      </c>
      <c r="K17" s="71">
        <f>IF(Table1[[#This Row],[Column8]]=1,25,"")</f>
        <v>25</v>
      </c>
      <c r="L17" s="71">
        <f>IF(Table1[[#This Row],[Column8]]=1,J17*K17,"")</f>
        <v>0</v>
      </c>
      <c r="M17" s="100" t="str">
        <f>VLOOKUP($B17,'Standards Crosswalk'!$A:$H,3,FALSE)</f>
        <v>CSC 13</v>
      </c>
      <c r="N17" s="100">
        <f>VLOOKUP($B17,'Standards Crosswalk'!$A:$H,4,FALSE)</f>
        <v>0</v>
      </c>
      <c r="O17" s="100" t="str">
        <f>VLOOKUP($B17,'Standards Crosswalk'!$A:$H,5,FALSE)</f>
        <v>15.1.3</v>
      </c>
      <c r="P17" s="100" t="str">
        <f>VLOOKUP($B17,'Standards Crosswalk'!$A:$H,6,FALSE)</f>
        <v>ID.AM-6, PR-AT-3</v>
      </c>
      <c r="Q17" s="100" t="str">
        <f>VLOOKUP($B17,'Standards Crosswalk'!$A:$H,7,FALSE)</f>
        <v>3.8.2</v>
      </c>
      <c r="R17" s="100">
        <f>VLOOKUP($B17,'Standards Crosswalk'!$A:$H,8,FALSE)</f>
        <v>0</v>
      </c>
      <c r="S17" s="72">
        <f>VLOOKUP($B17,'Standards Crosswalk'!$A:$I,9,FALSE)</f>
        <v>12.8</v>
      </c>
      <c r="T17" s="71" t="str">
        <f>IF(I4="Yes","Third Parties","")</f>
        <v/>
      </c>
      <c r="U17" s="71" t="str">
        <f>IF(I4="Yes",(COUNTIFS(B:B,"THRD*",J:J,"=1")),"")</f>
        <v/>
      </c>
      <c r="V17" s="71" t="str">
        <f>IF(I4="Yes",(COUNTIF(B:B,"THRD*")),"")</f>
        <v/>
      </c>
      <c r="W17" s="71" t="str">
        <f>IF(I4="Yes",(SUMIFS(L:L,B:B, "THRD*")),"")</f>
        <v/>
      </c>
      <c r="X17" s="71" t="str">
        <f>IF(I4="Yes",(SUMIFS(K:K,B:B, "THRD*")),"")</f>
        <v/>
      </c>
      <c r="Y17" s="101" t="str">
        <f>IF(I4="Yes",(W17/X17),"")</f>
        <v/>
      </c>
    </row>
    <row r="18" spans="1:25" ht="15.75" customHeight="1" thickBot="1" x14ac:dyDescent="0.25">
      <c r="A18" s="71">
        <f t="shared" si="1"/>
        <v>16</v>
      </c>
      <c r="B18" s="95" t="s">
        <v>185</v>
      </c>
      <c r="C18" s="96" t="str">
        <f>VLOOKUP(B18,'HECVAT - Full'!A:E,2,FALSE)</f>
        <v>What legal agreements (i.e. contracts) do you have in place with these third parties that address liability in the event of a data breach?</v>
      </c>
      <c r="D18" s="94">
        <f>VLOOKUP(B18,'HECVAT - Full'!A:E,4,FALSE)</f>
        <v>0</v>
      </c>
      <c r="E18" s="79" t="b">
        <f>IF(Table1[[#This Row],[Column11]]&gt;20,TRUE,FALSE)</f>
        <v>1</v>
      </c>
      <c r="F18" s="97" t="s">
        <v>2089</v>
      </c>
      <c r="G18" s="80" t="s">
        <v>17</v>
      </c>
      <c r="H18" s="81">
        <v>1</v>
      </c>
      <c r="I18" s="94">
        <f>VLOOKUP(B18,'HECVAT - Full'!A:E,3,FALSE)</f>
        <v>0</v>
      </c>
      <c r="J18" s="71">
        <f>IF(VLOOKUP(Table1[[#This Row],[Column2]],'Analyst Report'!$A$41:$G$88,7,FALSE)="Yes",1,0)</f>
        <v>0</v>
      </c>
      <c r="K18" s="71">
        <f>IF(Table1[[#This Row],[Column8]]=1,25,"")</f>
        <v>25</v>
      </c>
      <c r="L18" s="71">
        <f>IF(Table1[[#This Row],[Column8]]=1,J18*K18,"")</f>
        <v>0</v>
      </c>
      <c r="M18" s="100" t="str">
        <f>VLOOKUP($B18,'Standards Crosswalk'!$A:$H,3,FALSE)</f>
        <v>CSC 13</v>
      </c>
      <c r="N18" s="100">
        <f>VLOOKUP($B18,'Standards Crosswalk'!$A:$H,4,FALSE)</f>
        <v>0</v>
      </c>
      <c r="O18" s="100" t="str">
        <f>VLOOKUP($B18,'Standards Crosswalk'!$A:$H,5,FALSE)</f>
        <v>15.1.3</v>
      </c>
      <c r="P18" s="100" t="str">
        <f>VLOOKUP($B18,'Standards Crosswalk'!$A:$H,6,FALSE)</f>
        <v>ID.GV-3</v>
      </c>
      <c r="Q18" s="100">
        <f>VLOOKUP($B18,'Standards Crosswalk'!$A:$H,7,FALSE)</f>
        <v>0</v>
      </c>
      <c r="R18" s="100" t="str">
        <f>VLOOKUP($B18,'Standards Crosswalk'!$A:$H,8,FALSE)</f>
        <v>PS-3</v>
      </c>
      <c r="S18" s="72">
        <f>VLOOKUP($B18,'Standards Crosswalk'!$A:$I,9,FALSE)</f>
        <v>12.8</v>
      </c>
      <c r="T18" s="71" t="str">
        <f>IF(I5="Yes","Business Continuity Plan","")</f>
        <v/>
      </c>
      <c r="U18" s="71" t="str">
        <f>IF(I5="Yes",(COUNTIFS(B:B,"BCPL*",J:J,"=1")),"")</f>
        <v/>
      </c>
      <c r="V18" s="71" t="str">
        <f>IF(I5="Yes",(COUNTIF(B:B,"BCPL*")),"")</f>
        <v/>
      </c>
      <c r="W18" s="71" t="str">
        <f>IF(I5="Yes",(SUMIFS(L:L,B:B, "BCPL*")),"")</f>
        <v/>
      </c>
      <c r="X18" s="71" t="str">
        <f>IF(I5="Yes",(SUMIFS(K:K,B:B, "BCPL*")),"")</f>
        <v/>
      </c>
      <c r="Y18" s="101" t="str">
        <f>IF(I5="Yes",(W18/X18),"")</f>
        <v/>
      </c>
    </row>
    <row r="19" spans="1:25" ht="100.5" thickBot="1" x14ac:dyDescent="0.25">
      <c r="A19" s="71">
        <f t="shared" si="1"/>
        <v>17</v>
      </c>
      <c r="B19" s="95" t="s">
        <v>429</v>
      </c>
      <c r="C19" s="96" t="str">
        <f>VLOOKUP(B19,'HECVAT - Full'!A:E,2,FALSE)</f>
        <v>Describe or provide references to your third party management strategy or provide additional information that may help analysts better understand your environment and how it relates to third-party solutions.</v>
      </c>
      <c r="D19" s="94">
        <f>VLOOKUP(B19,'HECVAT - Full'!A:E,4,FALSE)</f>
        <v>0</v>
      </c>
      <c r="E19" s="79" t="b">
        <f>IF(Table1[[#This Row],[Column11]]&gt;20,TRUE,FALSE)</f>
        <v>1</v>
      </c>
      <c r="F19" s="97" t="s">
        <v>2089</v>
      </c>
      <c r="G19" s="80" t="s">
        <v>17</v>
      </c>
      <c r="H19" s="81">
        <v>1</v>
      </c>
      <c r="I19" s="94">
        <f>VLOOKUP(B19,'HECVAT - Full'!A:E,3,FALSE)</f>
        <v>0</v>
      </c>
      <c r="J19" s="71">
        <f>IF(VLOOKUP(Table1[[#This Row],[Column2]],'Analyst Report'!$A$41:$G$88,7,FALSE)="Yes",1,0)</f>
        <v>0</v>
      </c>
      <c r="K19" s="71">
        <f>IF(Table1[[#This Row],[Column8]]=1,25,"")</f>
        <v>25</v>
      </c>
      <c r="L19" s="71">
        <f>IF(Table1[[#This Row],[Column8]]=1,J19*K19,"")</f>
        <v>0</v>
      </c>
      <c r="M19" s="100">
        <f>VLOOKUP($B19,'Standards Crosswalk'!$A:$H,3,FALSE)</f>
        <v>0</v>
      </c>
      <c r="N19" s="100">
        <f>VLOOKUP($B19,'Standards Crosswalk'!$A:$H,4,FALSE)</f>
        <v>0</v>
      </c>
      <c r="O19" s="100" t="str">
        <f>VLOOKUP($B19,'Standards Crosswalk'!$A:$H,5,FALSE)</f>
        <v>15.1.3</v>
      </c>
      <c r="P19" s="100" t="str">
        <f>VLOOKUP($B19,'Standards Crosswalk'!$A:$H,6,FALSE)</f>
        <v>ID.AM-6, PR.AT-3</v>
      </c>
      <c r="Q19" s="100">
        <f>VLOOKUP($B19,'Standards Crosswalk'!$A:$H,7,FALSE)</f>
        <v>0</v>
      </c>
      <c r="R19" s="100" t="str">
        <f>VLOOKUP($B19,'Standards Crosswalk'!$A:$H,8,FALSE)</f>
        <v>PS-5</v>
      </c>
      <c r="S19" s="72">
        <f>VLOOKUP($B19,'Standards Crosswalk'!$A:$I,9,FALSE)</f>
        <v>12.8</v>
      </c>
      <c r="T19" s="71" t="str">
        <f>IF(I7="Yes","Disaster Recovery Plan","")</f>
        <v/>
      </c>
      <c r="U19" s="71" t="str">
        <f>IF(I7="Yes",(COUNTIFS(B:B,"DRPL*",J:J,"=1")),"")</f>
        <v/>
      </c>
      <c r="V19" s="71" t="str">
        <f>IF(I7="Yes",(COUNTIF(B:B,"DRPL*")),"")</f>
        <v/>
      </c>
      <c r="W19" s="71" t="str">
        <f>IF(I7="Yes",(SUMIFS(L:L,B:B, "DRPL*")),"")</f>
        <v/>
      </c>
      <c r="X19" s="71" t="str">
        <f>IF(I7="Yes",(SUMIFS(K:K,B:B, "DRPL*")),"")</f>
        <v/>
      </c>
      <c r="Y19" s="101" t="str">
        <f t="shared" ref="Y19:Y21" si="3">IF(I7="Yes",(W19/X19),"")</f>
        <v/>
      </c>
    </row>
    <row r="20" spans="1:25" ht="29.25" thickBot="1" x14ac:dyDescent="0.25">
      <c r="A20" s="71">
        <f t="shared" si="1"/>
        <v>18</v>
      </c>
      <c r="B20" s="95" t="s">
        <v>186</v>
      </c>
      <c r="C20" s="96" t="str">
        <f>VLOOKUP(B20,'HECVAT - Full'!A:E,2,FALSE)</f>
        <v>Will the consulting take place on-premises?</v>
      </c>
      <c r="D20" s="94">
        <f>VLOOKUP(B20,'HECVAT - Full'!A:E,4,FALSE)</f>
        <v>0</v>
      </c>
      <c r="E20" s="79" t="b">
        <f>IF(Table1[[#This Row],[Column11]]&gt;20,TRUE,FALSE)</f>
        <v>0</v>
      </c>
      <c r="F20" s="79" t="s">
        <v>93</v>
      </c>
      <c r="G20" s="98" t="s">
        <v>17</v>
      </c>
      <c r="H20" s="99">
        <v>1</v>
      </c>
      <c r="I20" s="94">
        <f>VLOOKUP(B20,'HECVAT - Full'!A:E,3,FALSE)</f>
        <v>0</v>
      </c>
      <c r="J20" s="71">
        <f>IF(Table1[[#This Row],[Column7]]=Table1[[#This Row],[Column9]],1,0)</f>
        <v>0</v>
      </c>
      <c r="K20" s="71">
        <f>IF(Table1[[#This Row],[Column8]]=1,20,"")</f>
        <v>20</v>
      </c>
      <c r="L20" s="71">
        <f>IF(Table1[[#This Row],[Column8]]=1,J20*K20,"")</f>
        <v>0</v>
      </c>
      <c r="M20" s="72">
        <f>VLOOKUP($B20,'Standards Crosswalk'!$A:$H,3,FALSE)</f>
        <v>0</v>
      </c>
      <c r="N20" s="100">
        <f>VLOOKUP($B20,'Standards Crosswalk'!$A:$H,4,FALSE)</f>
        <v>0</v>
      </c>
      <c r="O20" s="100" t="str">
        <f>VLOOKUP($B20,'Standards Crosswalk'!$A:$H,5,FALSE)</f>
        <v>15.2.1</v>
      </c>
      <c r="P20" s="100" t="str">
        <f>VLOOKUP($B20,'Standards Crosswalk'!$A:$H,6,FALSE)</f>
        <v>ID.AM-6, PR.AT-3</v>
      </c>
      <c r="Q20" s="100">
        <f>VLOOKUP($B20,'Standards Crosswalk'!$A:$H,7,FALSE)</f>
        <v>0</v>
      </c>
      <c r="R20" s="100">
        <f>VLOOKUP($B20,'Standards Crosswalk'!$A:$H,8,FALSE)</f>
        <v>0</v>
      </c>
      <c r="S20" s="72">
        <f>VLOOKUP($B20,'Standards Crosswalk'!$A:$I,9,FALSE)</f>
        <v>0</v>
      </c>
      <c r="T20" s="71" t="str">
        <f>IF(I8="Yes","PCI DSS","")</f>
        <v/>
      </c>
      <c r="U20" s="71" t="str">
        <f>IF(I8="Yes",(COUNTIFS(B:B,"PCID*",J:J,"=1")),"")</f>
        <v/>
      </c>
      <c r="V20" s="71" t="str">
        <f>IF(I8="Yes",(COUNTIF(B:B,"PCID*")),"")</f>
        <v/>
      </c>
      <c r="W20" s="71" t="str">
        <f>IF(I8="Yes",(SUMIFS(L:L,B:B, "PCID*")),"")</f>
        <v/>
      </c>
      <c r="X20" s="71" t="str">
        <f>IF(I8="Yes",(SUMIFS(K:K,B:B, "PCID*")),"")</f>
        <v/>
      </c>
      <c r="Y20" s="101" t="str">
        <f t="shared" si="3"/>
        <v/>
      </c>
    </row>
    <row r="21" spans="1:25" ht="29.25" thickBot="1" x14ac:dyDescent="0.25">
      <c r="A21" s="71">
        <f t="shared" si="1"/>
        <v>19</v>
      </c>
      <c r="B21" s="77" t="s">
        <v>187</v>
      </c>
      <c r="C21" s="78" t="str">
        <f>VLOOKUP(B21,'HECVAT - Full'!A:E,2,FALSE)</f>
        <v>Will the consultant require access to Institution's network resources?</v>
      </c>
      <c r="D21" s="71">
        <f>VLOOKUP(B21,'HECVAT - Full'!A:E,4,FALSE)</f>
        <v>0</v>
      </c>
      <c r="E21" s="79" t="b">
        <f>IF(Table1[[#This Row],[Column11]]&gt;20,TRUE,FALSE)</f>
        <v>0</v>
      </c>
      <c r="F21" s="79" t="s">
        <v>93</v>
      </c>
      <c r="G21" s="80" t="s">
        <v>20</v>
      </c>
      <c r="H21" s="81">
        <v>1</v>
      </c>
      <c r="I21" s="94">
        <f>VLOOKUP(B21,'HECVAT - Full'!A:E,3,FALSE)</f>
        <v>0</v>
      </c>
      <c r="J21" s="71">
        <f>IF(Table1[[#This Row],[Column7]]=Table1[[#This Row],[Column9]],1,0)</f>
        <v>0</v>
      </c>
      <c r="K21" s="71">
        <f>IF(Table1[[#This Row],[Column8]]=1,20,"")</f>
        <v>20</v>
      </c>
      <c r="L21" s="71">
        <f>IF(Table1[[#This Row],[Column8]]=1,J21*K21,"")</f>
        <v>0</v>
      </c>
      <c r="M21" s="72" t="str">
        <f>VLOOKUP($B21,'Standards Crosswalk'!$A:$H,3,FALSE)</f>
        <v>CSC 14</v>
      </c>
      <c r="N21" s="72">
        <f>VLOOKUP($B21,'Standards Crosswalk'!$A:$H,4,FALSE)</f>
        <v>0</v>
      </c>
      <c r="O21" s="72" t="str">
        <f>VLOOKUP($B21,'Standards Crosswalk'!$A:$H,5,FALSE)</f>
        <v>9.1.2</v>
      </c>
      <c r="P21" s="72" t="str">
        <f>VLOOKUP($B21,'Standards Crosswalk'!$A:$H,6,FALSE)</f>
        <v>ID.AM-6, PR.AT-3</v>
      </c>
      <c r="Q21" s="72" t="str">
        <f>VLOOKUP($B21,'Standards Crosswalk'!$A:$H,7,FALSE)</f>
        <v>3.1.2, 3.1.3</v>
      </c>
      <c r="R21" s="72" t="str">
        <f>VLOOKUP($B21,'Standards Crosswalk'!$A:$H,8,FALSE)</f>
        <v>AC-4</v>
      </c>
      <c r="S21" s="72">
        <f>VLOOKUP($B21,'Standards Crosswalk'!$A:$I,9,FALSE)</f>
        <v>0</v>
      </c>
      <c r="T21" s="71" t="str">
        <f>IF(I9="Yes","Consulting Only","")</f>
        <v/>
      </c>
      <c r="U21" s="71" t="str">
        <f>IF(I9="Yes",(COUNTIFS(B:B,"CONS*",J:J,"=1")),"")</f>
        <v/>
      </c>
      <c r="V21" s="71" t="str">
        <f>IF(I9="Yes",(COUNTIF(B:B,"CONS*")),"")</f>
        <v/>
      </c>
      <c r="W21" s="71" t="str">
        <f>IF(I9="Yes",(SUMIFS(L:L,B:B, "CONS*")),"")</f>
        <v/>
      </c>
      <c r="X21" s="71" t="str">
        <f>IF(I9="Yes",(SUMIFS(K:K,B:B, "CONS*")),"")</f>
        <v/>
      </c>
      <c r="Y21" s="101" t="str">
        <f t="shared" si="3"/>
        <v/>
      </c>
    </row>
    <row r="22" spans="1:25" ht="43.5" thickBot="1" x14ac:dyDescent="0.25">
      <c r="A22" s="71">
        <f t="shared" si="1"/>
        <v>20</v>
      </c>
      <c r="B22" s="77" t="s">
        <v>188</v>
      </c>
      <c r="C22" s="78" t="str">
        <f>VLOOKUP(B22,'HECVAT - Full'!A:E,2,FALSE)</f>
        <v>Will the consultant require access to hardware in the Institution's data centers?</v>
      </c>
      <c r="D22" s="71">
        <f>VLOOKUP(B22,'HECVAT - Full'!A:E,4,FALSE)</f>
        <v>0</v>
      </c>
      <c r="E22" s="79" t="b">
        <f>IF(Table1[[#This Row],[Column11]]&gt;20,TRUE,FALSE)</f>
        <v>1</v>
      </c>
      <c r="F22" s="79" t="s">
        <v>93</v>
      </c>
      <c r="G22" s="80" t="s">
        <v>20</v>
      </c>
      <c r="H22" s="81">
        <v>1</v>
      </c>
      <c r="I22" s="94">
        <f>VLOOKUP(B22,'HECVAT - Full'!A:E,3,FALSE)</f>
        <v>0</v>
      </c>
      <c r="J22" s="71">
        <f>IF(Table1[[#This Row],[Column7]]=Table1[[#This Row],[Column9]],1,0)</f>
        <v>0</v>
      </c>
      <c r="K22" s="71">
        <f>IF(Table1[[#This Row],[Column8]]=1,25,"")</f>
        <v>25</v>
      </c>
      <c r="L22" s="71">
        <f>IF(Table1[[#This Row],[Column8]]=1,J22*K22,"")</f>
        <v>0</v>
      </c>
      <c r="M22" s="72" t="str">
        <f>VLOOKUP($B22,'Standards Crosswalk'!$A:$H,3,FALSE)</f>
        <v>CSC 14</v>
      </c>
      <c r="N22" s="72">
        <f>VLOOKUP($B22,'Standards Crosswalk'!$A:$H,4,FALSE)</f>
        <v>0</v>
      </c>
      <c r="O22" s="72" t="str">
        <f>VLOOKUP($B22,'Standards Crosswalk'!$A:$H,5,FALSE)</f>
        <v>9.2.6</v>
      </c>
      <c r="P22" s="72" t="str">
        <f>VLOOKUP($B22,'Standards Crosswalk'!$A:$H,6,FALSE)</f>
        <v>ID.AM-6, PR.AT-3</v>
      </c>
      <c r="Q22" s="72" t="str">
        <f>VLOOKUP($B22,'Standards Crosswalk'!$A:$H,7,FALSE)</f>
        <v>3.1.2</v>
      </c>
      <c r="R22" s="72">
        <f>VLOOKUP($B22,'Standards Crosswalk'!$A:$H,8,FALSE)</f>
        <v>0</v>
      </c>
      <c r="S22" s="72">
        <f>VLOOKUP($B22,'Standards Crosswalk'!$A:$I,9,FALSE)</f>
        <v>0</v>
      </c>
      <c r="W22" s="71" t="s">
        <v>2100</v>
      </c>
      <c r="Y22" s="71" t="s">
        <v>2101</v>
      </c>
    </row>
    <row r="23" spans="1:25" ht="43.5" thickBot="1" x14ac:dyDescent="0.25">
      <c r="A23" s="71">
        <f t="shared" si="1"/>
        <v>21</v>
      </c>
      <c r="B23" s="77" t="s">
        <v>189</v>
      </c>
      <c r="C23" s="78" t="str">
        <f>VLOOKUP(B23,'HECVAT - Full'!A:E,2,FALSE)</f>
        <v>Will the consultant require an account within the Institution's domain (@*.edu)?</v>
      </c>
      <c r="D23" s="71">
        <f>VLOOKUP(B23,'HECVAT - Full'!A:E,4,FALSE)</f>
        <v>0</v>
      </c>
      <c r="E23" s="79" t="b">
        <f>IF(Table1[[#This Row],[Column11]]&gt;20,TRUE,FALSE)</f>
        <v>0</v>
      </c>
      <c r="F23" s="79" t="s">
        <v>93</v>
      </c>
      <c r="G23" s="80" t="s">
        <v>20</v>
      </c>
      <c r="H23" s="81">
        <v>1</v>
      </c>
      <c r="I23" s="94">
        <f>VLOOKUP(B23,'HECVAT - Full'!A:E,3,FALSE)</f>
        <v>0</v>
      </c>
      <c r="J23" s="71">
        <f>IF(Table1[[#This Row],[Column7]]=Table1[[#This Row],[Column9]],1,0)</f>
        <v>0</v>
      </c>
      <c r="K23" s="71">
        <f>IF(Table1[[#This Row],[Column8]]=1,20,"")</f>
        <v>20</v>
      </c>
      <c r="L23" s="71">
        <f>IF(Table1[[#This Row],[Column8]]=1,J23*K23,"")</f>
        <v>0</v>
      </c>
      <c r="M23" s="72" t="str">
        <f>VLOOKUP($B23,'Standards Crosswalk'!$A:$H,3,FALSE)</f>
        <v>CSC 14</v>
      </c>
      <c r="N23" s="72">
        <f>VLOOKUP($B23,'Standards Crosswalk'!$A:$H,4,FALSE)</f>
        <v>0</v>
      </c>
      <c r="O23" s="72">
        <f>VLOOKUP($B23,'Standards Crosswalk'!$A:$H,5,FALSE)</f>
        <v>0</v>
      </c>
      <c r="P23" s="72" t="str">
        <f>VLOOKUP($B23,'Standards Crosswalk'!$A:$H,6,FALSE)</f>
        <v>ID.AM-6, PR.AT-3</v>
      </c>
      <c r="Q23" s="72">
        <f>VLOOKUP($B23,'Standards Crosswalk'!$A:$H,7,FALSE)</f>
        <v>0</v>
      </c>
      <c r="R23" s="72">
        <f>VLOOKUP($B23,'Standards Crosswalk'!$A:$H,8,FALSE)</f>
        <v>0</v>
      </c>
      <c r="S23" s="72">
        <f>VLOOKUP($B23,'Standards Crosswalk'!$A:$I,9,FALSE)</f>
        <v>0</v>
      </c>
      <c r="T23" s="91"/>
      <c r="U23" s="92">
        <f>SUM(U7:U21)</f>
        <v>0</v>
      </c>
      <c r="V23" s="92">
        <f>SUM(V7:V21)</f>
        <v>97</v>
      </c>
      <c r="W23" s="105">
        <f>AVERAGE(Y2:Y21)</f>
        <v>0</v>
      </c>
      <c r="X23" s="91" t="str">
        <f>IF(W23&gt;=0.9,"A",IF(W23&gt;=0.8,"B",IF(W23&gt;=0.7,"C",IF(W23&gt;=0.6,"D","F"))))</f>
        <v>F</v>
      </c>
      <c r="Y23" s="91">
        <f>SUM(W2:W21)</f>
        <v>0</v>
      </c>
    </row>
    <row r="24" spans="1:25" ht="43.5" thickBot="1" x14ac:dyDescent="0.25">
      <c r="A24" s="71">
        <f t="shared" si="1"/>
        <v>22</v>
      </c>
      <c r="B24" s="77" t="s">
        <v>190</v>
      </c>
      <c r="C24" s="78" t="str">
        <f>VLOOKUP(B24,'HECVAT - Full'!A:E,2,FALSE)</f>
        <v>Has the consultant received training on [sensitive, HIPAA, PCI, etc.] data handling?</v>
      </c>
      <c r="D24" s="71">
        <f>VLOOKUP(B24,'HECVAT - Full'!A:E,4,FALSE)</f>
        <v>0</v>
      </c>
      <c r="E24" s="79" t="b">
        <f>IF(Table1[[#This Row],[Column11]]&gt;20,TRUE,FALSE)</f>
        <v>0</v>
      </c>
      <c r="F24" s="79" t="s">
        <v>93</v>
      </c>
      <c r="G24" s="80" t="s">
        <v>17</v>
      </c>
      <c r="H24" s="81">
        <v>1</v>
      </c>
      <c r="I24" s="94">
        <f>VLOOKUP(B24,'HECVAT - Full'!A:E,3,FALSE)</f>
        <v>0</v>
      </c>
      <c r="J24" s="71">
        <f>IF(Table1[[#This Row],[Column7]]=Table1[[#This Row],[Column9]],1,0)</f>
        <v>0</v>
      </c>
      <c r="K24" s="71">
        <f>IF(Table1[[#This Row],[Column8]]=1,20,"")</f>
        <v>20</v>
      </c>
      <c r="L24" s="71">
        <f>IF(Table1[[#This Row],[Column8]]=1,J24*K24,"")</f>
        <v>0</v>
      </c>
      <c r="M24" s="72" t="str">
        <f>VLOOKUP($B24,'Standards Crosswalk'!$A:$H,3,FALSE)</f>
        <v>CSC 13</v>
      </c>
      <c r="N24" s="72">
        <f>VLOOKUP($B24,'Standards Crosswalk'!$A:$H,4,FALSE)</f>
        <v>0</v>
      </c>
      <c r="O24" s="72" t="str">
        <f>VLOOKUP($B24,'Standards Crosswalk'!$A:$H,5,FALSE)</f>
        <v>18.1.1</v>
      </c>
      <c r="P24" s="72" t="str">
        <f>VLOOKUP($B24,'Standards Crosswalk'!$A:$H,6,FALSE)</f>
        <v>ID.AM-6, PR.AT-3</v>
      </c>
      <c r="Q24" s="72">
        <f>VLOOKUP($B24,'Standards Crosswalk'!$A:$H,7,FALSE)</f>
        <v>0</v>
      </c>
      <c r="R24" s="72">
        <f>VLOOKUP($B24,'Standards Crosswalk'!$A:$H,8,FALSE)</f>
        <v>0</v>
      </c>
      <c r="S24" s="72">
        <f>VLOOKUP($B24,'Standards Crosswalk'!$A:$I,9,FALSE)</f>
        <v>0</v>
      </c>
    </row>
    <row r="25" spans="1:25" ht="29.25" thickBot="1" x14ac:dyDescent="0.25">
      <c r="A25" s="71">
        <f t="shared" si="1"/>
        <v>23</v>
      </c>
      <c r="B25" s="77" t="s">
        <v>191</v>
      </c>
      <c r="C25" s="78" t="str">
        <f>VLOOKUP(B25,'HECVAT - Full'!A:E,2,FALSE)</f>
        <v>Will any data be transferred to the consultant's possession?</v>
      </c>
      <c r="D25" s="71">
        <f>VLOOKUP(B25,'HECVAT - Full'!A:E,4,FALSE)</f>
        <v>0</v>
      </c>
      <c r="E25" s="79" t="b">
        <f>IF(Table1[[#This Row],[Column11]]&gt;20,TRUE,FALSE)</f>
        <v>1</v>
      </c>
      <c r="F25" s="79" t="s">
        <v>93</v>
      </c>
      <c r="G25" s="80" t="s">
        <v>20</v>
      </c>
      <c r="H25" s="81">
        <v>1</v>
      </c>
      <c r="I25" s="94">
        <f>VLOOKUP(B25,'HECVAT - Full'!A:E,3,FALSE)</f>
        <v>0</v>
      </c>
      <c r="J25" s="71">
        <f>IF(Table1[[#This Row],[Column7]]=Table1[[#This Row],[Column9]],1,0)</f>
        <v>0</v>
      </c>
      <c r="K25" s="71">
        <f>IF(Table1[[#This Row],[Column8]]=1,25,"")</f>
        <v>25</v>
      </c>
      <c r="L25" s="71">
        <f>IF(Table1[[#This Row],[Column8]]=1,J25*K25,"")</f>
        <v>0</v>
      </c>
      <c r="M25" s="72" t="str">
        <f>VLOOKUP($B25,'Standards Crosswalk'!$A:$H,3,FALSE)</f>
        <v>CSC 13</v>
      </c>
      <c r="N25" s="72">
        <f>VLOOKUP($B25,'Standards Crosswalk'!$A:$H,4,FALSE)</f>
        <v>0</v>
      </c>
      <c r="O25" s="72" t="str">
        <f>VLOOKUP($B25,'Standards Crosswalk'!$A:$H,5,FALSE)</f>
        <v>9</v>
      </c>
      <c r="P25" s="72" t="str">
        <f>VLOOKUP($B25,'Standards Crosswalk'!$A:$H,6,FALSE)</f>
        <v>ID.AM-6, PR.AT-3</v>
      </c>
      <c r="Q25" s="72" t="str">
        <f>VLOOKUP($B25,'Standards Crosswalk'!$A:$H,7,FALSE)</f>
        <v>3.8.2</v>
      </c>
      <c r="R25" s="72" t="str">
        <f>VLOOKUP($B25,'Standards Crosswalk'!$A:$H,8,FALSE)</f>
        <v>MP-2</v>
      </c>
      <c r="S25" s="72">
        <f>VLOOKUP($B25,'Standards Crosswalk'!$A:$I,9,FALSE)</f>
        <v>0</v>
      </c>
    </row>
    <row r="26" spans="1:25" ht="29.25" thickBot="1" x14ac:dyDescent="0.25">
      <c r="A26" s="71">
        <f t="shared" si="1"/>
        <v>24</v>
      </c>
      <c r="B26" s="95" t="s">
        <v>192</v>
      </c>
      <c r="C26" s="78" t="str">
        <f>VLOOKUP(B26,'HECVAT - Full'!A:E,2,FALSE)</f>
        <v>Is it encrypted (at rest) while in the consultant's possession?</v>
      </c>
      <c r="D26" s="71">
        <f>VLOOKUP(B26,'HECVAT - Full'!A:E,4,FALSE)</f>
        <v>0</v>
      </c>
      <c r="E26" s="79" t="b">
        <f>IF(Table1[[#This Row],[Column11]]&gt;20,TRUE,FALSE)</f>
        <v>1</v>
      </c>
      <c r="F26" s="79" t="s">
        <v>93</v>
      </c>
      <c r="G26" s="80" t="s">
        <v>17</v>
      </c>
      <c r="H26" s="81">
        <f>IF(I25="Yes",1,0)</f>
        <v>0</v>
      </c>
      <c r="I26" s="94">
        <f>VLOOKUP(B26,'HECVAT - Full'!A:E,3,FALSE)</f>
        <v>0</v>
      </c>
      <c r="J26" s="71">
        <f>IF(Table1[[#This Row],[Column7]]=Table1[[#This Row],[Column9]],1,0)</f>
        <v>0</v>
      </c>
      <c r="K26" s="71" t="str">
        <f>IF(Table1[[#This Row],[Column8]]=1,25,"")</f>
        <v/>
      </c>
      <c r="L26" s="71" t="str">
        <f>IF(Table1[[#This Row],[Column8]]=1,J26*K26,"")</f>
        <v/>
      </c>
      <c r="M26" s="72" t="str">
        <f>VLOOKUP($B26,'Standards Crosswalk'!$A:$H,3,FALSE)</f>
        <v>CSC 13</v>
      </c>
      <c r="N26" s="72">
        <f>VLOOKUP($B26,'Standards Crosswalk'!$A:$H,4,FALSE)</f>
        <v>0</v>
      </c>
      <c r="O26" s="72" t="str">
        <f>VLOOKUP($B26,'Standards Crosswalk'!$A:$H,5,FALSE)</f>
        <v>10</v>
      </c>
      <c r="P26" s="72" t="str">
        <f>VLOOKUP($B26,'Standards Crosswalk'!$A:$H,6,FALSE)</f>
        <v>ID.AM-6, PR.AT-3</v>
      </c>
      <c r="Q26" s="72" t="str">
        <f>VLOOKUP($B26,'Standards Crosswalk'!$A:$H,7,FALSE)</f>
        <v>3.1.2, 3.1.19, 3.8.2</v>
      </c>
      <c r="R26" s="72" t="str">
        <f>VLOOKUP($B26,'Standards Crosswalk'!$A:$H,8,FALSE)</f>
        <v>MP-2</v>
      </c>
      <c r="S26" s="72">
        <f>VLOOKUP($B26,'Standards Crosswalk'!$A:$I,9,FALSE)</f>
        <v>0</v>
      </c>
    </row>
    <row r="27" spans="1:25" ht="43.5" thickBot="1" x14ac:dyDescent="0.25">
      <c r="A27" s="71">
        <f t="shared" si="1"/>
        <v>25</v>
      </c>
      <c r="B27" s="77" t="s">
        <v>193</v>
      </c>
      <c r="C27" s="78" t="str">
        <f>VLOOKUP(B27,'HECVAT - Full'!A:E,2,FALSE)</f>
        <v>Will the consultant need remote access to the Institution's network or systems?</v>
      </c>
      <c r="D27" s="71">
        <f>VLOOKUP(B27,'HECVAT - Full'!A:E,4,FALSE)</f>
        <v>0</v>
      </c>
      <c r="E27" s="79" t="b">
        <f>IF(Table1[[#This Row],[Column11]]&gt;20,TRUE,FALSE)</f>
        <v>1</v>
      </c>
      <c r="F27" s="79" t="s">
        <v>93</v>
      </c>
      <c r="G27" s="98" t="s">
        <v>20</v>
      </c>
      <c r="H27" s="81">
        <v>1</v>
      </c>
      <c r="I27" s="94">
        <f>VLOOKUP(B27,'HECVAT - Full'!A:E,3,FALSE)</f>
        <v>0</v>
      </c>
      <c r="J27" s="71">
        <f>IF(Table1[[#This Row],[Column7]]=Table1[[#This Row],[Column9]],1,0)</f>
        <v>0</v>
      </c>
      <c r="K27" s="71">
        <f>IF(Table1[[#This Row],[Column8]]=1,25,"")</f>
        <v>25</v>
      </c>
      <c r="L27" s="71">
        <f>IF(Table1[[#This Row],[Column8]]=1,J27*K27,"")</f>
        <v>0</v>
      </c>
      <c r="M27" s="72" t="str">
        <f>VLOOKUP($B27,'Standards Crosswalk'!$A:$H,3,FALSE)</f>
        <v>CSC 14</v>
      </c>
      <c r="N27" s="72">
        <f>VLOOKUP($B27,'Standards Crosswalk'!$A:$H,4,FALSE)</f>
        <v>0</v>
      </c>
      <c r="O27" s="72" t="str">
        <f>VLOOKUP($B27,'Standards Crosswalk'!$A:$H,5,FALSE)</f>
        <v>9</v>
      </c>
      <c r="P27" s="72" t="str">
        <f>VLOOKUP($B27,'Standards Crosswalk'!$A:$H,6,FALSE)</f>
        <v>ID.AM-6, PR.AT-3</v>
      </c>
      <c r="Q27" s="72">
        <f>VLOOKUP($B27,'Standards Crosswalk'!$A:$H,7,FALSE)</f>
        <v>0</v>
      </c>
      <c r="R27" s="72">
        <f>VLOOKUP($B27,'Standards Crosswalk'!$A:$H,8,FALSE)</f>
        <v>0</v>
      </c>
      <c r="S27" s="72">
        <f>VLOOKUP($B27,'Standards Crosswalk'!$A:$I,9,FALSE)</f>
        <v>0</v>
      </c>
    </row>
    <row r="28" spans="1:25" ht="29.25" thickBot="1" x14ac:dyDescent="0.25">
      <c r="A28" s="71">
        <f t="shared" si="1"/>
        <v>26</v>
      </c>
      <c r="B28" s="95" t="s">
        <v>194</v>
      </c>
      <c r="C28" s="78" t="str">
        <f>VLOOKUP(B28,'HECVAT - Full'!A:E,2,FALSE)</f>
        <v>Can we restrict that access based on source IP address?</v>
      </c>
      <c r="D28" s="71">
        <f>VLOOKUP(B28,'HECVAT - Full'!A:E,4,FALSE)</f>
        <v>0</v>
      </c>
      <c r="E28" s="79" t="b">
        <f>IF(Table1[[#This Row],[Column11]]&gt;20,TRUE,FALSE)</f>
        <v>1</v>
      </c>
      <c r="F28" s="79" t="s">
        <v>93</v>
      </c>
      <c r="G28" s="98" t="s">
        <v>17</v>
      </c>
      <c r="H28" s="81">
        <f>IF(I27="Yes",1,0)</f>
        <v>0</v>
      </c>
      <c r="I28" s="94">
        <f>VLOOKUP(B28,'HECVAT - Full'!A:E,3,FALSE)</f>
        <v>0</v>
      </c>
      <c r="J28" s="71">
        <f>IF(OR(Table1[[#This Row],[Column7]]=Table1[[#This Row],[Column9]],Table1[[#This Row],[Column9]]="N/A"),1,0)</f>
        <v>0</v>
      </c>
      <c r="K28" s="71" t="str">
        <f>IF(Table1[[#This Row],[Column8]]=1,20,"")</f>
        <v/>
      </c>
      <c r="L28" s="71" t="str">
        <f>IF(Table1[[#This Row],[Column8]]=1,J28*K28,"")</f>
        <v/>
      </c>
      <c r="M28" s="72">
        <f>VLOOKUP($B28,'Standards Crosswalk'!$A:$H,3,FALSE)</f>
        <v>0</v>
      </c>
      <c r="N28" s="72">
        <f>VLOOKUP($B28,'Standards Crosswalk'!$A:$H,4,FALSE)</f>
        <v>0</v>
      </c>
      <c r="O28" s="72" t="str">
        <f>VLOOKUP($B28,'Standards Crosswalk'!$A:$H,5,FALSE)</f>
        <v>9</v>
      </c>
      <c r="P28" s="72" t="str">
        <f>VLOOKUP($B28,'Standards Crosswalk'!$A:$H,6,FALSE)</f>
        <v>ID.AM-6, PR.AT-3</v>
      </c>
      <c r="Q28" s="72">
        <f>VLOOKUP($B28,'Standards Crosswalk'!$A:$H,7,FALSE)</f>
        <v>0</v>
      </c>
      <c r="R28" s="72">
        <f>VLOOKUP($B28,'Standards Crosswalk'!$A:$H,8,FALSE)</f>
        <v>0</v>
      </c>
      <c r="S28" s="72">
        <f>VLOOKUP($B28,'Standards Crosswalk'!$A:$I,9,FALSE)</f>
        <v>0</v>
      </c>
    </row>
    <row r="29" spans="1:25" ht="43.5" thickBot="1" x14ac:dyDescent="0.25">
      <c r="A29" s="71">
        <f t="shared" si="1"/>
        <v>27</v>
      </c>
      <c r="B29" s="77" t="s">
        <v>195</v>
      </c>
      <c r="C29" s="78" t="str">
        <f>VLOOKUP(B29,'HECVAT - Full'!A:E,2,FALSE)</f>
        <v>Do you support role-based access control (RBAC) for end-users?</v>
      </c>
      <c r="D29" s="71">
        <f>VLOOKUP(B29,'HECVAT - Full'!A:E,4,FALSE)</f>
        <v>0</v>
      </c>
      <c r="E29" s="79" t="b">
        <f>IF(Table1[[#This Row],[Column11]]&gt;20,TRUE,FALSE)</f>
        <v>1</v>
      </c>
      <c r="F29" s="86" t="s">
        <v>2029</v>
      </c>
      <c r="G29" s="80" t="s">
        <v>17</v>
      </c>
      <c r="H29" s="81">
        <v>1</v>
      </c>
      <c r="I29" s="71">
        <f>VLOOKUP(B29,'HECVAT - Full'!A:E,3,FALSE)</f>
        <v>0</v>
      </c>
      <c r="J29" s="71">
        <f>IF(Table1[[#This Row],[Column7]]=Table1[[#This Row],[Column9]],1,0)</f>
        <v>0</v>
      </c>
      <c r="K29" s="71">
        <f>IF(Table1[[#This Row],[Column8]]=1,25,"")</f>
        <v>25</v>
      </c>
      <c r="L29" s="71">
        <f>IF(Table1[[#This Row],[Column8]]=1,J29*K29,"")</f>
        <v>0</v>
      </c>
      <c r="M29" s="72" t="str">
        <f>VLOOKUP($B29,'Standards Crosswalk'!$A:$H,3,FALSE)</f>
        <v>CSC 18</v>
      </c>
      <c r="N29" s="72">
        <f>VLOOKUP($B29,'Standards Crosswalk'!$A:$H,4,FALSE)</f>
        <v>0</v>
      </c>
      <c r="O29" s="72">
        <f>VLOOKUP($B29,'Standards Crosswalk'!$A:$H,5,FALSE)</f>
        <v>0</v>
      </c>
      <c r="P29" s="72" t="str">
        <f>VLOOKUP($B29,'Standards Crosswalk'!$A:$H,6,FALSE)</f>
        <v>ID.AM-5</v>
      </c>
      <c r="Q29" s="72">
        <f>VLOOKUP($B29,'Standards Crosswalk'!$A:$H,7,FALSE)</f>
        <v>0</v>
      </c>
      <c r="R29" s="72">
        <f>VLOOKUP($B29,'Standards Crosswalk'!$A:$H,8,FALSE)</f>
        <v>0</v>
      </c>
      <c r="S29" s="72">
        <f>VLOOKUP($B29,'Standards Crosswalk'!$A:$I,9,FALSE)</f>
        <v>0</v>
      </c>
    </row>
    <row r="30" spans="1:25" ht="43.5" thickBot="1" x14ac:dyDescent="0.25">
      <c r="A30" s="71">
        <f t="shared" si="1"/>
        <v>28</v>
      </c>
      <c r="B30" s="77" t="s">
        <v>196</v>
      </c>
      <c r="C30" s="78" t="str">
        <f>VLOOKUP(B30,'HECVAT - Full'!A:E,2,FALSE)</f>
        <v>Do you support role-based access control (RBAC) for system administrators?</v>
      </c>
      <c r="D30" s="71">
        <f>VLOOKUP(B30,'HECVAT - Full'!A:E,4,FALSE)</f>
        <v>0</v>
      </c>
      <c r="E30" s="79" t="b">
        <f>IF(Table1[[#This Row],[Column11]]&gt;20,TRUE,FALSE)</f>
        <v>1</v>
      </c>
      <c r="F30" s="86" t="s">
        <v>2029</v>
      </c>
      <c r="G30" s="80" t="s">
        <v>17</v>
      </c>
      <c r="H30" s="81">
        <v>1</v>
      </c>
      <c r="I30" s="71">
        <f>VLOOKUP(B30,'HECVAT - Full'!A:E,3,FALSE)</f>
        <v>0</v>
      </c>
      <c r="J30" s="71">
        <f>IF(Table1[[#This Row],[Column7]]=Table1[[#This Row],[Column9]],1,0)</f>
        <v>0</v>
      </c>
      <c r="K30" s="71">
        <f>IF(Table1[[#This Row],[Column8]]=1,25,"")</f>
        <v>25</v>
      </c>
      <c r="L30" s="71">
        <f>IF(Table1[[#This Row],[Column8]]=1,J30*K30,"")</f>
        <v>0</v>
      </c>
      <c r="M30" s="72" t="str">
        <f>VLOOKUP($B30,'Standards Crosswalk'!$A:$H,3,FALSE)</f>
        <v>CSC 2, CSC 3</v>
      </c>
      <c r="N30" s="72">
        <f>VLOOKUP($B30,'Standards Crosswalk'!$A:$H,4,FALSE)</f>
        <v>0</v>
      </c>
      <c r="O30" s="72" t="str">
        <f>VLOOKUP($B30,'Standards Crosswalk'!$A:$H,5,FALSE)</f>
        <v>11.2.6</v>
      </c>
      <c r="P30" s="72" t="str">
        <f>VLOOKUP($B30,'Standards Crosswalk'!$A:$H,6,FALSE)</f>
        <v>ID.AM-5</v>
      </c>
      <c r="Q30" s="72">
        <f>VLOOKUP($B30,'Standards Crosswalk'!$A:$H,7,FALSE)</f>
        <v>0</v>
      </c>
      <c r="R30" s="72">
        <f>VLOOKUP($B30,'Standards Crosswalk'!$A:$H,8,FALSE)</f>
        <v>0</v>
      </c>
      <c r="S30" s="72">
        <f>VLOOKUP($B30,'Standards Crosswalk'!$A:$I,9,FALSE)</f>
        <v>0</v>
      </c>
    </row>
    <row r="31" spans="1:25" ht="43.5" thickBot="1" x14ac:dyDescent="0.25">
      <c r="A31" s="71">
        <f t="shared" si="1"/>
        <v>29</v>
      </c>
      <c r="B31" s="77" t="s">
        <v>539</v>
      </c>
      <c r="C31" s="78" t="str">
        <f>VLOOKUP(B31,'HECVAT - Full'!A:E,2,FALSE)</f>
        <v>Can employees access customer data remotely?</v>
      </c>
      <c r="D31" s="71">
        <f>VLOOKUP(B31,'HECVAT - Full'!A:E,4,FALSE)</f>
        <v>0</v>
      </c>
      <c r="E31" s="79" t="b">
        <f>IF(Table1[[#This Row],[Column11]]&gt;20,TRUE,FALSE)</f>
        <v>0</v>
      </c>
      <c r="F31" s="86" t="s">
        <v>2029</v>
      </c>
      <c r="G31" s="80" t="s">
        <v>17</v>
      </c>
      <c r="H31" s="81">
        <v>1</v>
      </c>
      <c r="I31" s="71">
        <f>VLOOKUP(B31,'HECVAT - Full'!A:E,3,FALSE)</f>
        <v>0</v>
      </c>
      <c r="J31" s="71">
        <f>IF(Table1[[#This Row],[Column7]]=Table1[[#This Row],[Column9]],1,0)</f>
        <v>0</v>
      </c>
      <c r="K31" s="71">
        <f>IF(Table1[[#This Row],[Column8]]=1,20,"")</f>
        <v>20</v>
      </c>
      <c r="L31" s="71">
        <f>IF(Table1[[#This Row],[Column8]]=1,J31*K31,"")</f>
        <v>0</v>
      </c>
      <c r="M31" s="72" t="str">
        <f>VLOOKUP($B31,'Standards Crosswalk'!$A:$H,3,FALSE)</f>
        <v>CSC 14</v>
      </c>
      <c r="N31" s="72">
        <f>VLOOKUP($B31,'Standards Crosswalk'!$A:$H,4,FALSE)</f>
        <v>0</v>
      </c>
      <c r="O31" s="72">
        <f>VLOOKUP($B31,'Standards Crosswalk'!$A:$H,5,FALSE)</f>
        <v>6.2</v>
      </c>
      <c r="P31" s="72" t="str">
        <f>VLOOKUP($B31,'Standards Crosswalk'!$A:$H,6,FALSE)</f>
        <v>PR.AC-3, PR.MA-2</v>
      </c>
      <c r="Q31" s="72" t="str">
        <f>VLOOKUP($B31,'Standards Crosswalk'!$A:$H,7,FALSE)</f>
        <v>3.1.2</v>
      </c>
      <c r="R31" s="72" t="str">
        <f>VLOOKUP($B31,'Standards Crosswalk'!$A:$H,8,FALSE)</f>
        <v>AC-17; NIST SP 800-46</v>
      </c>
      <c r="S31" s="72" t="str">
        <f>VLOOKUP($B31,'Standards Crosswalk'!$A:$I,9,FALSE)</f>
        <v>7.x</v>
      </c>
    </row>
    <row r="32" spans="1:25" ht="86.25" thickBot="1" x14ac:dyDescent="0.25">
      <c r="A32" s="71">
        <f t="shared" si="1"/>
        <v>30</v>
      </c>
      <c r="B32" s="77" t="s">
        <v>197</v>
      </c>
      <c r="C32" s="78" t="str">
        <f>VLOOKUP(B32,'HECVAT - Full'!A:E,2,FALSE)</f>
        <v>Can you provide overall system and/or application architecture diagrams including a full description of the data communications architecture for all components of the system?</v>
      </c>
      <c r="D32" s="71">
        <f>VLOOKUP(B32,'HECVAT - Full'!A:E,4,FALSE)</f>
        <v>0</v>
      </c>
      <c r="E32" s="79" t="b">
        <f>IF(Table1[[#This Row],[Column11]]&gt;20,TRUE,FALSE)</f>
        <v>0</v>
      </c>
      <c r="F32" s="86" t="s">
        <v>2029</v>
      </c>
      <c r="G32" s="98" t="s">
        <v>17</v>
      </c>
      <c r="H32" s="81">
        <v>1</v>
      </c>
      <c r="I32" s="71">
        <f>VLOOKUP(B32,'HECVAT - Full'!A:E,3,FALSE)</f>
        <v>0</v>
      </c>
      <c r="J32" s="71">
        <f>IF(Table1[[#This Row],[Column7]]=Table1[[#This Row],[Column9]],1,0)</f>
        <v>0</v>
      </c>
      <c r="K32" s="71">
        <f>IF(Table1[[#This Row],[Column8]]=1,20,"")</f>
        <v>20</v>
      </c>
      <c r="L32" s="71">
        <f>IF(Table1[[#This Row],[Column8]]=1,J32*K32,"")</f>
        <v>0</v>
      </c>
      <c r="M32" s="72" t="str">
        <f>VLOOKUP($B32,'Standards Crosswalk'!$A:$H,3,FALSE)</f>
        <v>CSC16</v>
      </c>
      <c r="N32" s="72">
        <f>VLOOKUP($B32,'Standards Crosswalk'!$A:$H,4,FALSE)</f>
        <v>0</v>
      </c>
      <c r="O32" s="72" t="str">
        <f>VLOOKUP($B32,'Standards Crosswalk'!$A:$H,5,FALSE)</f>
        <v>9.1.1</v>
      </c>
      <c r="P32" s="72" t="str">
        <f>VLOOKUP($B32,'Standards Crosswalk'!$A:$H,6,FALSE)</f>
        <v>PR.AC-4, PR.PT-3</v>
      </c>
      <c r="Q32" s="72" t="str">
        <f>VLOOKUP($B32,'Standards Crosswalk'!$A:$H,7,FALSE)</f>
        <v>3.4.9</v>
      </c>
      <c r="R32" s="72" t="str">
        <f>VLOOKUP($B32,'Standards Crosswalk'!$A:$H,8,FALSE)</f>
        <v>CM-11</v>
      </c>
      <c r="S32" s="72" t="str">
        <f>VLOOKUP($B32,'Standards Crosswalk'!$A:$I,9,FALSE)</f>
        <v>7.x</v>
      </c>
    </row>
    <row r="33" spans="1:19" ht="43.5" thickBot="1" x14ac:dyDescent="0.25">
      <c r="A33" s="71">
        <f t="shared" si="1"/>
        <v>31</v>
      </c>
      <c r="B33" s="77" t="s">
        <v>198</v>
      </c>
      <c r="C33" s="78" t="str">
        <f>VLOOKUP(B33,'HECVAT - Full'!A:E,2,FALSE)</f>
        <v xml:space="preserve">Does the system provide data input validation and error messages? </v>
      </c>
      <c r="D33" s="71">
        <f>VLOOKUP(B33,'HECVAT - Full'!A:E,4,FALSE)</f>
        <v>0</v>
      </c>
      <c r="E33" s="79" t="b">
        <f>IF(Table1[[#This Row],[Column11]]&gt;20,TRUE,FALSE)</f>
        <v>0</v>
      </c>
      <c r="F33" s="86" t="s">
        <v>2029</v>
      </c>
      <c r="G33" s="98" t="s">
        <v>17</v>
      </c>
      <c r="H33" s="81">
        <v>1</v>
      </c>
      <c r="I33" s="71">
        <f>VLOOKUP(B33,'HECVAT - Full'!A:E,3,FALSE)</f>
        <v>0</v>
      </c>
      <c r="J33" s="71">
        <f>IF(Table1[[#This Row],[Column7]]=Table1[[#This Row],[Column9]],1,0)</f>
        <v>0</v>
      </c>
      <c r="K33" s="71">
        <f>IF(Table1[[#This Row],[Column8]]=1,20,"")</f>
        <v>20</v>
      </c>
      <c r="L33" s="71">
        <f>IF(Table1[[#This Row],[Column8]]=1,J33*K33,"")</f>
        <v>0</v>
      </c>
      <c r="M33" s="72" t="str">
        <f>VLOOKUP($B33,'Standards Crosswalk'!$A:$H,3,FALSE)</f>
        <v>CSC 18</v>
      </c>
      <c r="N33" s="72">
        <f>VLOOKUP($B33,'Standards Crosswalk'!$A:$H,4,FALSE)</f>
        <v>0</v>
      </c>
      <c r="O33" s="72">
        <f>VLOOKUP($B33,'Standards Crosswalk'!$A:$H,5,FALSE)</f>
        <v>0</v>
      </c>
      <c r="P33" s="72" t="str">
        <f>VLOOKUP($B33,'Standards Crosswalk'!$A:$H,6,FALSE)</f>
        <v>ID.AM-5</v>
      </c>
      <c r="Q33" s="72">
        <f>VLOOKUP($B33,'Standards Crosswalk'!$A:$H,7,FALSE)</f>
        <v>0</v>
      </c>
      <c r="R33" s="72">
        <f>VLOOKUP($B33,'Standards Crosswalk'!$A:$H,8,FALSE)</f>
        <v>0</v>
      </c>
      <c r="S33" s="72">
        <f>VLOOKUP($B33,'Standards Crosswalk'!$A:$I,9,FALSE)</f>
        <v>0</v>
      </c>
    </row>
    <row r="34" spans="1:19" ht="100.5" thickBot="1" x14ac:dyDescent="0.25">
      <c r="A34" s="71">
        <f t="shared" si="1"/>
        <v>32</v>
      </c>
      <c r="B34" s="77" t="s">
        <v>199</v>
      </c>
      <c r="C34" s="78" t="str">
        <f>VLOOKUP(B34,'HECVAT - Full'!A:E,2,FALSE)</f>
        <v xml:space="preserve">Do you employ a single-tenant environment? </v>
      </c>
      <c r="D34" s="71">
        <f>VLOOKUP(B34,'HECVAT - Full'!A:E,4,FALSE)</f>
        <v>0</v>
      </c>
      <c r="E34" s="79" t="b">
        <f>IF(Table1[[#This Row],[Column11]]&gt;20,TRUE,FALSE)</f>
        <v>1</v>
      </c>
      <c r="F34" s="86" t="s">
        <v>2029</v>
      </c>
      <c r="G34" s="98" t="s">
        <v>17</v>
      </c>
      <c r="H34" s="81">
        <v>1</v>
      </c>
      <c r="I34" s="71">
        <f>VLOOKUP(B34,'HECVAT - Full'!A:E,3,FALSE)</f>
        <v>0</v>
      </c>
      <c r="J34" s="71">
        <f>IF(Table1[[#This Row],[Column7]]=Table1[[#This Row],[Column9]],1,0)</f>
        <v>0</v>
      </c>
      <c r="K34" s="71">
        <f>IF(Table1[[#This Row],[Column8]]=1,25,"")</f>
        <v>25</v>
      </c>
      <c r="L34" s="71">
        <f>IF(Table1[[#This Row],[Column8]]=1,J34*K34,"")</f>
        <v>0</v>
      </c>
      <c r="M34" s="72" t="str">
        <f>VLOOKUP($B34,'Standards Crosswalk'!$A:$H,3,FALSE)</f>
        <v>CSC 12</v>
      </c>
      <c r="N34" s="72">
        <f>VLOOKUP($B34,'Standards Crosswalk'!$A:$H,4,FALSE)</f>
        <v>0</v>
      </c>
      <c r="O34" s="72">
        <f>VLOOKUP($B34,'Standards Crosswalk'!$A:$H,5,FALSE)</f>
        <v>6.2</v>
      </c>
      <c r="P34" s="72" t="str">
        <f>VLOOKUP($B34,'Standards Crosswalk'!$A:$H,6,FALSE)</f>
        <v>PR.PT-3</v>
      </c>
      <c r="Q34" s="72" t="str">
        <f>VLOOKUP($B34,'Standards Crosswalk'!$A:$H,7,FALSE)</f>
        <v>3.1.12, 3.1.13, 3.1.14, 3.1.14, 3.1.15, 3.1.8, 3.1.20, 3.7.5, 3.8.2, 3.13.7</v>
      </c>
      <c r="R34" s="72" t="str">
        <f>VLOOKUP($B34,'Standards Crosswalk'!$A:$H,8,FALSE)</f>
        <v>AC-3, CM-7; NIST SP 800-46</v>
      </c>
      <c r="S34" s="72">
        <f>VLOOKUP($B34,'Standards Crosswalk'!$A:$I,9,FALSE)</f>
        <v>0</v>
      </c>
    </row>
    <row r="35" spans="1:19" ht="57.75" thickBot="1" x14ac:dyDescent="0.25">
      <c r="A35" s="71">
        <f t="shared" si="1"/>
        <v>33</v>
      </c>
      <c r="B35" s="77" t="s">
        <v>200</v>
      </c>
      <c r="C35" s="78" t="str">
        <f>VLOOKUP(B35,'HECVAT - Full'!A:E,2,FALSE)</f>
        <v>What operating system(s) is/are leveraged by the system(s)/application(s) that will have access to institution's data?</v>
      </c>
      <c r="D35" s="71">
        <f>VLOOKUP(B35,'HECVAT - Full'!A:E,4,FALSE)</f>
        <v>0</v>
      </c>
      <c r="E35" s="79" t="b">
        <f>IF(Table1[[#This Row],[Column11]]&gt;20,TRUE,FALSE)</f>
        <v>0</v>
      </c>
      <c r="F35" s="86" t="s">
        <v>2029</v>
      </c>
      <c r="G35" s="80"/>
      <c r="H35" s="81">
        <v>1</v>
      </c>
      <c r="I35" s="71">
        <f>VLOOKUP(B35,'HECVAT - Full'!A:E,3,FALSE)</f>
        <v>0</v>
      </c>
      <c r="J35" s="71">
        <f>IF(VLOOKUP(Table1[[#This Row],[Column2]],'Analyst Report'!$A$41:$G$88,7,FALSE)="Yes",1,0)</f>
        <v>0</v>
      </c>
      <c r="K35" s="71">
        <f>IF(Table1[[#This Row],[Column8]]=1,20,"")</f>
        <v>20</v>
      </c>
      <c r="L35" s="71">
        <f>IF(Table1[[#This Row],[Column8]]=1,J35*K35,"")</f>
        <v>0</v>
      </c>
      <c r="M35" s="72" t="str">
        <f>VLOOKUP($B35,'Standards Crosswalk'!$A:$H,3,FALSE)</f>
        <v>CSC 2</v>
      </c>
      <c r="N35" s="72">
        <f>VLOOKUP($B35,'Standards Crosswalk'!$A:$H,4,FALSE)</f>
        <v>0</v>
      </c>
      <c r="O35" s="72" t="str">
        <f>VLOOKUP($B35,'Standards Crosswalk'!$A:$H,5,FALSE)</f>
        <v>12.5.1</v>
      </c>
      <c r="P35" s="72" t="str">
        <f>VLOOKUP($B35,'Standards Crosswalk'!$A:$H,6,FALSE)</f>
        <v>PR.PT-3</v>
      </c>
      <c r="Q35" s="72">
        <f>VLOOKUP($B35,'Standards Crosswalk'!$A:$H,7,FALSE)</f>
        <v>0</v>
      </c>
      <c r="R35" s="72" t="str">
        <f>VLOOKUP($B35,'Standards Crosswalk'!$A:$H,8,FALSE)</f>
        <v>AC-17; NIST SP 800-46</v>
      </c>
      <c r="S35" s="72">
        <f>VLOOKUP($B35,'Standards Crosswalk'!$A:$I,9,FALSE)</f>
        <v>0</v>
      </c>
    </row>
    <row r="36" spans="1:19" ht="57.75" thickBot="1" x14ac:dyDescent="0.25">
      <c r="A36" s="71">
        <f t="shared" si="1"/>
        <v>34</v>
      </c>
      <c r="B36" s="77" t="s">
        <v>201</v>
      </c>
      <c r="C36" s="78" t="str">
        <f>VLOOKUP(B36,'HECVAT - Full'!A:E,2,FALSE)</f>
        <v>Have you or any third party you contract with that may have access or allow access to the institution's data experienced a breach?</v>
      </c>
      <c r="D36" s="71">
        <f>VLOOKUP(B36,'HECVAT - Full'!A:E,4,FALSE)</f>
        <v>0</v>
      </c>
      <c r="E36" s="79" t="b">
        <f>IF(Table1[[#This Row],[Column11]]&gt;20,TRUE,FALSE)</f>
        <v>1</v>
      </c>
      <c r="F36" s="86" t="s">
        <v>2029</v>
      </c>
      <c r="G36" s="80" t="s">
        <v>20</v>
      </c>
      <c r="H36" s="81">
        <v>1</v>
      </c>
      <c r="I36" s="71">
        <f>VLOOKUP(B36,'HECVAT - Full'!A:E,3,FALSE)</f>
        <v>0</v>
      </c>
      <c r="J36" s="71">
        <f>IF(Table1[[#This Row],[Column7]]=Table1[[#This Row],[Column9]],1,0)</f>
        <v>0</v>
      </c>
      <c r="K36" s="71">
        <f>IF(Table1[[#This Row],[Column8]]=1,25,"")</f>
        <v>25</v>
      </c>
      <c r="L36" s="71">
        <f>IF(Table1[[#This Row],[Column8]]=1,J36*K36,"")</f>
        <v>0</v>
      </c>
      <c r="M36" s="72">
        <f>VLOOKUP($B36,'Standards Crosswalk'!$A:$H,3,FALSE)</f>
        <v>0</v>
      </c>
      <c r="N36" s="72">
        <f>VLOOKUP($B36,'Standards Crosswalk'!$A:$H,4,FALSE)</f>
        <v>0</v>
      </c>
      <c r="O36" s="72">
        <f>VLOOKUP($B36,'Standards Crosswalk'!$A:$H,5,FALSE)</f>
        <v>16</v>
      </c>
      <c r="P36" s="72">
        <f>VLOOKUP($B36,'Standards Crosswalk'!$A:$H,6,FALSE)</f>
        <v>0</v>
      </c>
      <c r="Q36" s="72">
        <f>VLOOKUP($B36,'Standards Crosswalk'!$A:$H,7,FALSE)</f>
        <v>0</v>
      </c>
      <c r="R36" s="72">
        <f>VLOOKUP($B36,'Standards Crosswalk'!$A:$H,8,FALSE)</f>
        <v>0</v>
      </c>
      <c r="S36" s="72" t="str">
        <f>VLOOKUP($B36,'Standards Crosswalk'!$A:$I,9,FALSE)</f>
        <v>12.8, 4.2</v>
      </c>
    </row>
    <row r="37" spans="1:19" ht="72" thickBot="1" x14ac:dyDescent="0.25">
      <c r="A37" s="71">
        <f t="shared" si="1"/>
        <v>35</v>
      </c>
      <c r="B37" s="77" t="s">
        <v>202</v>
      </c>
      <c r="C37" s="78" t="str">
        <f>VLOOKUP(B37,'HECVAT - Full'!A:E,2,FALSE)</f>
        <v xml:space="preserve">Describe or provide a reference to additional software/products necessary to implement a functional system on either the backend or user-interface side of the system. </v>
      </c>
      <c r="D37" s="71">
        <f>VLOOKUP(B37,'HECVAT - Full'!A:E,4,FALSE)</f>
        <v>0</v>
      </c>
      <c r="E37" s="79" t="b">
        <f>IF(Table1[[#This Row],[Column11]]&gt;20,TRUE,FALSE)</f>
        <v>0</v>
      </c>
      <c r="F37" s="86" t="s">
        <v>2029</v>
      </c>
      <c r="G37" s="80"/>
      <c r="H37" s="81">
        <v>1</v>
      </c>
      <c r="I37" s="71">
        <f>VLOOKUP(B37,'HECVAT - Full'!A:E,3,FALSE)</f>
        <v>0</v>
      </c>
      <c r="J37" s="71">
        <f>IF(VLOOKUP(Table1[[#This Row],[Column2]],'Analyst Report'!$A$41:$G$88,7,FALSE)="Yes",1,0)</f>
        <v>0</v>
      </c>
      <c r="K37" s="71">
        <f>IF(Table1[[#This Row],[Column8]]=1,15,"")</f>
        <v>15</v>
      </c>
      <c r="L37" s="71">
        <f>IF(Table1[[#This Row],[Column8]]=1,J37*K37,"")</f>
        <v>0</v>
      </c>
      <c r="M37" s="72" t="str">
        <f>VLOOKUP($B37,'Standards Crosswalk'!$A:$H,3,FALSE)</f>
        <v>CSC 2</v>
      </c>
      <c r="N37" s="72">
        <f>VLOOKUP($B37,'Standards Crosswalk'!$A:$H,4,FALSE)</f>
        <v>0</v>
      </c>
      <c r="O37" s="72" t="str">
        <f>VLOOKUP($B37,'Standards Crosswalk'!$A:$H,5,FALSE)</f>
        <v>12.5.1</v>
      </c>
      <c r="P37" s="72" t="str">
        <f>VLOOKUP($B37,'Standards Crosswalk'!$A:$H,6,FALSE)</f>
        <v>ID.AM-2</v>
      </c>
      <c r="Q37" s="72">
        <f>VLOOKUP($B37,'Standards Crosswalk'!$A:$H,7,FALSE)</f>
        <v>0</v>
      </c>
      <c r="R37" s="72">
        <f>VLOOKUP($B37,'Standards Crosswalk'!$A:$H,8,FALSE)</f>
        <v>0</v>
      </c>
      <c r="S37" s="72">
        <f>VLOOKUP($B37,'Standards Crosswalk'!$A:$I,9,FALSE)</f>
        <v>0</v>
      </c>
    </row>
    <row r="38" spans="1:19" ht="100.5" thickBot="1" x14ac:dyDescent="0.25">
      <c r="A38" s="71">
        <f t="shared" si="1"/>
        <v>36</v>
      </c>
      <c r="B38" s="77" t="s">
        <v>203</v>
      </c>
      <c r="C38" s="78" t="str">
        <f>VLOOKUP(B38,'HECVAT - Full'!A:E,2,FALSE)</f>
        <v xml:space="preserve">Describe or provide a reference to the overall system and/or application architecture(s), including appropriate diagrams. Include a full description of the data communications architecture for all components of the system. </v>
      </c>
      <c r="D38" s="71">
        <f>VLOOKUP(B38,'HECVAT - Full'!A:E,4,FALSE)</f>
        <v>0</v>
      </c>
      <c r="E38" s="79" t="b">
        <f>IF(Table1[[#This Row],[Column11]]&gt;20,TRUE,FALSE)</f>
        <v>1</v>
      </c>
      <c r="F38" s="86" t="s">
        <v>2029</v>
      </c>
      <c r="G38" s="80"/>
      <c r="H38" s="81">
        <v>1</v>
      </c>
      <c r="I38" s="71">
        <f>VLOOKUP(B38,'HECVAT - Full'!A:E,3,FALSE)</f>
        <v>0</v>
      </c>
      <c r="J38" s="71">
        <f>IF(VLOOKUP(Table1[[#This Row],[Column2]],'Analyst Report'!$A$41:$G$88,7,FALSE)="Yes",1,0)</f>
        <v>0</v>
      </c>
      <c r="K38" s="71">
        <f>IF(Table1[[#This Row],[Column8]]=1,25,"")</f>
        <v>25</v>
      </c>
      <c r="L38" s="71">
        <f>IF(Table1[[#This Row],[Column8]]=1,J38*K38,"")</f>
        <v>0</v>
      </c>
      <c r="M38" s="72" t="str">
        <f>VLOOKUP($B38,'Standards Crosswalk'!$A:$H,3,FALSE)</f>
        <v>CSC 2</v>
      </c>
      <c r="N38" s="72">
        <f>VLOOKUP($B38,'Standards Crosswalk'!$A:$H,4,FALSE)</f>
        <v>0</v>
      </c>
      <c r="O38" s="72" t="str">
        <f>VLOOKUP($B38,'Standards Crosswalk'!$A:$H,5,FALSE)</f>
        <v>12.1.1</v>
      </c>
      <c r="P38" s="72" t="str">
        <f>VLOOKUP($B38,'Standards Crosswalk'!$A:$H,6,FALSE)</f>
        <v>ID.AM-1, ID.AM-2, ID.AM-4</v>
      </c>
      <c r="Q38" s="72">
        <f>VLOOKUP($B38,'Standards Crosswalk'!$A:$H,7,FALSE)</f>
        <v>0</v>
      </c>
      <c r="R38" s="72" t="str">
        <f>VLOOKUP($B38,'Standards Crosswalk'!$A:$H,8,FALSE)</f>
        <v>CA-9, SC-4</v>
      </c>
      <c r="S38" s="72">
        <f>VLOOKUP($B38,'Standards Crosswalk'!$A:$I,9,FALSE)</f>
        <v>2.4</v>
      </c>
    </row>
    <row r="39" spans="1:19" ht="57.75" thickBot="1" x14ac:dyDescent="0.25">
      <c r="A39" s="71">
        <f t="shared" si="1"/>
        <v>37</v>
      </c>
      <c r="B39" s="77" t="s">
        <v>204</v>
      </c>
      <c r="C39" s="78" t="str">
        <f>VLOOKUP(B39,'HECVAT - Full'!A:E,2,FALSE)</f>
        <v>Are databases used in the system segregated from front-end systems? (e.g. web and application servers)</v>
      </c>
      <c r="D39" s="71">
        <f>VLOOKUP(B39,'HECVAT - Full'!A:E,4,FALSE)</f>
        <v>0</v>
      </c>
      <c r="E39" s="79" t="b">
        <f>IF(Table1[[#This Row],[Column11]]&gt;20,TRUE,FALSE)</f>
        <v>1</v>
      </c>
      <c r="F39" s="86" t="s">
        <v>2029</v>
      </c>
      <c r="G39" s="98" t="s">
        <v>17</v>
      </c>
      <c r="H39" s="81">
        <v>1</v>
      </c>
      <c r="I39" s="71">
        <f>VLOOKUP(B39,'HECVAT - Full'!A:E,3,FALSE)</f>
        <v>0</v>
      </c>
      <c r="J39" s="71">
        <f>IF(Table1[[#This Row],[Column7]]=Table1[[#This Row],[Column9]],1,0)</f>
        <v>0</v>
      </c>
      <c r="K39" s="71">
        <f>IF(Table1[[#This Row],[Column8]]=1,40,"")</f>
        <v>40</v>
      </c>
      <c r="L39" s="71">
        <f>IF(Table1[[#This Row],[Column8]]=1,J39*K39,"")</f>
        <v>0</v>
      </c>
      <c r="M39" s="72" t="str">
        <f>VLOOKUP($B39,'Standards Crosswalk'!$A:$H,3,FALSE)</f>
        <v>CSC 13</v>
      </c>
      <c r="N39" s="72">
        <f>VLOOKUP($B39,'Standards Crosswalk'!$A:$H,4,FALSE)</f>
        <v>0</v>
      </c>
      <c r="O39" s="72" t="str">
        <f>VLOOKUP($B39,'Standards Crosswalk'!$A:$H,5,FALSE)</f>
        <v>12.1.4</v>
      </c>
      <c r="P39" s="72">
        <f>VLOOKUP($B39,'Standards Crosswalk'!$A:$H,6,FALSE)</f>
        <v>0</v>
      </c>
      <c r="Q39" s="72">
        <f>VLOOKUP($B39,'Standards Crosswalk'!$A:$H,7,FALSE)</f>
        <v>0</v>
      </c>
      <c r="R39" s="72">
        <f>VLOOKUP($B39,'Standards Crosswalk'!$A:$H,8,FALSE)</f>
        <v>0</v>
      </c>
      <c r="S39" s="72">
        <f>VLOOKUP($B39,'Standards Crosswalk'!$A:$I,9,FALSE)</f>
        <v>0</v>
      </c>
    </row>
    <row r="40" spans="1:19" ht="72" thickBot="1" x14ac:dyDescent="0.25">
      <c r="A40" s="71">
        <f t="shared" si="1"/>
        <v>38</v>
      </c>
      <c r="B40" s="95" t="s">
        <v>205</v>
      </c>
      <c r="C40" s="78" t="str">
        <f>VLOOKUP(B40,'HECVAT - Full'!A:E,2,FALSE)</f>
        <v xml:space="preserve">Describe or provide a reference to all web-enabled features and functionality of the system (i.e. accessed via a web-based interface). </v>
      </c>
      <c r="D40" s="71">
        <f>VLOOKUP(B40,'HECVAT - Full'!A:E,4,FALSE)</f>
        <v>0</v>
      </c>
      <c r="E40" s="79" t="b">
        <f>IF(Table1[[#This Row],[Column11]]&gt;20,TRUE,FALSE)</f>
        <v>0</v>
      </c>
      <c r="F40" s="86" t="s">
        <v>2029</v>
      </c>
      <c r="G40" s="80" t="s">
        <v>20</v>
      </c>
      <c r="H40" s="81">
        <v>1</v>
      </c>
      <c r="I40" s="71">
        <f>VLOOKUP(B40,'HECVAT - Full'!A:E,3,FALSE)</f>
        <v>0</v>
      </c>
      <c r="J40" s="71">
        <f>IF(VLOOKUP(Table1[[#This Row],[Column2]],'Analyst Report'!$A$41:$G$88,7,FALSE)="Yes",1,0)</f>
        <v>0</v>
      </c>
      <c r="K40" s="71">
        <f>IF(Table1[[#This Row],[Column8]]=1,10,"")</f>
        <v>10</v>
      </c>
      <c r="L40" s="71">
        <f>IF(Table1[[#This Row],[Column8]]=1,J40*K40,"")</f>
        <v>0</v>
      </c>
      <c r="M40" s="72" t="str">
        <f>VLOOKUP($B40,'Standards Crosswalk'!$A:$H,3,FALSE)</f>
        <v>CSC 7</v>
      </c>
      <c r="N40" s="72">
        <f>VLOOKUP($B40,'Standards Crosswalk'!$A:$H,4,FALSE)</f>
        <v>0</v>
      </c>
      <c r="O40" s="72" t="str">
        <f>VLOOKUP($B40,'Standards Crosswalk'!$A:$H,5,FALSE)</f>
        <v>12.1.1</v>
      </c>
      <c r="P40" s="72">
        <f>VLOOKUP($B40,'Standards Crosswalk'!$A:$H,6,FALSE)</f>
        <v>0</v>
      </c>
      <c r="Q40" s="72">
        <f>VLOOKUP($B40,'Standards Crosswalk'!$A:$H,7,FALSE)</f>
        <v>0</v>
      </c>
      <c r="R40" s="72">
        <f>VLOOKUP($B40,'Standards Crosswalk'!$A:$H,8,FALSE)</f>
        <v>0</v>
      </c>
      <c r="S40" s="72">
        <f>VLOOKUP($B40,'Standards Crosswalk'!$A:$I,9,FALSE)</f>
        <v>0</v>
      </c>
    </row>
    <row r="41" spans="1:19" ht="43.5" thickBot="1" x14ac:dyDescent="0.25">
      <c r="A41" s="71">
        <f t="shared" si="1"/>
        <v>39</v>
      </c>
      <c r="B41" s="77" t="s">
        <v>206</v>
      </c>
      <c r="C41" s="78" t="str">
        <f>VLOOKUP(B41,'HECVAT - Full'!A:E,2,FALSE)</f>
        <v>Are there any OS and/or web-browser combinations that are not currently supported?</v>
      </c>
      <c r="D41" s="71">
        <f>VLOOKUP(B41,'HECVAT - Full'!A:E,4,FALSE)</f>
        <v>0</v>
      </c>
      <c r="E41" s="79" t="b">
        <f>IF(Table1[[#This Row],[Column11]]&gt;20,TRUE,FALSE)</f>
        <v>0</v>
      </c>
      <c r="F41" s="86" t="s">
        <v>2029</v>
      </c>
      <c r="G41" s="80" t="s">
        <v>20</v>
      </c>
      <c r="H41" s="81">
        <v>1</v>
      </c>
      <c r="I41" s="71">
        <f>VLOOKUP(B41,'HECVAT - Full'!A:E,3,FALSE)</f>
        <v>0</v>
      </c>
      <c r="J41" s="71">
        <f>IF(VLOOKUP(Table1[[#This Row],[Column2]],'Analyst Report'!$A$41:$G$88,7,FALSE)="Yes",1,0)</f>
        <v>0</v>
      </c>
      <c r="K41" s="71">
        <f>IF(Table1[[#This Row],[Column8]]=1,15,"")</f>
        <v>15</v>
      </c>
      <c r="L41" s="71">
        <f>IF(Table1[[#This Row],[Column8]]=1,J41*K41,"")</f>
        <v>0</v>
      </c>
      <c r="M41" s="72" t="str">
        <f>VLOOKUP($B41,'Standards Crosswalk'!$A:$H,3,FALSE)</f>
        <v>CSC 7</v>
      </c>
      <c r="N41" s="72">
        <f>VLOOKUP($B41,'Standards Crosswalk'!$A:$H,4,FALSE)</f>
        <v>0</v>
      </c>
      <c r="O41" s="72" t="str">
        <f>VLOOKUP($B41,'Standards Crosswalk'!$A:$H,5,FALSE)</f>
        <v>12.5.1</v>
      </c>
      <c r="P41" s="72">
        <f>VLOOKUP($B41,'Standards Crosswalk'!$A:$H,6,FALSE)</f>
        <v>0</v>
      </c>
      <c r="Q41" s="72">
        <f>VLOOKUP($B41,'Standards Crosswalk'!$A:$H,7,FALSE)</f>
        <v>0</v>
      </c>
      <c r="R41" s="72">
        <f>VLOOKUP($B41,'Standards Crosswalk'!$A:$H,8,FALSE)</f>
        <v>0</v>
      </c>
      <c r="S41" s="72">
        <f>VLOOKUP($B41,'Standards Crosswalk'!$A:$I,9,FALSE)</f>
        <v>0</v>
      </c>
    </row>
    <row r="42" spans="1:19" ht="43.5" thickBot="1" x14ac:dyDescent="0.25">
      <c r="A42" s="71">
        <f t="shared" si="1"/>
        <v>40</v>
      </c>
      <c r="B42" s="77" t="s">
        <v>207</v>
      </c>
      <c r="C42" s="78" t="str">
        <f>VLOOKUP(B42,'HECVAT - Full'!A:E,2,FALSE)</f>
        <v xml:space="preserve">Can your system take advantage of mobile and/or GPS enabled mobile devices?  </v>
      </c>
      <c r="D42" s="71">
        <f>VLOOKUP(B42,'HECVAT - Full'!A:E,4,FALSE)</f>
        <v>0</v>
      </c>
      <c r="E42" s="79" t="b">
        <f>IF(Table1[[#This Row],[Column11]]&gt;20,TRUE,FALSE)</f>
        <v>1</v>
      </c>
      <c r="F42" s="86" t="s">
        <v>2029</v>
      </c>
      <c r="G42" s="80" t="s">
        <v>17</v>
      </c>
      <c r="H42" s="81">
        <v>1</v>
      </c>
      <c r="I42" s="71">
        <f>VLOOKUP(B42,'HECVAT - Full'!A:E,3,FALSE)</f>
        <v>0</v>
      </c>
      <c r="J42" s="71">
        <f>IF(Table1[[#This Row],[Column7]]=Table1[[#This Row],[Column9]],1,0)</f>
        <v>0</v>
      </c>
      <c r="K42" s="71">
        <f>IF(Table1[[#This Row],[Column8]]=1,25,"")</f>
        <v>25</v>
      </c>
      <c r="L42" s="71">
        <f>IF(Table1[[#This Row],[Column8]]=1,J42*K42,"")</f>
        <v>0</v>
      </c>
      <c r="M42" s="72" t="str">
        <f>VLOOKUP($B42,'Standards Crosswalk'!$A:$H,3,FALSE)</f>
        <v>CSC 2</v>
      </c>
      <c r="N42" s="72">
        <f>VLOOKUP($B42,'Standards Crosswalk'!$A:$H,4,FALSE)</f>
        <v>0</v>
      </c>
      <c r="O42" s="72">
        <f>VLOOKUP($B42,'Standards Crosswalk'!$A:$H,5,FALSE)</f>
        <v>0</v>
      </c>
      <c r="P42" s="72">
        <f>VLOOKUP($B42,'Standards Crosswalk'!$A:$H,6,FALSE)</f>
        <v>0</v>
      </c>
      <c r="Q42" s="72">
        <f>VLOOKUP($B42,'Standards Crosswalk'!$A:$H,7,FALSE)</f>
        <v>0</v>
      </c>
      <c r="R42" s="72">
        <f>VLOOKUP($B42,'Standards Crosswalk'!$A:$H,8,FALSE)</f>
        <v>0</v>
      </c>
      <c r="S42" s="72">
        <f>VLOOKUP($B42,'Standards Crosswalk'!$A:$I,9,FALSE)</f>
        <v>0</v>
      </c>
    </row>
    <row r="43" spans="1:19" ht="72" thickBot="1" x14ac:dyDescent="0.25">
      <c r="A43" s="71">
        <f t="shared" si="1"/>
        <v>41</v>
      </c>
      <c r="B43" s="77" t="s">
        <v>540</v>
      </c>
      <c r="C43" s="78" t="str">
        <f>VLOOKUP(B43,'HECVAT - Full'!A:E,2,FALSE)</f>
        <v>Describe or provide a reference to the facilities available in the system to provide separation of duties between security administration and system administration functions.</v>
      </c>
      <c r="D43" s="71">
        <f>VLOOKUP(B43,'HECVAT - Full'!A:E,4,FALSE)</f>
        <v>0</v>
      </c>
      <c r="E43" s="79" t="b">
        <f>IF(Table1[[#This Row],[Column11]]&gt;20,TRUE,FALSE)</f>
        <v>1</v>
      </c>
      <c r="F43" s="86" t="s">
        <v>2029</v>
      </c>
      <c r="G43" s="80" t="s">
        <v>17</v>
      </c>
      <c r="H43" s="81">
        <v>1</v>
      </c>
      <c r="I43" s="71">
        <f>VLOOKUP(B43,'HECVAT - Full'!A:E,3,FALSE)</f>
        <v>0</v>
      </c>
      <c r="J43" s="71">
        <f>IF(VLOOKUP(Table1[[#This Row],[Column2]],'Analyst Report'!$A$41:$G$88,7,FALSE)="Yes",1,0)</f>
        <v>0</v>
      </c>
      <c r="K43" s="71">
        <f>IF(Table1[[#This Row],[Column8]]=1,25,"")</f>
        <v>25</v>
      </c>
      <c r="L43" s="71">
        <f>IF(Table1[[#This Row],[Column8]]=1,J43*K43,"")</f>
        <v>0</v>
      </c>
      <c r="M43" s="72" t="str">
        <f>VLOOKUP($B43,'Standards Crosswalk'!$A:$H,3,FALSE)</f>
        <v>CSC 14</v>
      </c>
      <c r="N43" s="72">
        <f>VLOOKUP($B43,'Standards Crosswalk'!$A:$H,4,FALSE)</f>
        <v>0</v>
      </c>
      <c r="O43" s="72" t="str">
        <f>VLOOKUP($B43,'Standards Crosswalk'!$A:$H,5,FALSE)</f>
        <v>9.2.3, 12.1.4</v>
      </c>
      <c r="P43" s="72" t="str">
        <f>VLOOKUP($B43,'Standards Crosswalk'!$A:$H,6,FALSE)</f>
        <v>PR.AC-4, PR.PT-3</v>
      </c>
      <c r="Q43" s="72" t="str">
        <f>VLOOKUP($B43,'Standards Crosswalk'!$A:$H,7,FALSE)</f>
        <v>3.1.4</v>
      </c>
      <c r="R43" s="72" t="str">
        <f>VLOOKUP($B43,'Standards Crosswalk'!$A:$H,8,FALSE)</f>
        <v>AC-5</v>
      </c>
      <c r="S43" s="72" t="str">
        <f>VLOOKUP($B43,'Standards Crosswalk'!$A:$I,9,FALSE)</f>
        <v>12.x</v>
      </c>
    </row>
    <row r="44" spans="1:19" ht="72" thickBot="1" x14ac:dyDescent="0.25">
      <c r="A44" s="71">
        <f t="shared" si="1"/>
        <v>42</v>
      </c>
      <c r="B44" s="77" t="s">
        <v>208</v>
      </c>
      <c r="C44" s="78" t="str">
        <f>VLOOKUP(B44,'HECVAT - Full'!A:E,2,FALSE)</f>
        <v>Describe or provide a reference that details how administrator access is handled (e.g. provisioning, principle of least privilege, deprovisioning, etc.)</v>
      </c>
      <c r="D44" s="71">
        <f>VLOOKUP(B44,'HECVAT - Full'!A:E,4,FALSE)</f>
        <v>0</v>
      </c>
      <c r="E44" s="79" t="b">
        <f>IF(Table1[[#This Row],[Column11]]&gt;20,TRUE,FALSE)</f>
        <v>1</v>
      </c>
      <c r="F44" s="86" t="s">
        <v>2029</v>
      </c>
      <c r="G44" s="80" t="s">
        <v>17</v>
      </c>
      <c r="H44" s="81">
        <v>1</v>
      </c>
      <c r="I44" s="71">
        <f>VLOOKUP(B44,'HECVAT - Full'!A:E,3,FALSE)</f>
        <v>0</v>
      </c>
      <c r="J44" s="71">
        <f>IF(VLOOKUP(Table1[[#This Row],[Column2]],'Analyst Report'!$A$41:$G$88,7,FALSE)="Yes",1,0)</f>
        <v>0</v>
      </c>
      <c r="K44" s="71">
        <f>IF(Table1[[#This Row],[Column8]]=1,25,"")</f>
        <v>25</v>
      </c>
      <c r="L44" s="71">
        <f>IF(Table1[[#This Row],[Column8]]=1,J44*K44,"")</f>
        <v>0</v>
      </c>
      <c r="M44" s="72" t="str">
        <f>VLOOKUP($B44,'Standards Crosswalk'!$A:$H,3,FALSE)</f>
        <v>CSC 5</v>
      </c>
      <c r="N44" s="72">
        <f>VLOOKUP($B44,'Standards Crosswalk'!$A:$H,4,FALSE)</f>
        <v>0</v>
      </c>
      <c r="O44" s="72">
        <f>VLOOKUP($B44,'Standards Crosswalk'!$A:$H,5,FALSE)</f>
        <v>9.1999999999999993</v>
      </c>
      <c r="P44" s="72" t="str">
        <f>VLOOKUP($B44,'Standards Crosswalk'!$A:$H,6,FALSE)</f>
        <v>PR.AC-4, PR.PT-3</v>
      </c>
      <c r="Q44" s="72" t="str">
        <f>VLOOKUP($B44,'Standards Crosswalk'!$A:$H,7,FALSE)</f>
        <v>3.1.1, 3.1.5, 3.1.6, 3.7.1, 3.7.2</v>
      </c>
      <c r="R44" s="72" t="str">
        <f>VLOOKUP($B44,'Standards Crosswalk'!$A:$H,8,FALSE)</f>
        <v>AC-2, AC-3, AC-6, MA-2, MA-3</v>
      </c>
      <c r="S44" s="72" t="str">
        <f>VLOOKUP($B44,'Standards Crosswalk'!$A:$I,9,FALSE)</f>
        <v>7.x, 8.x</v>
      </c>
    </row>
    <row r="45" spans="1:19" ht="43.5" thickBot="1" x14ac:dyDescent="0.25">
      <c r="A45" s="71">
        <f t="shared" si="1"/>
        <v>43</v>
      </c>
      <c r="B45" s="77" t="s">
        <v>209</v>
      </c>
      <c r="C45" s="78" t="str">
        <f>VLOOKUP(B45,'HECVAT - Full'!A:E,2,FALSE)</f>
        <v>Describe or provide references explaining how tertiary services are redundant (i.e. DNS, ISP, etc.).</v>
      </c>
      <c r="D45" s="71">
        <f>VLOOKUP(B45,'HECVAT - Full'!A:E,4,FALSE)</f>
        <v>0</v>
      </c>
      <c r="E45" s="79" t="b">
        <f>IF(Table1[[#This Row],[Column11]]&gt;20,TRUE,FALSE)</f>
        <v>0</v>
      </c>
      <c r="F45" s="86" t="s">
        <v>2029</v>
      </c>
      <c r="G45" s="80" t="s">
        <v>17</v>
      </c>
      <c r="H45" s="81">
        <v>1</v>
      </c>
      <c r="I45" s="71">
        <f>VLOOKUP(B45,'HECVAT - Full'!A:E,3,FALSE)</f>
        <v>0</v>
      </c>
      <c r="J45" s="71">
        <f>IF(VLOOKUP(Table1[[#This Row],[Column2]],'Analyst Report'!$A$41:$G$88,7,FALSE)="Yes",1,0)</f>
        <v>0</v>
      </c>
      <c r="K45" s="71">
        <f>IF(Table1[[#This Row],[Column8]]=1,15,"")</f>
        <v>15</v>
      </c>
      <c r="L45" s="71">
        <f>IF(Table1[[#This Row],[Column8]]=1,J45*K45,"")</f>
        <v>0</v>
      </c>
      <c r="M45" s="72" t="str">
        <f>VLOOKUP($B45,'Standards Crosswalk'!$A:$H,3,FALSE)</f>
        <v>CSC 14</v>
      </c>
      <c r="N45" s="72">
        <f>VLOOKUP($B45,'Standards Crosswalk'!$A:$H,4,FALSE)</f>
        <v>0</v>
      </c>
      <c r="O45" s="72" t="str">
        <f>VLOOKUP($B45,'Standards Crosswalk'!$A:$H,5,FALSE)</f>
        <v>9.1.1</v>
      </c>
      <c r="P45" s="72" t="str">
        <f>VLOOKUP($B45,'Standards Crosswalk'!$A:$H,6,FALSE)</f>
        <v>PR.AC-4</v>
      </c>
      <c r="Q45" s="72" t="str">
        <f>VLOOKUP($B45,'Standards Crosswalk'!$A:$H,7,FALSE)</f>
        <v>3.1.2</v>
      </c>
      <c r="R45" s="72">
        <f>VLOOKUP($B45,'Standards Crosswalk'!$A:$H,8,FALSE)</f>
        <v>0</v>
      </c>
      <c r="S45" s="72">
        <f>VLOOKUP($B45,'Standards Crosswalk'!$A:$I,9,FALSE)</f>
        <v>0</v>
      </c>
    </row>
    <row r="46" spans="1:19" ht="86.25" thickBot="1" x14ac:dyDescent="0.25">
      <c r="A46" s="71">
        <f t="shared" si="1"/>
        <v>44</v>
      </c>
      <c r="B46" s="77" t="s">
        <v>211</v>
      </c>
      <c r="C46" s="78" t="str">
        <f>VLOOKUP(B46,'HECVAT - Full'!A:E,2,FALSE)</f>
        <v>Can you enforce password/passphrase aging requirements?</v>
      </c>
      <c r="D46" s="71">
        <f>VLOOKUP(B46,'HECVAT - Full'!A:E,4,FALSE)</f>
        <v>0</v>
      </c>
      <c r="E46" s="79" t="b">
        <f>IF(Table1[[#This Row],[Column11]]&gt;20,TRUE,FALSE)</f>
        <v>1</v>
      </c>
      <c r="F46" s="79" t="s">
        <v>2030</v>
      </c>
      <c r="G46" s="80" t="s">
        <v>17</v>
      </c>
      <c r="H46" s="81">
        <v>1</v>
      </c>
      <c r="I46" s="71">
        <f>VLOOKUP(B46,'HECVAT - Full'!A:E,3,FALSE)</f>
        <v>0</v>
      </c>
      <c r="J46" s="71">
        <f>IF(Table1[[#This Row],[Column7]]=Table1[[#This Row],[Column9]],1,0)</f>
        <v>0</v>
      </c>
      <c r="K46" s="71">
        <f>IF(Table1[[#This Row],[Column8]]=1,25,"")</f>
        <v>25</v>
      </c>
      <c r="L46" s="71">
        <f>IF(Table1[[#This Row],[Column8]]=1,J46*K46,"")</f>
        <v>0</v>
      </c>
      <c r="M46" s="72" t="str">
        <f>VLOOKUP($B46,'Standards Crosswalk'!$A:$H,3,FALSE)</f>
        <v>CSC 16</v>
      </c>
      <c r="N46" s="72">
        <f>VLOOKUP($B46,'Standards Crosswalk'!$A:$H,4,FALSE)</f>
        <v>0</v>
      </c>
      <c r="O46" s="72" t="str">
        <f>VLOOKUP($B46,'Standards Crosswalk'!$A:$H,5,FALSE)</f>
        <v>9.2.3, 9.3.1, 9.4.3</v>
      </c>
      <c r="P46" s="72" t="str">
        <f>VLOOKUP($B46,'Standards Crosswalk'!$A:$H,6,FALSE)</f>
        <v>PR.AC-1</v>
      </c>
      <c r="Q46" s="72" t="str">
        <f>VLOOKUP($B46,'Standards Crosswalk'!$A:$H,7,FALSE)</f>
        <v>3.5.6</v>
      </c>
      <c r="R46" s="72" t="str">
        <f>VLOOKUP($B46,'Standards Crosswalk'!$A:$H,8,FALSE)</f>
        <v>IA-4</v>
      </c>
      <c r="S46" s="72" t="str">
        <f>VLOOKUP($B46,'Standards Crosswalk'!$A:$I,9,FALSE)</f>
        <v>8.x</v>
      </c>
    </row>
    <row r="47" spans="1:19" ht="86.25" thickBot="1" x14ac:dyDescent="0.25">
      <c r="A47" s="71">
        <f t="shared" si="1"/>
        <v>45</v>
      </c>
      <c r="B47" s="77" t="s">
        <v>212</v>
      </c>
      <c r="C47" s="78" t="str">
        <f>VLOOKUP(B47,'HECVAT - Full'!A:E,2,FALSE)</f>
        <v>Can you enforce password/passphrase complexity requirements [provided by the institution]?</v>
      </c>
      <c r="D47" s="71">
        <f>VLOOKUP(B47,'HECVAT - Full'!A:E,4,FALSE)</f>
        <v>0</v>
      </c>
      <c r="E47" s="79" t="b">
        <f>IF(Table1[[#This Row],[Column11]]&gt;20,TRUE,FALSE)</f>
        <v>1</v>
      </c>
      <c r="F47" s="79" t="s">
        <v>2030</v>
      </c>
      <c r="G47" s="80" t="s">
        <v>17</v>
      </c>
      <c r="H47" s="81">
        <v>1</v>
      </c>
      <c r="I47" s="71">
        <f>VLOOKUP(B47,'HECVAT - Full'!A:E,3,FALSE)</f>
        <v>0</v>
      </c>
      <c r="J47" s="71">
        <f>IF(Table1[[#This Row],[Column7]]=Table1[[#This Row],[Column9]],1,0)</f>
        <v>0</v>
      </c>
      <c r="K47" s="71">
        <f>IF(Table1[[#This Row],[Column8]]=1,25,"")</f>
        <v>25</v>
      </c>
      <c r="L47" s="71">
        <f>IF(Table1[[#This Row],[Column8]]=1,J47*K47,"")</f>
        <v>0</v>
      </c>
      <c r="M47" s="72" t="str">
        <f>VLOOKUP($B47,'Standards Crosswalk'!$A:$H,3,FALSE)</f>
        <v>CSC 16</v>
      </c>
      <c r="N47" s="72">
        <f>VLOOKUP($B47,'Standards Crosswalk'!$A:$H,4,FALSE)</f>
        <v>0</v>
      </c>
      <c r="O47" s="72" t="str">
        <f>VLOOKUP($B47,'Standards Crosswalk'!$A:$H,5,FALSE)</f>
        <v>9.2.3, 9.3.1, 9.4.3</v>
      </c>
      <c r="P47" s="72" t="str">
        <f>VLOOKUP($B47,'Standards Crosswalk'!$A:$H,6,FALSE)</f>
        <v>PR.AC-1</v>
      </c>
      <c r="Q47" s="72" t="str">
        <f>VLOOKUP($B47,'Standards Crosswalk'!$A:$H,7,FALSE)</f>
        <v>3.5.7</v>
      </c>
      <c r="R47" s="72" t="str">
        <f>VLOOKUP($B47,'Standards Crosswalk'!$A:$H,8,FALSE)</f>
        <v>IA-5(1)</v>
      </c>
      <c r="S47" s="72" t="str">
        <f>VLOOKUP($B47,'Standards Crosswalk'!$A:$I,9,FALSE)</f>
        <v>8.x</v>
      </c>
    </row>
    <row r="48" spans="1:19" ht="86.25" thickBot="1" x14ac:dyDescent="0.25">
      <c r="A48" s="71">
        <f t="shared" si="1"/>
        <v>46</v>
      </c>
      <c r="B48" s="77" t="s">
        <v>213</v>
      </c>
      <c r="C48" s="78" t="str">
        <f>VLOOKUP(B48,'HECVAT - Full'!A:E,2,FALSE)</f>
        <v>Does the system have password complexity or length limitations and/or restrictions?</v>
      </c>
      <c r="D48" s="71">
        <f>VLOOKUP(B48,'HECVAT - Full'!A:E,4,FALSE)</f>
        <v>0</v>
      </c>
      <c r="E48" s="79" t="b">
        <f>IF(Table1[[#This Row],[Column11]]&gt;20,TRUE,FALSE)</f>
        <v>1</v>
      </c>
      <c r="F48" s="79" t="s">
        <v>2030</v>
      </c>
      <c r="G48" s="80" t="s">
        <v>17</v>
      </c>
      <c r="H48" s="81">
        <v>1</v>
      </c>
      <c r="I48" s="71">
        <f>VLOOKUP(B48,'HECVAT - Full'!A:E,3,FALSE)</f>
        <v>0</v>
      </c>
      <c r="J48" s="71">
        <f>IF(Table1[[#This Row],[Column7]]=Table1[[#This Row],[Column9]],1,0)</f>
        <v>0</v>
      </c>
      <c r="K48" s="71">
        <f>IF(Table1[[#This Row],[Column8]]=1,25,"")</f>
        <v>25</v>
      </c>
      <c r="L48" s="71">
        <f>IF(Table1[[#This Row],[Column8]]=1,J48*K48,"")</f>
        <v>0</v>
      </c>
      <c r="M48" s="72" t="str">
        <f>VLOOKUP($B48,'Standards Crosswalk'!$A:$H,3,FALSE)</f>
        <v>CSC 16</v>
      </c>
      <c r="N48" s="72">
        <f>VLOOKUP($B48,'Standards Crosswalk'!$A:$H,4,FALSE)</f>
        <v>0</v>
      </c>
      <c r="O48" s="72" t="str">
        <f>VLOOKUP($B48,'Standards Crosswalk'!$A:$H,5,FALSE)</f>
        <v>9.2.3, 9.3.1, 9.4.3</v>
      </c>
      <c r="P48" s="72" t="str">
        <f>VLOOKUP($B48,'Standards Crosswalk'!$A:$H,6,FALSE)</f>
        <v>PR.AC-1</v>
      </c>
      <c r="Q48" s="72">
        <f>VLOOKUP($B48,'Standards Crosswalk'!$A:$H,7,FALSE)</f>
        <v>0</v>
      </c>
      <c r="R48" s="72">
        <f>VLOOKUP($B48,'Standards Crosswalk'!$A:$H,8,FALSE)</f>
        <v>0</v>
      </c>
      <c r="S48" s="72" t="str">
        <f>VLOOKUP($B48,'Standards Crosswalk'!$A:$I,9,FALSE)</f>
        <v>8.x</v>
      </c>
    </row>
    <row r="49" spans="1:19" ht="86.25" thickBot="1" x14ac:dyDescent="0.25">
      <c r="A49" s="71">
        <f t="shared" si="1"/>
        <v>47</v>
      </c>
      <c r="B49" s="77" t="s">
        <v>214</v>
      </c>
      <c r="C49" s="78" t="str">
        <f>VLOOKUP(B49,'HECVAT - Full'!A:E,2,FALSE)</f>
        <v>Do you have documented password/passphrase reset procedures that are currently implemented in the system and/or customer support?</v>
      </c>
      <c r="D49" s="71">
        <f>VLOOKUP(B49,'HECVAT - Full'!A:E,4,FALSE)</f>
        <v>0</v>
      </c>
      <c r="E49" s="79" t="b">
        <f>IF(Table1[[#This Row],[Column11]]&gt;20,TRUE,FALSE)</f>
        <v>0</v>
      </c>
      <c r="F49" s="79" t="s">
        <v>2030</v>
      </c>
      <c r="G49" s="80" t="s">
        <v>17</v>
      </c>
      <c r="H49" s="81">
        <v>1</v>
      </c>
      <c r="I49" s="71">
        <f>VLOOKUP(B49,'HECVAT - Full'!A:E,3,FALSE)</f>
        <v>0</v>
      </c>
      <c r="J49" s="71">
        <f>IF(Table1[[#This Row],[Column7]]=Table1[[#This Row],[Column9]],1,0)</f>
        <v>0</v>
      </c>
      <c r="K49" s="71">
        <f>IF(Table1[[#This Row],[Column8]]=1,20,"")</f>
        <v>20</v>
      </c>
      <c r="L49" s="71">
        <f>IF(Table1[[#This Row],[Column8]]=1,J49*K49,"")</f>
        <v>0</v>
      </c>
      <c r="M49" s="72" t="str">
        <f>VLOOKUP($B49,'Standards Crosswalk'!$A:$H,3,FALSE)</f>
        <v>CSC 16</v>
      </c>
      <c r="N49" s="72">
        <f>VLOOKUP($B49,'Standards Crosswalk'!$A:$H,4,FALSE)</f>
        <v>0</v>
      </c>
      <c r="O49" s="72" t="str">
        <f>VLOOKUP($B49,'Standards Crosswalk'!$A:$H,5,FALSE)</f>
        <v>9.2.3, 9.3.1, 9.4.3</v>
      </c>
      <c r="P49" s="72" t="str">
        <f>VLOOKUP($B49,'Standards Crosswalk'!$A:$H,6,FALSE)</f>
        <v>PR.AC-1</v>
      </c>
      <c r="Q49" s="72" t="str">
        <f>VLOOKUP($B49,'Standards Crosswalk'!$A:$H,7,FALSE)</f>
        <v>3.5.5, 3.5.8</v>
      </c>
      <c r="R49" s="72" t="str">
        <f>VLOOKUP($B49,'Standards Crosswalk'!$A:$H,8,FALSE)</f>
        <v>IA-4</v>
      </c>
      <c r="S49" s="72" t="str">
        <f>VLOOKUP($B49,'Standards Crosswalk'!$A:$I,9,FALSE)</f>
        <v>2.1, 8.x</v>
      </c>
    </row>
    <row r="50" spans="1:19" ht="86.25" thickBot="1" x14ac:dyDescent="0.25">
      <c r="A50" s="71">
        <f t="shared" si="1"/>
        <v>48</v>
      </c>
      <c r="B50" s="77" t="s">
        <v>215</v>
      </c>
      <c r="C50" s="78" t="str">
        <f>VLOOKUP(B50,'HECVAT - Full'!A:E,2,FALSE)</f>
        <v>Does your web-based interface support authentication, including standards-based single-sign-on? (e.g. InCommon)</v>
      </c>
      <c r="D50" s="71">
        <f>VLOOKUP(B50,'HECVAT - Full'!A:E,4,FALSE)</f>
        <v>0</v>
      </c>
      <c r="E50" s="79" t="b">
        <f>IF(Table1[[#This Row],[Column11]]&gt;20,TRUE,FALSE)</f>
        <v>1</v>
      </c>
      <c r="F50" s="79" t="s">
        <v>2030</v>
      </c>
      <c r="G50" s="80" t="s">
        <v>17</v>
      </c>
      <c r="H50" s="81">
        <v>1</v>
      </c>
      <c r="I50" s="71">
        <f>VLOOKUP(B50,'HECVAT - Full'!A:E,3,FALSE)</f>
        <v>0</v>
      </c>
      <c r="J50" s="71">
        <f>IF(Table1[[#This Row],[Column7]]=Table1[[#This Row],[Column9]],1,0)</f>
        <v>0</v>
      </c>
      <c r="K50" s="71">
        <f>IF(Table1[[#This Row],[Column8]]=1,40,"")</f>
        <v>40</v>
      </c>
      <c r="L50" s="71">
        <f>IF(Table1[[#This Row],[Column8]]=1,J50*K50,"")</f>
        <v>0</v>
      </c>
      <c r="M50" s="72" t="str">
        <f>VLOOKUP($B50,'Standards Crosswalk'!$A:$H,3,FALSE)</f>
        <v>CSC 16</v>
      </c>
      <c r="N50" s="72">
        <f>VLOOKUP($B50,'Standards Crosswalk'!$A:$H,4,FALSE)</f>
        <v>0</v>
      </c>
      <c r="O50" s="72" t="str">
        <f>VLOOKUP($B50,'Standards Crosswalk'!$A:$H,5,FALSE)</f>
        <v>9.1.1, 9.2.3, 9.3.1, 9.4.3</v>
      </c>
      <c r="P50" s="72" t="str">
        <f>VLOOKUP($B50,'Standards Crosswalk'!$A:$H,6,FALSE)</f>
        <v>PR.AC-1</v>
      </c>
      <c r="Q50" s="72" t="str">
        <f>VLOOKUP($B50,'Standards Crosswalk'!$A:$H,7,FALSE)</f>
        <v>3.5.1</v>
      </c>
      <c r="R50" s="72" t="str">
        <f>VLOOKUP($B50,'Standards Crosswalk'!$A:$H,8,FALSE)</f>
        <v>IA-2, IA-5</v>
      </c>
      <c r="S50" s="72" t="str">
        <f>VLOOKUP($B50,'Standards Crosswalk'!$A:$I,9,FALSE)</f>
        <v>8.x</v>
      </c>
    </row>
    <row r="51" spans="1:19" ht="86.25" thickBot="1" x14ac:dyDescent="0.25">
      <c r="A51" s="71">
        <f t="shared" si="1"/>
        <v>49</v>
      </c>
      <c r="B51" s="77" t="s">
        <v>216</v>
      </c>
      <c r="C51" s="78" t="str">
        <f>VLOOKUP(B51,'HECVAT - Full'!A:E,2,FALSE)</f>
        <v>Are there any passwords/passphrases hard coded into your systems or products?</v>
      </c>
      <c r="D51" s="71">
        <f>VLOOKUP(B51,'HECVAT - Full'!A:E,4,FALSE)</f>
        <v>0</v>
      </c>
      <c r="E51" s="79" t="b">
        <f>IF(Table1[[#This Row],[Column11]]&gt;20,TRUE,FALSE)</f>
        <v>1</v>
      </c>
      <c r="F51" s="79" t="s">
        <v>2030</v>
      </c>
      <c r="G51" s="80" t="s">
        <v>20</v>
      </c>
      <c r="H51" s="81">
        <v>1</v>
      </c>
      <c r="I51" s="71">
        <f>VLOOKUP(B51,'HECVAT - Full'!A:E,3,FALSE)</f>
        <v>0</v>
      </c>
      <c r="J51" s="71">
        <f>IF(Table1[[#This Row],[Column7]]=Table1[[#This Row],[Column9]],1,0)</f>
        <v>0</v>
      </c>
      <c r="K51" s="71">
        <f>IF(Table1[[#This Row],[Column8]]=1,40,"")</f>
        <v>40</v>
      </c>
      <c r="L51" s="71">
        <f>IF(Table1[[#This Row],[Column8]]=1,J51*K51,"")</f>
        <v>0</v>
      </c>
      <c r="M51" s="72" t="str">
        <f>VLOOKUP($B51,'Standards Crosswalk'!$A:$H,3,FALSE)</f>
        <v>CSC 16</v>
      </c>
      <c r="N51" s="72">
        <f>VLOOKUP($B51,'Standards Crosswalk'!$A:$H,4,FALSE)</f>
        <v>0</v>
      </c>
      <c r="O51" s="72" t="str">
        <f>VLOOKUP($B51,'Standards Crosswalk'!$A:$H,5,FALSE)</f>
        <v>9</v>
      </c>
      <c r="P51" s="72">
        <f>VLOOKUP($B51,'Standards Crosswalk'!$A:$H,6,FALSE)</f>
        <v>0</v>
      </c>
      <c r="Q51" s="72">
        <f>VLOOKUP($B51,'Standards Crosswalk'!$A:$H,7,FALSE)</f>
        <v>0</v>
      </c>
      <c r="R51" s="72">
        <f>VLOOKUP($B51,'Standards Crosswalk'!$A:$H,8,FALSE)</f>
        <v>0</v>
      </c>
      <c r="S51" s="72" t="str">
        <f>VLOOKUP($B51,'Standards Crosswalk'!$A:$I,9,FALSE)</f>
        <v>2.1, 8.x</v>
      </c>
    </row>
    <row r="52" spans="1:19" ht="86.25" thickBot="1" x14ac:dyDescent="0.25">
      <c r="A52" s="71">
        <f t="shared" si="1"/>
        <v>50</v>
      </c>
      <c r="B52" s="77" t="s">
        <v>217</v>
      </c>
      <c r="C52" s="78" t="str">
        <f>VLOOKUP(B52,'HECVAT - Full'!A:E,2,FALSE)</f>
        <v>Are user account passwords/passphrases visible in administration modules?</v>
      </c>
      <c r="D52" s="71">
        <f>VLOOKUP(B52,'HECVAT - Full'!A:E,4,FALSE)</f>
        <v>0</v>
      </c>
      <c r="E52" s="79" t="b">
        <f>IF(Table1[[#This Row],[Column11]]&gt;20,TRUE,FALSE)</f>
        <v>1</v>
      </c>
      <c r="F52" s="79" t="s">
        <v>2030</v>
      </c>
      <c r="G52" s="80" t="s">
        <v>20</v>
      </c>
      <c r="H52" s="81">
        <v>1</v>
      </c>
      <c r="I52" s="71">
        <f>VLOOKUP(B52,'HECVAT - Full'!A:E,3,FALSE)</f>
        <v>0</v>
      </c>
      <c r="J52" s="71">
        <f>IF(Table1[[#This Row],[Column7]]=Table1[[#This Row],[Column9]],1,0)</f>
        <v>0</v>
      </c>
      <c r="K52" s="71">
        <f>IF(Table1[[#This Row],[Column8]]=1,25,"")</f>
        <v>25</v>
      </c>
      <c r="L52" s="71">
        <f>IF(Table1[[#This Row],[Column8]]=1,J52*K52,"")</f>
        <v>0</v>
      </c>
      <c r="M52" s="72" t="str">
        <f>VLOOKUP($B52,'Standards Crosswalk'!$A:$H,3,FALSE)</f>
        <v>CSC 16</v>
      </c>
      <c r="N52" s="72">
        <f>VLOOKUP($B52,'Standards Crosswalk'!$A:$H,4,FALSE)</f>
        <v>0</v>
      </c>
      <c r="O52" s="72" t="str">
        <f>VLOOKUP($B52,'Standards Crosswalk'!$A:$H,5,FALSE)</f>
        <v>9</v>
      </c>
      <c r="P52" s="72" t="str">
        <f>VLOOKUP($B52,'Standards Crosswalk'!$A:$H,6,FALSE)</f>
        <v>PR.AC-1</v>
      </c>
      <c r="Q52" s="72">
        <f>VLOOKUP($B52,'Standards Crosswalk'!$A:$H,7,FALSE)</f>
        <v>0</v>
      </c>
      <c r="R52" s="72">
        <f>VLOOKUP($B52,'Standards Crosswalk'!$A:$H,8,FALSE)</f>
        <v>0</v>
      </c>
      <c r="S52" s="72" t="str">
        <f>VLOOKUP($B52,'Standards Crosswalk'!$A:$I,9,FALSE)</f>
        <v>8.x</v>
      </c>
    </row>
    <row r="53" spans="1:19" ht="86.25" thickBot="1" x14ac:dyDescent="0.25">
      <c r="A53" s="71">
        <f t="shared" si="1"/>
        <v>51</v>
      </c>
      <c r="B53" s="77" t="s">
        <v>218</v>
      </c>
      <c r="C53" s="78" t="str">
        <f>VLOOKUP(B53,'HECVAT - Full'!A:E,2,FALSE)</f>
        <v>Are user account passwords/passphrases stored encrypted?</v>
      </c>
      <c r="D53" s="71">
        <f>VLOOKUP(B53,'HECVAT - Full'!A:E,4,FALSE)</f>
        <v>0</v>
      </c>
      <c r="E53" s="79" t="b">
        <f>IF(Table1[[#This Row],[Column11]]&gt;20,TRUE,FALSE)</f>
        <v>1</v>
      </c>
      <c r="F53" s="79" t="s">
        <v>2030</v>
      </c>
      <c r="G53" s="80" t="s">
        <v>17</v>
      </c>
      <c r="H53" s="81">
        <v>1</v>
      </c>
      <c r="I53" s="71">
        <f>VLOOKUP(B53,'HECVAT - Full'!A:E,3,FALSE)</f>
        <v>0</v>
      </c>
      <c r="J53" s="71">
        <f>IF(Table1[[#This Row],[Column7]]=Table1[[#This Row],[Column9]],1,0)</f>
        <v>0</v>
      </c>
      <c r="K53" s="71">
        <f>IF(Table1[[#This Row],[Column8]]=1,40,"")</f>
        <v>40</v>
      </c>
      <c r="L53" s="71">
        <f>IF(Table1[[#This Row],[Column8]]=1,J53*K53,"")</f>
        <v>0</v>
      </c>
      <c r="M53" s="72" t="str">
        <f>VLOOKUP($B53,'Standards Crosswalk'!$A:$H,3,FALSE)</f>
        <v>CSC 16</v>
      </c>
      <c r="N53" s="72">
        <f>VLOOKUP($B53,'Standards Crosswalk'!$A:$H,4,FALSE)</f>
        <v>0</v>
      </c>
      <c r="O53" s="72" t="str">
        <f>VLOOKUP($B53,'Standards Crosswalk'!$A:$H,5,FALSE)</f>
        <v>9</v>
      </c>
      <c r="P53" s="72" t="str">
        <f>VLOOKUP($B53,'Standards Crosswalk'!$A:$H,6,FALSE)</f>
        <v>PR.AC-1</v>
      </c>
      <c r="Q53" s="72" t="str">
        <f>VLOOKUP($B53,'Standards Crosswalk'!$A:$H,7,FALSE)</f>
        <v>3.5.10</v>
      </c>
      <c r="R53" s="72" t="str">
        <f>VLOOKUP($B53,'Standards Crosswalk'!$A:$H,8,FALSE)</f>
        <v>IA-5(1)</v>
      </c>
      <c r="S53" s="72" t="str">
        <f>VLOOKUP($B53,'Standards Crosswalk'!$A:$I,9,FALSE)</f>
        <v>8.x</v>
      </c>
    </row>
    <row r="54" spans="1:19" ht="86.25" thickBot="1" x14ac:dyDescent="0.25">
      <c r="A54" s="71">
        <f t="shared" si="1"/>
        <v>52</v>
      </c>
      <c r="B54" s="77" t="s">
        <v>219</v>
      </c>
      <c r="C54" s="78" t="str">
        <f>VLOOKUP(B54,'HECVAT - Full'!A:E,2,FALSE)</f>
        <v>Does your application and/or user-frontend/portal support multi-factor authentication? (e.g. Duo, Google Authenticator, OTP, etc.)</v>
      </c>
      <c r="D54" s="71">
        <f>VLOOKUP(B54,'HECVAT - Full'!A:E,4,FALSE)</f>
        <v>0</v>
      </c>
      <c r="E54" s="79" t="b">
        <f>IF(Table1[[#This Row],[Column11]]&gt;20,TRUE,FALSE)</f>
        <v>0</v>
      </c>
      <c r="F54" s="79" t="s">
        <v>2030</v>
      </c>
      <c r="G54" s="80" t="s">
        <v>17</v>
      </c>
      <c r="H54" s="81">
        <v>1</v>
      </c>
      <c r="I54" s="71">
        <f>VLOOKUP(B54,'HECVAT - Full'!A:E,3,FALSE)</f>
        <v>0</v>
      </c>
      <c r="J54" s="71">
        <f>IF(Table1[[#This Row],[Column7]]=Table1[[#This Row],[Column9]],1,0)</f>
        <v>0</v>
      </c>
      <c r="K54" s="71">
        <f>IF(Table1[[#This Row],[Column8]]=1,20,"")</f>
        <v>20</v>
      </c>
      <c r="L54" s="71">
        <f>IF(Table1[[#This Row],[Column8]]=1,J54*K54,"")</f>
        <v>0</v>
      </c>
      <c r="M54" s="72" t="str">
        <f>VLOOKUP($B54,'Standards Crosswalk'!$A:$H,3,FALSE)</f>
        <v>CSC 16</v>
      </c>
      <c r="N54" s="72">
        <f>VLOOKUP($B54,'Standards Crosswalk'!$A:$H,4,FALSE)</f>
        <v>0</v>
      </c>
      <c r="O54" s="72" t="str">
        <f>VLOOKUP($B54,'Standards Crosswalk'!$A:$H,5,FALSE)</f>
        <v>9</v>
      </c>
      <c r="P54" s="72" t="str">
        <f>VLOOKUP($B54,'Standards Crosswalk'!$A:$H,6,FALSE)</f>
        <v>PR.AC-4</v>
      </c>
      <c r="Q54" s="72" t="str">
        <f>VLOOKUP($B54,'Standards Crosswalk'!$A:$H,7,FALSE)</f>
        <v>3.5.2, 3.5.3</v>
      </c>
      <c r="R54" s="72" t="str">
        <f>VLOOKUP($B54,'Standards Crosswalk'!$A:$H,8,FALSE)</f>
        <v>IA-5</v>
      </c>
      <c r="S54" s="72" t="str">
        <f>VLOOKUP($B54,'Standards Crosswalk'!$A:$I,9,FALSE)</f>
        <v>8.x</v>
      </c>
    </row>
    <row r="55" spans="1:19" ht="86.25" thickBot="1" x14ac:dyDescent="0.25">
      <c r="A55" s="71">
        <f t="shared" si="1"/>
        <v>53</v>
      </c>
      <c r="B55" s="77" t="s">
        <v>220</v>
      </c>
      <c r="C55" s="78" t="str">
        <f>VLOOKUP(B55,'HECVAT - Full'!A:E,2,FALSE)</f>
        <v>Does your application support integration with other authentication and authorization systems?  List which ones (such as Active Directory, Kerberos and what version) in Additional Info?</v>
      </c>
      <c r="D55" s="71">
        <f>VLOOKUP(B55,'HECVAT - Full'!A:E,4,FALSE)</f>
        <v>0</v>
      </c>
      <c r="E55" s="79" t="b">
        <f>IF(Table1[[#This Row],[Column11]]&gt;20,TRUE,FALSE)</f>
        <v>0</v>
      </c>
      <c r="F55" s="79" t="s">
        <v>2030</v>
      </c>
      <c r="G55" s="80" t="s">
        <v>17</v>
      </c>
      <c r="H55" s="81">
        <v>1</v>
      </c>
      <c r="I55" s="71">
        <f>VLOOKUP(B55,'HECVAT - Full'!A:E,3,FALSE)</f>
        <v>0</v>
      </c>
      <c r="J55" s="71">
        <f>IF(Table1[[#This Row],[Column7]]=Table1[[#This Row],[Column9]],1,0)</f>
        <v>0</v>
      </c>
      <c r="K55" s="71">
        <f>IF(Table1[[#This Row],[Column8]]=1,15,"")</f>
        <v>15</v>
      </c>
      <c r="L55" s="71">
        <f>IF(Table1[[#This Row],[Column8]]=1,J55*K55,"")</f>
        <v>0</v>
      </c>
      <c r="M55" s="72" t="str">
        <f>VLOOKUP($B55,'Standards Crosswalk'!$A:$H,3,FALSE)</f>
        <v>CSC 16</v>
      </c>
      <c r="N55" s="72">
        <f>VLOOKUP($B55,'Standards Crosswalk'!$A:$H,4,FALSE)</f>
        <v>0</v>
      </c>
      <c r="O55" s="72" t="str">
        <f>VLOOKUP($B55,'Standards Crosswalk'!$A:$H,5,FALSE)</f>
        <v>9.4.3</v>
      </c>
      <c r="P55" s="72" t="str">
        <f>VLOOKUP($B55,'Standards Crosswalk'!$A:$H,6,FALSE)</f>
        <v>PR.AC-1, PR.AC-4</v>
      </c>
      <c r="Q55" s="72">
        <f>VLOOKUP($B55,'Standards Crosswalk'!$A:$H,7,FALSE)</f>
        <v>0</v>
      </c>
      <c r="R55" s="72">
        <f>VLOOKUP($B55,'Standards Crosswalk'!$A:$H,8,FALSE)</f>
        <v>0</v>
      </c>
      <c r="S55" s="72">
        <f>VLOOKUP($B55,'Standards Crosswalk'!$A:$I,9,FALSE)</f>
        <v>0</v>
      </c>
    </row>
    <row r="56" spans="1:19" ht="86.25" thickBot="1" x14ac:dyDescent="0.25">
      <c r="A56" s="71">
        <f t="shared" si="1"/>
        <v>54</v>
      </c>
      <c r="B56" s="77" t="s">
        <v>221</v>
      </c>
      <c r="C56" s="78" t="str">
        <f>VLOOKUP(B56,'HECVAT - Full'!A:E,2,FALSE)</f>
        <v>Will any external authentication or authorization system be utilized by an application with access to the institution's data?</v>
      </c>
      <c r="D56" s="71">
        <f>VLOOKUP(B56,'HECVAT - Full'!A:E,4,FALSE)</f>
        <v>0</v>
      </c>
      <c r="E56" s="79" t="b">
        <f>IF(Table1[[#This Row],[Column11]]&gt;20,TRUE,FALSE)</f>
        <v>1</v>
      </c>
      <c r="F56" s="79" t="s">
        <v>2030</v>
      </c>
      <c r="G56" s="80" t="s">
        <v>20</v>
      </c>
      <c r="H56" s="81">
        <f>IF(I55="Yes",1,0)</f>
        <v>0</v>
      </c>
      <c r="I56" s="71">
        <f>VLOOKUP(B56,'HECVAT - Full'!A:E,3,FALSE)</f>
        <v>0</v>
      </c>
      <c r="J56" s="71">
        <f>IF(Table1[[#This Row],[Column7]]=Table1[[#This Row],[Column9]],1,0)</f>
        <v>0</v>
      </c>
      <c r="K56" s="71" t="str">
        <f>IF(Table1[[#This Row],[Column8]]=1,20,"")</f>
        <v/>
      </c>
      <c r="L56" s="71" t="str">
        <f>IF(Table1[[#This Row],[Column8]]=1,J56*K56,"")</f>
        <v/>
      </c>
      <c r="M56" s="72" t="str">
        <f>VLOOKUP($B56,'Standards Crosswalk'!$A:$H,3,FALSE)</f>
        <v>CSC 16</v>
      </c>
      <c r="N56" s="72">
        <f>VLOOKUP($B56,'Standards Crosswalk'!$A:$H,4,FALSE)</f>
        <v>0</v>
      </c>
      <c r="O56" s="72" t="str">
        <f>VLOOKUP($B56,'Standards Crosswalk'!$A:$H,5,FALSE)</f>
        <v>9</v>
      </c>
      <c r="P56" s="72" t="str">
        <f>VLOOKUP($B56,'Standards Crosswalk'!$A:$H,6,FALSE)</f>
        <v>PR.AC-1, PR.AC-4</v>
      </c>
      <c r="Q56" s="72">
        <f>VLOOKUP($B56,'Standards Crosswalk'!$A:$H,7,FALSE)</f>
        <v>0</v>
      </c>
      <c r="R56" s="72">
        <f>VLOOKUP($B56,'Standards Crosswalk'!$A:$H,8,FALSE)</f>
        <v>0</v>
      </c>
      <c r="S56" s="72" t="str">
        <f>VLOOKUP($B56,'Standards Crosswalk'!$A:$I,9,FALSE)</f>
        <v>8.x</v>
      </c>
    </row>
    <row r="57" spans="1:19" ht="86.25" thickBot="1" x14ac:dyDescent="0.25">
      <c r="A57" s="71">
        <f t="shared" si="1"/>
        <v>55</v>
      </c>
      <c r="B57" s="77" t="s">
        <v>222</v>
      </c>
      <c r="C57" s="78" t="str">
        <f>VLOOKUP(B57,'HECVAT - Full'!A:E,2,FALSE)</f>
        <v>Does the system (servers/infrastructure) support external authentication services (e.g. Active Directory, LDAP) in place of local authentication?</v>
      </c>
      <c r="D57" s="71">
        <f>VLOOKUP(B57,'HECVAT - Full'!A:E,4,FALSE)</f>
        <v>0</v>
      </c>
      <c r="E57" s="79" t="b">
        <f>IF(Table1[[#This Row],[Column11]]&gt;20,TRUE,FALSE)</f>
        <v>0</v>
      </c>
      <c r="F57" s="79" t="s">
        <v>2030</v>
      </c>
      <c r="G57" s="80" t="s">
        <v>17</v>
      </c>
      <c r="H57" s="81">
        <v>1</v>
      </c>
      <c r="I57" s="71">
        <f>VLOOKUP(B57,'HECVAT - Full'!A:E,3,FALSE)</f>
        <v>0</v>
      </c>
      <c r="J57" s="71">
        <f>IF(Table1[[#This Row],[Column7]]=Table1[[#This Row],[Column9]],1,0)</f>
        <v>0</v>
      </c>
      <c r="K57" s="71">
        <f>IF(Table1[[#This Row],[Column8]]=1,20,"")</f>
        <v>20</v>
      </c>
      <c r="L57" s="71">
        <f>IF(Table1[[#This Row],[Column8]]=1,J57*K57,"")</f>
        <v>0</v>
      </c>
      <c r="M57" s="72" t="str">
        <f>VLOOKUP($B57,'Standards Crosswalk'!$A:$H,3,FALSE)</f>
        <v>CSC 16</v>
      </c>
      <c r="N57" s="72">
        <f>VLOOKUP($B57,'Standards Crosswalk'!$A:$H,4,FALSE)</f>
        <v>0</v>
      </c>
      <c r="O57" s="72" t="str">
        <f>VLOOKUP($B57,'Standards Crosswalk'!$A:$H,5,FALSE)</f>
        <v>9.4.3</v>
      </c>
      <c r="P57" s="72" t="str">
        <f>VLOOKUP($B57,'Standards Crosswalk'!$A:$H,6,FALSE)</f>
        <v>PR.AC-1, PR.AC-4</v>
      </c>
      <c r="Q57" s="72">
        <f>VLOOKUP($B57,'Standards Crosswalk'!$A:$H,7,FALSE)</f>
        <v>0</v>
      </c>
      <c r="R57" s="72">
        <f>VLOOKUP($B57,'Standards Crosswalk'!$A:$H,8,FALSE)</f>
        <v>0</v>
      </c>
      <c r="S57" s="72">
        <f>VLOOKUP($B57,'Standards Crosswalk'!$A:$I,9,FALSE)</f>
        <v>0</v>
      </c>
    </row>
    <row r="58" spans="1:19" ht="73.5" customHeight="1" thickBot="1" x14ac:dyDescent="0.25">
      <c r="A58" s="71">
        <f t="shared" si="1"/>
        <v>56</v>
      </c>
      <c r="B58" s="77" t="s">
        <v>223</v>
      </c>
      <c r="C58" s="78" t="str">
        <f>VLOOKUP(B58,'HECVAT - Full'!A:E,2,FALSE)</f>
        <v>Does the system operate in a mixed authentication mode (i.e. external and local authentication)?</v>
      </c>
      <c r="D58" s="71">
        <f>VLOOKUP(B58,'HECVAT - Full'!A:E,4,FALSE)</f>
        <v>0</v>
      </c>
      <c r="E58" s="79" t="b">
        <f>IF(Table1[[#This Row],[Column11]]&gt;20,TRUE,FALSE)</f>
        <v>1</v>
      </c>
      <c r="F58" s="79" t="s">
        <v>2030</v>
      </c>
      <c r="G58" s="80" t="s">
        <v>20</v>
      </c>
      <c r="H58" s="81">
        <f>IF(I57="Yes",1,0)</f>
        <v>0</v>
      </c>
      <c r="I58" s="71">
        <f>VLOOKUP(B58,'HECVAT - Full'!A:E,3,FALSE)</f>
        <v>0</v>
      </c>
      <c r="J58" s="71">
        <f>IF(Table1[[#This Row],[Column7]]=Table1[[#This Row],[Column9]],1,0)</f>
        <v>0</v>
      </c>
      <c r="K58" s="71" t="str">
        <f>IF(Table1[[#This Row],[Column8]]=1,20,"")</f>
        <v/>
      </c>
      <c r="L58" s="71" t="str">
        <f>IF(Table1[[#This Row],[Column8]]=1,J58*K58,"")</f>
        <v/>
      </c>
      <c r="M58" s="72" t="str">
        <f>VLOOKUP($B58,'Standards Crosswalk'!$A:$H,3,FALSE)</f>
        <v>CSC 16</v>
      </c>
      <c r="N58" s="72">
        <f>VLOOKUP($B58,'Standards Crosswalk'!$A:$H,4,FALSE)</f>
        <v>0</v>
      </c>
      <c r="O58" s="72">
        <f>VLOOKUP($B58,'Standards Crosswalk'!$A:$H,5,FALSE)</f>
        <v>0</v>
      </c>
      <c r="P58" s="72" t="str">
        <f>VLOOKUP($B58,'Standards Crosswalk'!$A:$H,6,FALSE)</f>
        <v>PR.AC-1, PR.AC-4</v>
      </c>
      <c r="Q58" s="72">
        <f>VLOOKUP($B58,'Standards Crosswalk'!$A:$H,7,FALSE)</f>
        <v>0</v>
      </c>
      <c r="R58" s="72">
        <f>VLOOKUP($B58,'Standards Crosswalk'!$A:$H,8,FALSE)</f>
        <v>0</v>
      </c>
      <c r="S58" s="72">
        <f>VLOOKUP($B58,'Standards Crosswalk'!$A:$I,9,FALSE)</f>
        <v>0</v>
      </c>
    </row>
    <row r="59" spans="1:19" ht="73.5" customHeight="1" thickBot="1" x14ac:dyDescent="0.25">
      <c r="A59" s="71">
        <f t="shared" si="1"/>
        <v>57</v>
      </c>
      <c r="B59" s="77" t="s">
        <v>224</v>
      </c>
      <c r="C59" s="78" t="str">
        <f>VLOOKUP(B59,'HECVAT - Full'!A:E,2,FALSE)</f>
        <v>Will any external authentication or authorization system be utilized by a system with access to institution data?</v>
      </c>
      <c r="D59" s="71">
        <f>VLOOKUP(B59,'HECVAT - Full'!A:E,4,FALSE)</f>
        <v>0</v>
      </c>
      <c r="E59" s="79" t="b">
        <f>IF(Table1[[#This Row],[Column11]]&gt;20,TRUE,FALSE)</f>
        <v>1</v>
      </c>
      <c r="F59" s="79" t="s">
        <v>2030</v>
      </c>
      <c r="G59" s="80" t="s">
        <v>20</v>
      </c>
      <c r="H59" s="81">
        <f>IF(I57="Yes",1,0)</f>
        <v>0</v>
      </c>
      <c r="I59" s="71">
        <f>VLOOKUP(B59,'HECVAT - Full'!A:E,3,FALSE)</f>
        <v>0</v>
      </c>
      <c r="J59" s="71">
        <f>IF(Table1[[#This Row],[Column7]]=Table1[[#This Row],[Column9]],1,0)</f>
        <v>0</v>
      </c>
      <c r="K59" s="71" t="str">
        <f>IF(Table1[[#This Row],[Column8]]=1,20,"")</f>
        <v/>
      </c>
      <c r="L59" s="71" t="str">
        <f>IF(Table1[[#This Row],[Column8]]=1,J59*K59,"")</f>
        <v/>
      </c>
      <c r="M59" s="72" t="str">
        <f>VLOOKUP($B59,'Standards Crosswalk'!$A:$H,3,FALSE)</f>
        <v>CSC 16</v>
      </c>
      <c r="N59" s="72">
        <f>VLOOKUP($B59,'Standards Crosswalk'!$A:$H,4,FALSE)</f>
        <v>0</v>
      </c>
      <c r="O59" s="72">
        <f>VLOOKUP($B59,'Standards Crosswalk'!$A:$H,5,FALSE)</f>
        <v>0</v>
      </c>
      <c r="P59" s="72" t="str">
        <f>VLOOKUP($B59,'Standards Crosswalk'!$A:$H,6,FALSE)</f>
        <v>PR.AC-1, PR.AC-4</v>
      </c>
      <c r="Q59" s="72" t="str">
        <f>VLOOKUP($B59,'Standards Crosswalk'!$A:$H,7,FALSE)</f>
        <v>3.1.1</v>
      </c>
      <c r="R59" s="72">
        <f>VLOOKUP($B59,'Standards Crosswalk'!$A:$H,8,FALSE)</f>
        <v>0</v>
      </c>
      <c r="S59" s="72" t="str">
        <f>VLOOKUP($B59,'Standards Crosswalk'!$A:$I,9,FALSE)</f>
        <v>8.x</v>
      </c>
    </row>
    <row r="60" spans="1:19" ht="73.5" customHeight="1" thickBot="1" x14ac:dyDescent="0.25">
      <c r="A60" s="71">
        <f t="shared" si="1"/>
        <v>58</v>
      </c>
      <c r="B60" s="77" t="s">
        <v>225</v>
      </c>
      <c r="C60" s="78" t="str">
        <f>VLOOKUP(B60,'HECVAT - Full'!A:E,2,FALSE)</f>
        <v>Are audit logs available that include AT LEAST all of the following; login, logout, actions performed, and source IP address?</v>
      </c>
      <c r="D60" s="71">
        <f>VLOOKUP(B60,'HECVAT - Full'!A:E,4,FALSE)</f>
        <v>0</v>
      </c>
      <c r="E60" s="79" t="b">
        <f>IF(Table1[[#This Row],[Column11]]&gt;20,TRUE,FALSE)</f>
        <v>1</v>
      </c>
      <c r="F60" s="79" t="s">
        <v>2030</v>
      </c>
      <c r="G60" s="98" t="s">
        <v>17</v>
      </c>
      <c r="H60" s="81">
        <v>1</v>
      </c>
      <c r="I60" s="71">
        <f>VLOOKUP(B60,'HECVAT - Full'!A:E,3,FALSE)</f>
        <v>0</v>
      </c>
      <c r="J60" s="71">
        <f>IF(Table1[[#This Row],[Column7]]=Table1[[#This Row],[Column9]],1,0)</f>
        <v>0</v>
      </c>
      <c r="K60" s="71">
        <f>IF(Table1[[#This Row],[Column8]]=1,25,"")</f>
        <v>25</v>
      </c>
      <c r="L60" s="71">
        <f>IF(Table1[[#This Row],[Column8]]=1,J60*K60,"")</f>
        <v>0</v>
      </c>
      <c r="M60" s="72" t="str">
        <f>VLOOKUP($B60,'Standards Crosswalk'!$A:$H,3,FALSE)</f>
        <v>CSC 6</v>
      </c>
      <c r="N60" s="72">
        <f>VLOOKUP($B60,'Standards Crosswalk'!$A:$H,4,FALSE)</f>
        <v>0</v>
      </c>
      <c r="O60" s="72" t="str">
        <f>VLOOKUP($B60,'Standards Crosswalk'!$A:$H,5,FALSE)</f>
        <v>12.4</v>
      </c>
      <c r="P60" s="72" t="str">
        <f>VLOOKUP($B60,'Standards Crosswalk'!$A:$H,6,FALSE)</f>
        <v>PR.PT-1</v>
      </c>
      <c r="Q60" s="72" t="str">
        <f>VLOOKUP($B60,'Standards Crosswalk'!$A:$H,7,FALSE)</f>
        <v>3.1.7, 3.3.1</v>
      </c>
      <c r="R60" s="72" t="str">
        <f>VLOOKUP($B60,'Standards Crosswalk'!$A:$H,8,FALSE)</f>
        <v>AC-6(1,3,9), AU-2, AU-2(3), AU-3, AU-7, AU-9(4), AU-12, NIST 800-92</v>
      </c>
      <c r="S60" s="72" t="str">
        <f>VLOOKUP($B60,'Standards Crosswalk'!$A:$I,9,FALSE)</f>
        <v>10.1, 10.2, 10.3, 10.5, 10.6, 10.7</v>
      </c>
    </row>
    <row r="61" spans="1:19" ht="73.5" customHeight="1" thickBot="1" x14ac:dyDescent="0.25">
      <c r="A61" s="71">
        <f t="shared" si="1"/>
        <v>59</v>
      </c>
      <c r="B61" s="77" t="s">
        <v>226</v>
      </c>
      <c r="C61" s="78" t="str">
        <f>VLOOKUP(B61,'HECVAT - Full'!A:E,2,FALSE)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D61" s="71">
        <f>VLOOKUP(B61,'HECVAT - Full'!A:E,4,FALSE)</f>
        <v>0</v>
      </c>
      <c r="E61" s="79" t="b">
        <f>IF(Table1[[#This Row],[Column11]]&gt;20,TRUE,FALSE)</f>
        <v>1</v>
      </c>
      <c r="F61" s="79" t="s">
        <v>2030</v>
      </c>
      <c r="G61" s="80" t="s">
        <v>20</v>
      </c>
      <c r="H61" s="81">
        <v>1</v>
      </c>
      <c r="I61" s="71">
        <f>VLOOKUP(B61,'HECVAT - Full'!A:E,3,FALSE)</f>
        <v>0</v>
      </c>
      <c r="J61" s="71">
        <f>IF(VLOOKUP(Table1[[#This Row],[Column2]],'Analyst Report'!$A$41:$G$88,7,FALSE)="Yes",1,0)</f>
        <v>0</v>
      </c>
      <c r="K61" s="71">
        <f>IF(Table1[[#This Row],[Column8]]=1,25,"")</f>
        <v>25</v>
      </c>
      <c r="L61" s="71">
        <f>IF(Table1[[#This Row],[Column8]]=1,J61*K61,"")</f>
        <v>0</v>
      </c>
      <c r="M61" s="72" t="str">
        <f>VLOOKUP($B61,'Standards Crosswalk'!$A:$H,3,FALSE)</f>
        <v>CSC 6</v>
      </c>
      <c r="N61" s="72">
        <f>VLOOKUP($B61,'Standards Crosswalk'!$A:$H,4,FALSE)</f>
        <v>0</v>
      </c>
      <c r="O61" s="72" t="str">
        <f>VLOOKUP($B61,'Standards Crosswalk'!$A:$H,5,FALSE)</f>
        <v>12.4</v>
      </c>
      <c r="P61" s="72" t="str">
        <f>VLOOKUP($B61,'Standards Crosswalk'!$A:$H,6,FALSE)</f>
        <v>PR.PT-1</v>
      </c>
      <c r="Q61" s="72" t="str">
        <f>VLOOKUP($B61,'Standards Crosswalk'!$A:$H,7,FALSE)</f>
        <v>3.1.7, 3.3.2, 3.3.3, 3.3.4, 3.3.5, 3.4.3, 3.7.1, 3.7.6, 3.10.4, 3.10.5</v>
      </c>
      <c r="R61" s="72" t="str">
        <f>VLOOKUP($B61,'Standards Crosswalk'!$A:$H,8,FALSE)</f>
        <v>AU-2(3), AU-6, AU-12, AC-6(9), CM-3, MA-2, MA-5, PE-3</v>
      </c>
      <c r="S61" s="72" t="str">
        <f>VLOOKUP($B61,'Standards Crosswalk'!$A:$I,9,FALSE)</f>
        <v>10.1, 10.2, 10.3, 10.5, 10.6, 10.7, 9.x</v>
      </c>
    </row>
    <row r="62" spans="1:19" ht="86.25" thickBot="1" x14ac:dyDescent="0.25">
      <c r="A62" s="71">
        <f t="shared" si="1"/>
        <v>60</v>
      </c>
      <c r="B62" s="77" t="s">
        <v>227</v>
      </c>
      <c r="C62" s="78" t="str">
        <f>VLOOKUP(B62,'HECVAT - Full'!A:E,2,FALSE)</f>
        <v>Describe or provide a reference to the retention period for those logs, how logs are protected, and whether they are accessible to the customer (and if so, how).</v>
      </c>
      <c r="D62" s="71">
        <f>VLOOKUP(B62,'HECVAT - Full'!A:E,4,FALSE)</f>
        <v>0</v>
      </c>
      <c r="E62" s="79" t="b">
        <f>IF(Table1[[#This Row],[Column11]]&gt;20,TRUE,FALSE)</f>
        <v>0</v>
      </c>
      <c r="F62" s="79" t="s">
        <v>2030</v>
      </c>
      <c r="G62" s="98" t="s">
        <v>17</v>
      </c>
      <c r="H62" s="81">
        <v>1</v>
      </c>
      <c r="I62" s="71">
        <f>VLOOKUP(B62,'HECVAT - Full'!A:E,3,FALSE)</f>
        <v>0</v>
      </c>
      <c r="J62" s="71">
        <f>IF(Table1[[#This Row],[Column7]]=Table1[[#This Row],[Column9]],1,0)</f>
        <v>0</v>
      </c>
      <c r="K62" s="71">
        <f>IF(Table1[[#This Row],[Column8]]=1,20,"")</f>
        <v>20</v>
      </c>
      <c r="L62" s="71">
        <f>IF(Table1[[#This Row],[Column8]]=1,J62*K62,"")</f>
        <v>0</v>
      </c>
      <c r="M62" s="72" t="str">
        <f>VLOOKUP($B62,'Standards Crosswalk'!$A:$H,3,FALSE)</f>
        <v>CSC 6</v>
      </c>
      <c r="N62" s="72">
        <f>VLOOKUP($B62,'Standards Crosswalk'!$A:$H,4,FALSE)</f>
        <v>0</v>
      </c>
      <c r="O62" s="72" t="str">
        <f>VLOOKUP($B62,'Standards Crosswalk'!$A:$H,5,FALSE)</f>
        <v>12.4</v>
      </c>
      <c r="P62" s="72" t="str">
        <f>VLOOKUP($B62,'Standards Crosswalk'!$A:$H,6,FALSE)</f>
        <v>PR.PT-1</v>
      </c>
      <c r="Q62" s="72" t="str">
        <f>VLOOKUP($B62,'Standards Crosswalk'!$A:$H,7,FALSE)</f>
        <v>3.3.8, 3.3.9</v>
      </c>
      <c r="R62" s="72" t="str">
        <f>VLOOKUP($B62,'Standards Crosswalk'!$A:$H,8,FALSE)</f>
        <v>AU-9</v>
      </c>
      <c r="S62" s="72">
        <f>VLOOKUP($B62,'Standards Crosswalk'!$A:$I,9,FALSE)</f>
        <v>10.7</v>
      </c>
    </row>
    <row r="63" spans="1:19" ht="57.75" thickBot="1" x14ac:dyDescent="0.25">
      <c r="A63" s="71">
        <f t="shared" si="1"/>
        <v>61</v>
      </c>
      <c r="B63" s="77" t="s">
        <v>210</v>
      </c>
      <c r="C63" s="78" t="str">
        <f>VLOOKUP(B63,'HECVAT - Full'!A:E,2,FALSE)</f>
        <v>Describe or provide a reference to your Business Continuity Plan (BCP).</v>
      </c>
      <c r="D63" s="71">
        <f>VLOOKUP(B63,'HECVAT - Full'!A:E,4,FALSE)</f>
        <v>0</v>
      </c>
      <c r="E63" s="79" t="b">
        <f>IF(Table1[[#This Row],[Column11]]&gt;20,TRUE,FALSE)</f>
        <v>1</v>
      </c>
      <c r="F63" s="79" t="s">
        <v>2031</v>
      </c>
      <c r="G63" s="80" t="s">
        <v>17</v>
      </c>
      <c r="H63" s="81">
        <v>1</v>
      </c>
      <c r="I63" s="71">
        <f>VLOOKUP(B63,'HECVAT - Full'!A:E,3,FALSE)</f>
        <v>0</v>
      </c>
      <c r="J63" s="71">
        <f>IF(VLOOKUP(Table1[[#This Row],[Column2]],'Analyst Report'!$A$41:$G$88,7,FALSE)="Yes",1,0)</f>
        <v>0</v>
      </c>
      <c r="K63" s="71">
        <f>IF(Table1[[#This Row],[Column8]]=1,25,"")</f>
        <v>25</v>
      </c>
      <c r="L63" s="71">
        <f>IF(Table1[[#This Row],[Column8]]=1,J63*K63,"")</f>
        <v>0</v>
      </c>
      <c r="M63" s="72" t="str">
        <f>VLOOKUP($B63,'Standards Crosswalk'!$A:$H,3,FALSE)</f>
        <v>CSC 10</v>
      </c>
      <c r="N63" s="72">
        <f>VLOOKUP($B63,'Standards Crosswalk'!$A:$H,4,FALSE)</f>
        <v>0</v>
      </c>
      <c r="O63" s="72" t="str">
        <f>VLOOKUP($B63,'Standards Crosswalk'!$A:$H,5,FALSE)</f>
        <v>17.1.1</v>
      </c>
      <c r="P63" s="72" t="str">
        <f>VLOOKUP($B63,'Standards Crosswalk'!$A:$H,6,FALSE)</f>
        <v>PR.IP-9</v>
      </c>
      <c r="Q63" s="72" t="str">
        <f>VLOOKUP($B63,'Standards Crosswalk'!$A:$H,7,FALSE)</f>
        <v>3.12.2</v>
      </c>
      <c r="R63" s="72" t="str">
        <f>VLOOKUP($B63,'Standards Crosswalk'!$A:$H,8,FALSE)</f>
        <v>AU-7, AU-9, IR-4, AC-5, CP-4, CP-10; NIST SP 800-34</v>
      </c>
      <c r="S63" s="72">
        <f>VLOOKUP($B63,'Standards Crosswalk'!$A:$I,9,FALSE)</f>
        <v>0</v>
      </c>
    </row>
    <row r="64" spans="1:19" ht="43.5" thickBot="1" x14ac:dyDescent="0.25">
      <c r="A64" s="71">
        <f t="shared" si="1"/>
        <v>62</v>
      </c>
      <c r="B64" s="77" t="s">
        <v>228</v>
      </c>
      <c r="C64" s="78" t="str">
        <f>VLOOKUP(B64,'HECVAT - Full'!A:E,2,FALSE)</f>
        <v>May the Institution review your BCP and supporting documentation?</v>
      </c>
      <c r="D64" s="71">
        <f>VLOOKUP(B64,'HECVAT - Full'!A:E,4,FALSE)</f>
        <v>0</v>
      </c>
      <c r="E64" s="79" t="b">
        <f>IF(Table1[[#This Row],[Column11]]&gt;20,TRUE,FALSE)</f>
        <v>0</v>
      </c>
      <c r="F64" s="79" t="s">
        <v>2031</v>
      </c>
      <c r="G64" s="80" t="s">
        <v>17</v>
      </c>
      <c r="H64" s="81">
        <v>1</v>
      </c>
      <c r="I64" s="71">
        <f>VLOOKUP(B64,'HECVAT - Full'!A:E,3,FALSE)</f>
        <v>0</v>
      </c>
      <c r="J64" s="71">
        <f>IF(Table1[[#This Row],[Column7]]=Table1[[#This Row],[Column9]],1,0)</f>
        <v>0</v>
      </c>
      <c r="K64" s="71">
        <f>IF(Table1[[#This Row],[Column8]]=1,20,"")</f>
        <v>20</v>
      </c>
      <c r="L64" s="71">
        <f>IF(Table1[[#This Row],[Column8]]=1,J64*K64,"")</f>
        <v>0</v>
      </c>
      <c r="M64" s="72" t="str">
        <f>VLOOKUP($B64,'Standards Crosswalk'!$A:$H,3,FALSE)</f>
        <v>CSC 10</v>
      </c>
      <c r="N64" s="72">
        <f>VLOOKUP($B64,'Standards Crosswalk'!$A:$H,4,FALSE)</f>
        <v>0</v>
      </c>
      <c r="O64" s="72">
        <f>VLOOKUP($B64,'Standards Crosswalk'!$A:$H,5,FALSE)</f>
        <v>0</v>
      </c>
      <c r="P64" s="72" t="str">
        <f>VLOOKUP($B64,'Standards Crosswalk'!$A:$H,6,FALSE)</f>
        <v>PR.IP-9</v>
      </c>
      <c r="Q64" s="72" t="str">
        <f>VLOOKUP($B64,'Standards Crosswalk'!$A:$H,7,FALSE)</f>
        <v>3.12.2</v>
      </c>
      <c r="R64" s="72" t="str">
        <f>VLOOKUP($B64,'Standards Crosswalk'!$A:$H,8,FALSE)</f>
        <v>AC-5, CP-4, CP-10; NIST SP 800-34</v>
      </c>
      <c r="S64" s="72">
        <f>VLOOKUP($B64,'Standards Crosswalk'!$A:$I,9,FALSE)</f>
        <v>0</v>
      </c>
    </row>
    <row r="65" spans="1:19" ht="57.75" thickBot="1" x14ac:dyDescent="0.25">
      <c r="A65" s="71">
        <f t="shared" si="1"/>
        <v>63</v>
      </c>
      <c r="B65" s="77" t="s">
        <v>229</v>
      </c>
      <c r="C65" s="78" t="str">
        <f>VLOOKUP(B65,'HECVAT - Full'!A:E,2,FALSE)</f>
        <v>Is an owner assigned who is responsible for the maintenance and review of the Business Continuity Plan?</v>
      </c>
      <c r="D65" s="71">
        <f>VLOOKUP(B65,'HECVAT - Full'!A:E,4,FALSE)</f>
        <v>0</v>
      </c>
      <c r="E65" s="79" t="b">
        <f>IF(Table1[[#This Row],[Column11]]&gt;20,TRUE,FALSE)</f>
        <v>0</v>
      </c>
      <c r="F65" s="79" t="s">
        <v>2031</v>
      </c>
      <c r="G65" s="80" t="s">
        <v>17</v>
      </c>
      <c r="H65" s="81">
        <v>1</v>
      </c>
      <c r="I65" s="71">
        <f>VLOOKUP(B65,'HECVAT - Full'!A:E,3,FALSE)</f>
        <v>0</v>
      </c>
      <c r="J65" s="71">
        <f>IF(Table1[[#This Row],[Column7]]=Table1[[#This Row],[Column9]],1,0)</f>
        <v>0</v>
      </c>
      <c r="K65" s="71">
        <f>IF(Table1[[#This Row],[Column8]]=1,20,"")</f>
        <v>20</v>
      </c>
      <c r="L65" s="71">
        <f>IF(Table1[[#This Row],[Column8]]=1,J65*K65,"")</f>
        <v>0</v>
      </c>
      <c r="M65" s="72" t="str">
        <f>VLOOKUP($B65,'Standards Crosswalk'!$A:$H,3,FALSE)</f>
        <v>CSC 10</v>
      </c>
      <c r="N65" s="72">
        <f>VLOOKUP($B65,'Standards Crosswalk'!$A:$H,4,FALSE)</f>
        <v>0</v>
      </c>
      <c r="O65" s="72" t="str">
        <f>VLOOKUP($B65,'Standards Crosswalk'!$A:$H,5,FALSE)</f>
        <v>17.1.1</v>
      </c>
      <c r="P65" s="72" t="str">
        <f>VLOOKUP($B65,'Standards Crosswalk'!$A:$H,6,FALSE)</f>
        <v>PR.IP-9</v>
      </c>
      <c r="Q65" s="72" t="str">
        <f>VLOOKUP($B65,'Standards Crosswalk'!$A:$H,7,FALSE)</f>
        <v>3.12.2</v>
      </c>
      <c r="R65" s="72" t="str">
        <f>VLOOKUP($B65,'Standards Crosswalk'!$A:$H,8,FALSE)</f>
        <v>AU-7, AU-9, IR-4, AC-5, CP-4, CP-10; NIST SP 800-34</v>
      </c>
      <c r="S65" s="72">
        <f>VLOOKUP($B65,'Standards Crosswalk'!$A:$I,9,FALSE)</f>
        <v>0</v>
      </c>
    </row>
    <row r="66" spans="1:19" ht="57.75" thickBot="1" x14ac:dyDescent="0.25">
      <c r="A66" s="71">
        <f t="shared" si="1"/>
        <v>64</v>
      </c>
      <c r="B66" s="77" t="s">
        <v>230</v>
      </c>
      <c r="C66" s="78" t="str">
        <f>VLOOKUP(B66,'HECVAT - Full'!A:E,2,FALSE)</f>
        <v>Is there a defined problem/issue escalation plan in your BCP for impacted clients?</v>
      </c>
      <c r="D66" s="71">
        <f>VLOOKUP(B66,'HECVAT - Full'!A:E,4,FALSE)</f>
        <v>0</v>
      </c>
      <c r="E66" s="79" t="b">
        <f>IF(Table1[[#This Row],[Column11]]&gt;20,TRUE,FALSE)</f>
        <v>0</v>
      </c>
      <c r="F66" s="79" t="s">
        <v>2031</v>
      </c>
      <c r="G66" s="80" t="s">
        <v>17</v>
      </c>
      <c r="H66" s="81">
        <v>1</v>
      </c>
      <c r="I66" s="71">
        <f>VLOOKUP(B66,'HECVAT - Full'!A:E,3,FALSE)</f>
        <v>0</v>
      </c>
      <c r="J66" s="71">
        <f>IF(Table1[[#This Row],[Column7]]=Table1[[#This Row],[Column9]],1,0)</f>
        <v>0</v>
      </c>
      <c r="K66" s="71">
        <f>IF(Table1[[#This Row],[Column8]]=1,20,"")</f>
        <v>20</v>
      </c>
      <c r="L66" s="71">
        <f>IF(Table1[[#This Row],[Column8]]=1,J66*K66,"")</f>
        <v>0</v>
      </c>
      <c r="M66" s="72" t="str">
        <f>VLOOKUP($B66,'Standards Crosswalk'!$A:$H,3,FALSE)</f>
        <v>CSC 10</v>
      </c>
      <c r="N66" s="72">
        <f>VLOOKUP($B66,'Standards Crosswalk'!$A:$H,4,FALSE)</f>
        <v>0</v>
      </c>
      <c r="O66" s="72" t="str">
        <f>VLOOKUP($B66,'Standards Crosswalk'!$A:$H,5,FALSE)</f>
        <v>17</v>
      </c>
      <c r="P66" s="72" t="str">
        <f>VLOOKUP($B66,'Standards Crosswalk'!$A:$H,6,FALSE)</f>
        <v>PR.IP-9</v>
      </c>
      <c r="Q66" s="72" t="str">
        <f>VLOOKUP($B66,'Standards Crosswalk'!$A:$H,7,FALSE)</f>
        <v>3.12.2</v>
      </c>
      <c r="R66" s="72" t="str">
        <f>VLOOKUP($B66,'Standards Crosswalk'!$A:$H,8,FALSE)</f>
        <v>AU-7, AU-9, IR-4, AC-5, CP-4, CP-10; NIST SP 800-34</v>
      </c>
      <c r="S66" s="72">
        <f>VLOOKUP($B66,'Standards Crosswalk'!$A:$I,9,FALSE)</f>
        <v>0</v>
      </c>
    </row>
    <row r="67" spans="1:19" ht="57.75" thickBot="1" x14ac:dyDescent="0.25">
      <c r="A67" s="71">
        <f t="shared" si="1"/>
        <v>65</v>
      </c>
      <c r="B67" s="77" t="s">
        <v>231</v>
      </c>
      <c r="C67" s="78" t="str">
        <f>VLOOKUP(B67,'HECVAT - Full'!A:E,2,FALSE)</f>
        <v>Is there a documented communication plan in your BCP for impacted clients?</v>
      </c>
      <c r="D67" s="71">
        <f>VLOOKUP(B67,'HECVAT - Full'!A:E,4,FALSE)</f>
        <v>0</v>
      </c>
      <c r="E67" s="79" t="b">
        <f>IF(Table1[[#This Row],[Column11]]&gt;20,TRUE,FALSE)</f>
        <v>0</v>
      </c>
      <c r="F67" s="79" t="s">
        <v>2031</v>
      </c>
      <c r="G67" s="80" t="s">
        <v>17</v>
      </c>
      <c r="H67" s="81">
        <v>1</v>
      </c>
      <c r="I67" s="71">
        <f>VLOOKUP(B67,'HECVAT - Full'!A:E,3,FALSE)</f>
        <v>0</v>
      </c>
      <c r="J67" s="71">
        <f>IF(Table1[[#This Row],[Column7]]=Table1[[#This Row],[Column9]],1,0)</f>
        <v>0</v>
      </c>
      <c r="K67" s="71">
        <f>IF(Table1[[#This Row],[Column8]]=1,20,"")</f>
        <v>20</v>
      </c>
      <c r="L67" s="71">
        <f>IF(Table1[[#This Row],[Column8]]=1,J67*K67,"")</f>
        <v>0</v>
      </c>
      <c r="M67" s="72" t="str">
        <f>VLOOKUP($B67,'Standards Crosswalk'!$A:$H,3,FALSE)</f>
        <v>CSC 10</v>
      </c>
      <c r="N67" s="72">
        <f>VLOOKUP($B67,'Standards Crosswalk'!$A:$H,4,FALSE)</f>
        <v>0</v>
      </c>
      <c r="O67" s="72" t="str">
        <f>VLOOKUP($B67,'Standards Crosswalk'!$A:$H,5,FALSE)</f>
        <v>17.1.2</v>
      </c>
      <c r="P67" s="72" t="str">
        <f>VLOOKUP($B67,'Standards Crosswalk'!$A:$H,6,FALSE)</f>
        <v>PR.IP-9</v>
      </c>
      <c r="Q67" s="72" t="str">
        <f>VLOOKUP($B67,'Standards Crosswalk'!$A:$H,7,FALSE)</f>
        <v>3.12.2</v>
      </c>
      <c r="R67" s="72" t="str">
        <f>VLOOKUP($B67,'Standards Crosswalk'!$A:$H,8,FALSE)</f>
        <v>AU-7, AU-9, IR-4, AC-5, CP-4, CP-10; NIST SP 800-34</v>
      </c>
      <c r="S67" s="72">
        <f>VLOOKUP($B67,'Standards Crosswalk'!$A:$I,9,FALSE)</f>
        <v>0</v>
      </c>
    </row>
    <row r="68" spans="1:19" ht="57.75" thickBot="1" x14ac:dyDescent="0.25">
      <c r="A68" s="71">
        <f t="shared" ref="A68:A131" si="4">A67+1</f>
        <v>66</v>
      </c>
      <c r="B68" s="77" t="s">
        <v>232</v>
      </c>
      <c r="C68" s="78" t="str">
        <f>VLOOKUP(B68,'HECVAT - Full'!A:E,2,FALSE)</f>
        <v xml:space="preserve">Are all components of the BCP reviewed at least annually and updated as needed to reflect change? </v>
      </c>
      <c r="D68" s="71">
        <f>VLOOKUP(B68,'HECVAT - Full'!A:E,4,FALSE)</f>
        <v>0</v>
      </c>
      <c r="E68" s="79" t="b">
        <f>IF(Table1[[#This Row],[Column11]]&gt;20,TRUE,FALSE)</f>
        <v>1</v>
      </c>
      <c r="F68" s="79" t="s">
        <v>2031</v>
      </c>
      <c r="G68" s="80" t="s">
        <v>17</v>
      </c>
      <c r="H68" s="81">
        <v>1</v>
      </c>
      <c r="I68" s="71">
        <f>VLOOKUP(B68,'HECVAT - Full'!A:E,3,FALSE)</f>
        <v>0</v>
      </c>
      <c r="J68" s="71">
        <f>IF(Table1[[#This Row],[Column7]]=Table1[[#This Row],[Column9]],1,0)</f>
        <v>0</v>
      </c>
      <c r="K68" s="71">
        <f>IF(Table1[[#This Row],[Column8]]=1,25,"")</f>
        <v>25</v>
      </c>
      <c r="L68" s="71">
        <f>IF(Table1[[#This Row],[Column8]]=1,J68*K68,"")</f>
        <v>0</v>
      </c>
      <c r="M68" s="72" t="str">
        <f>VLOOKUP($B68,'Standards Crosswalk'!$A:$H,3,FALSE)</f>
        <v>CSC 10</v>
      </c>
      <c r="N68" s="72">
        <f>VLOOKUP($B68,'Standards Crosswalk'!$A:$H,4,FALSE)</f>
        <v>0</v>
      </c>
      <c r="O68" s="72" t="str">
        <f>VLOOKUP($B68,'Standards Crosswalk'!$A:$H,5,FALSE)</f>
        <v>17.1.2</v>
      </c>
      <c r="P68" s="72" t="str">
        <f>VLOOKUP($B68,'Standards Crosswalk'!$A:$H,6,FALSE)</f>
        <v>PR.IP-9</v>
      </c>
      <c r="Q68" s="72" t="str">
        <f>VLOOKUP($B68,'Standards Crosswalk'!$A:$H,7,FALSE)</f>
        <v>3.12.2</v>
      </c>
      <c r="R68" s="72" t="str">
        <f>VLOOKUP($B68,'Standards Crosswalk'!$A:$H,8,FALSE)</f>
        <v>AU-7, AU-9, IR-4, AC-5, CP-4, CP-10; NIST SP 800-34</v>
      </c>
      <c r="S68" s="72">
        <f>VLOOKUP($B68,'Standards Crosswalk'!$A:$I,9,FALSE)</f>
        <v>0</v>
      </c>
    </row>
    <row r="69" spans="1:19" ht="57.75" thickBot="1" x14ac:dyDescent="0.25">
      <c r="A69" s="71">
        <f t="shared" si="4"/>
        <v>67</v>
      </c>
      <c r="B69" s="77" t="s">
        <v>233</v>
      </c>
      <c r="C69" s="78" t="str">
        <f>VLOOKUP(B69,'HECVAT - Full'!A:E,2,FALSE)</f>
        <v xml:space="preserve">Has your BCP been tested in the last year? </v>
      </c>
      <c r="D69" s="71">
        <f>VLOOKUP(B69,'HECVAT - Full'!A:E,4,FALSE)</f>
        <v>0</v>
      </c>
      <c r="E69" s="79" t="b">
        <f>IF(Table1[[#This Row],[Column11]]&gt;20,TRUE,FALSE)</f>
        <v>1</v>
      </c>
      <c r="F69" s="79" t="s">
        <v>2031</v>
      </c>
      <c r="G69" s="80" t="s">
        <v>17</v>
      </c>
      <c r="H69" s="81">
        <v>1</v>
      </c>
      <c r="I69" s="71">
        <f>VLOOKUP(B69,'HECVAT - Full'!A:E,3,FALSE)</f>
        <v>0</v>
      </c>
      <c r="J69" s="71">
        <f>IF(Table1[[#This Row],[Column7]]=Table1[[#This Row],[Column9]],1,0)</f>
        <v>0</v>
      </c>
      <c r="K69" s="71">
        <f>IF(Table1[[#This Row],[Column8]]=1,25,"")</f>
        <v>25</v>
      </c>
      <c r="L69" s="71">
        <f>IF(Table1[[#This Row],[Column8]]=1,J69*K69,"")</f>
        <v>0</v>
      </c>
      <c r="M69" s="72" t="str">
        <f>VLOOKUP($B69,'Standards Crosswalk'!$A:$H,3,FALSE)</f>
        <v>CSC 10</v>
      </c>
      <c r="N69" s="72">
        <f>VLOOKUP($B69,'Standards Crosswalk'!$A:$H,4,FALSE)</f>
        <v>0</v>
      </c>
      <c r="O69" s="72" t="str">
        <f>VLOOKUP($B69,'Standards Crosswalk'!$A:$H,5,FALSE)</f>
        <v>17.1.3</v>
      </c>
      <c r="P69" s="72" t="str">
        <f>VLOOKUP($B69,'Standards Crosswalk'!$A:$H,6,FALSE)</f>
        <v>PR.IP-9</v>
      </c>
      <c r="Q69" s="72" t="str">
        <f>VLOOKUP($B69,'Standards Crosswalk'!$A:$H,7,FALSE)</f>
        <v>3.12.2</v>
      </c>
      <c r="R69" s="72" t="str">
        <f>VLOOKUP($B69,'Standards Crosswalk'!$A:$H,8,FALSE)</f>
        <v>AU-7, AU-9, IR-4, AC-5, CP-4, CP-10; NIST SP 800-34</v>
      </c>
      <c r="S69" s="72">
        <f>VLOOKUP($B69,'Standards Crosswalk'!$A:$I,9,FALSE)</f>
        <v>0</v>
      </c>
    </row>
    <row r="70" spans="1:19" ht="72" thickBot="1" x14ac:dyDescent="0.25">
      <c r="A70" s="71">
        <f t="shared" si="4"/>
        <v>68</v>
      </c>
      <c r="B70" s="77" t="s">
        <v>234</v>
      </c>
      <c r="C70" s="78" t="str">
        <f>VLOOKUP(B70,'HECVAT - Full'!A:E,2,FALSE)</f>
        <v>Does your organization conduct training and awareness activities to validate its employees understanding of their roles and responsibilities during a crisis?</v>
      </c>
      <c r="D70" s="71">
        <f>VLOOKUP(B70,'HECVAT - Full'!A:E,4,FALSE)</f>
        <v>0</v>
      </c>
      <c r="E70" s="79" t="b">
        <f>IF(Table1[[#This Row],[Column11]]&gt;20,TRUE,FALSE)</f>
        <v>0</v>
      </c>
      <c r="F70" s="79" t="s">
        <v>2031</v>
      </c>
      <c r="G70" s="80" t="s">
        <v>17</v>
      </c>
      <c r="H70" s="81">
        <v>1</v>
      </c>
      <c r="I70" s="71">
        <f>VLOOKUP(B70,'HECVAT - Full'!A:E,3,FALSE)</f>
        <v>0</v>
      </c>
      <c r="J70" s="71">
        <f>IF(Table1[[#This Row],[Column7]]=Table1[[#This Row],[Column9]],1,0)</f>
        <v>0</v>
      </c>
      <c r="K70" s="71">
        <f>IF(Table1[[#This Row],[Column8]]=1,20,"")</f>
        <v>20</v>
      </c>
      <c r="L70" s="71">
        <f>IF(Table1[[#This Row],[Column8]]=1,J70*K70,"")</f>
        <v>0</v>
      </c>
      <c r="M70" s="72" t="str">
        <f>VLOOKUP($B70,'Standards Crosswalk'!$A:$H,3,FALSE)</f>
        <v>CSC 10</v>
      </c>
      <c r="N70" s="72">
        <f>VLOOKUP($B70,'Standards Crosswalk'!$A:$H,4,FALSE)</f>
        <v>0</v>
      </c>
      <c r="O70" s="72" t="str">
        <f>VLOOKUP($B70,'Standards Crosswalk'!$A:$H,5,FALSE)</f>
        <v>7.2.2, 17.1.3</v>
      </c>
      <c r="P70" s="72" t="str">
        <f>VLOOKUP($B70,'Standards Crosswalk'!$A:$H,6,FALSE)</f>
        <v>PR.IP-9</v>
      </c>
      <c r="Q70" s="72" t="str">
        <f>VLOOKUP($B70,'Standards Crosswalk'!$A:$H,7,FALSE)</f>
        <v>3.2.1, 3.2.2</v>
      </c>
      <c r="R70" s="72" t="str">
        <f>VLOOKUP($B70,'Standards Crosswalk'!$A:$H,8,FALSE)</f>
        <v>AT-3, AC-5, CP-4, CP-10; NIST SP 800-34</v>
      </c>
      <c r="S70" s="72" t="str">
        <f>VLOOKUP($B70,'Standards Crosswalk'!$A:$I,9,FALSE)</f>
        <v>12.x</v>
      </c>
    </row>
    <row r="71" spans="1:19" ht="43.5" thickBot="1" x14ac:dyDescent="0.25">
      <c r="A71" s="71">
        <f t="shared" si="4"/>
        <v>69</v>
      </c>
      <c r="B71" s="77" t="s">
        <v>235</v>
      </c>
      <c r="C71" s="78" t="str">
        <f>VLOOKUP(B71,'HECVAT - Full'!A:E,2,FALSE)</f>
        <v>Are specific crisis management roles and responsibilities defined and documented?</v>
      </c>
      <c r="D71" s="71">
        <f>VLOOKUP(B71,'HECVAT - Full'!A:E,4,FALSE)</f>
        <v>0</v>
      </c>
      <c r="E71" s="79" t="b">
        <f>IF(Table1[[#This Row],[Column11]]&gt;20,TRUE,FALSE)</f>
        <v>0</v>
      </c>
      <c r="F71" s="79" t="s">
        <v>2031</v>
      </c>
      <c r="G71" s="80" t="s">
        <v>17</v>
      </c>
      <c r="H71" s="81">
        <v>1</v>
      </c>
      <c r="I71" s="71">
        <f>VLOOKUP(B71,'HECVAT - Full'!A:E,3,FALSE)</f>
        <v>0</v>
      </c>
      <c r="J71" s="71">
        <f>IF(Table1[[#This Row],[Column7]]=Table1[[#This Row],[Column9]],1,0)</f>
        <v>0</v>
      </c>
      <c r="K71" s="71">
        <f>IF(Table1[[#This Row],[Column8]]=1,20,"")</f>
        <v>20</v>
      </c>
      <c r="L71" s="71">
        <f>IF(Table1[[#This Row],[Column8]]=1,J71*K71,"")</f>
        <v>0</v>
      </c>
      <c r="M71" s="72" t="str">
        <f>VLOOKUP($B71,'Standards Crosswalk'!$A:$H,3,FALSE)</f>
        <v>CSC 10</v>
      </c>
      <c r="N71" s="72">
        <f>VLOOKUP($B71,'Standards Crosswalk'!$A:$H,4,FALSE)</f>
        <v>0</v>
      </c>
      <c r="O71" s="72" t="str">
        <f>VLOOKUP($B71,'Standards Crosswalk'!$A:$H,5,FALSE)</f>
        <v>7.2.2, 16.1.1, 17.1.3</v>
      </c>
      <c r="P71" s="72" t="str">
        <f>VLOOKUP($B71,'Standards Crosswalk'!$A:$H,6,FALSE)</f>
        <v>PR.IP-9</v>
      </c>
      <c r="Q71" s="72">
        <f>VLOOKUP($B71,'Standards Crosswalk'!$A:$H,7,FALSE)</f>
        <v>0</v>
      </c>
      <c r="R71" s="72" t="str">
        <f>VLOOKUP($B71,'Standards Crosswalk'!$A:$H,8,FALSE)</f>
        <v>AC-5, CP-4, CP-10; NIST SP 800-34</v>
      </c>
      <c r="S71" s="72" t="str">
        <f>VLOOKUP($B71,'Standards Crosswalk'!$A:$I,9,FALSE)</f>
        <v>12.x</v>
      </c>
    </row>
    <row r="72" spans="1:19" ht="57.75" thickBot="1" x14ac:dyDescent="0.25">
      <c r="A72" s="71">
        <f t="shared" si="4"/>
        <v>70</v>
      </c>
      <c r="B72" s="77" t="s">
        <v>236</v>
      </c>
      <c r="C72" s="78" t="str">
        <f>VLOOKUP(B72,'HECVAT - Full'!A:E,2,FALSE)</f>
        <v>Does your organization have an alternative business site or a contracted Business Recovery provider?</v>
      </c>
      <c r="D72" s="71">
        <f>VLOOKUP(B72,'HECVAT - Full'!A:E,4,FALSE)</f>
        <v>0</v>
      </c>
      <c r="E72" s="79" t="b">
        <f>IF(Table1[[#This Row],[Column11]]&gt;20,TRUE,FALSE)</f>
        <v>0</v>
      </c>
      <c r="F72" s="79" t="s">
        <v>2031</v>
      </c>
      <c r="G72" s="80" t="s">
        <v>17</v>
      </c>
      <c r="H72" s="81">
        <v>1</v>
      </c>
      <c r="I72" s="71">
        <f>VLOOKUP(B72,'HECVAT - Full'!A:E,3,FALSE)</f>
        <v>0</v>
      </c>
      <c r="J72" s="71">
        <f>IF(Table1[[#This Row],[Column7]]=Table1[[#This Row],[Column9]],1,0)</f>
        <v>0</v>
      </c>
      <c r="K72" s="71">
        <f>IF(Table1[[#This Row],[Column8]]=1,20,"")</f>
        <v>20</v>
      </c>
      <c r="L72" s="71">
        <f>IF(Table1[[#This Row],[Column8]]=1,J72*K72,"")</f>
        <v>0</v>
      </c>
      <c r="M72" s="72" t="str">
        <f>VLOOKUP($B72,'Standards Crosswalk'!$A:$H,3,FALSE)</f>
        <v>CSC 10</v>
      </c>
      <c r="N72" s="72">
        <f>VLOOKUP($B72,'Standards Crosswalk'!$A:$H,4,FALSE)</f>
        <v>0</v>
      </c>
      <c r="O72" s="72" t="str">
        <f>VLOOKUP($B72,'Standards Crosswalk'!$A:$H,5,FALSE)</f>
        <v>17.2.1</v>
      </c>
      <c r="P72" s="72" t="str">
        <f>VLOOKUP($B72,'Standards Crosswalk'!$A:$H,6,FALSE)</f>
        <v>PR.IP-9</v>
      </c>
      <c r="Q72" s="72">
        <f>VLOOKUP($B72,'Standards Crosswalk'!$A:$H,7,FALSE)</f>
        <v>0</v>
      </c>
      <c r="R72" s="72" t="str">
        <f>VLOOKUP($B72,'Standards Crosswalk'!$A:$H,8,FALSE)</f>
        <v>AC-5, CP-4, CP-10; NIST SP 800-34</v>
      </c>
      <c r="S72" s="72">
        <f>VLOOKUP($B72,'Standards Crosswalk'!$A:$I,9,FALSE)</f>
        <v>12.1</v>
      </c>
    </row>
    <row r="73" spans="1:19" ht="57.75" thickBot="1" x14ac:dyDescent="0.25">
      <c r="A73" s="71">
        <f t="shared" si="4"/>
        <v>71</v>
      </c>
      <c r="B73" s="77" t="s">
        <v>237</v>
      </c>
      <c r="C73" s="78" t="str">
        <f>VLOOKUP(B73,'HECVAT - Full'!A:E,2,FALSE)</f>
        <v>Does your organization conduct an annual test of relocating to an alternate site for business recovery purposes?</v>
      </c>
      <c r="D73" s="71">
        <f>VLOOKUP(B73,'HECVAT - Full'!A:E,4,FALSE)</f>
        <v>0</v>
      </c>
      <c r="E73" s="79" t="b">
        <f>IF(Table1[[#This Row],[Column11]]&gt;20,TRUE,FALSE)</f>
        <v>0</v>
      </c>
      <c r="F73" s="79" t="s">
        <v>2031</v>
      </c>
      <c r="G73" s="80" t="s">
        <v>17</v>
      </c>
      <c r="H73" s="81">
        <f>IF(I72="Yes",1,0)</f>
        <v>0</v>
      </c>
      <c r="I73" s="71">
        <f>VLOOKUP(B73,'HECVAT - Full'!A:E,3,FALSE)</f>
        <v>0</v>
      </c>
      <c r="J73" s="71">
        <f>IF(Table1[[#This Row],[Column7]]=Table1[[#This Row],[Column9]],1,0)</f>
        <v>0</v>
      </c>
      <c r="K73" s="71">
        <v>20</v>
      </c>
      <c r="L73" s="71" t="str">
        <f>IF(Table1[[#This Row],[Column8]]=1,J73*K73,"")</f>
        <v/>
      </c>
      <c r="M73" s="72" t="str">
        <f>VLOOKUP($B73,'Standards Crosswalk'!$A:$H,3,FALSE)</f>
        <v>CSC 10</v>
      </c>
      <c r="N73" s="72">
        <f>VLOOKUP($B73,'Standards Crosswalk'!$A:$H,4,FALSE)</f>
        <v>0</v>
      </c>
      <c r="O73" s="72" t="str">
        <f>VLOOKUP($B73,'Standards Crosswalk'!$A:$H,5,FALSE)</f>
        <v>17.1.3</v>
      </c>
      <c r="P73" s="72" t="str">
        <f>VLOOKUP($B73,'Standards Crosswalk'!$A:$H,6,FALSE)</f>
        <v>PR.IP-9</v>
      </c>
      <c r="Q73" s="72">
        <f>VLOOKUP($B73,'Standards Crosswalk'!$A:$H,7,FALSE)</f>
        <v>0</v>
      </c>
      <c r="R73" s="72" t="str">
        <f>VLOOKUP($B73,'Standards Crosswalk'!$A:$H,8,FALSE)</f>
        <v>AC-5, CP-4, CP-10; NIST SP 800-34</v>
      </c>
      <c r="S73" s="72">
        <f>VLOOKUP($B73,'Standards Crosswalk'!$A:$I,9,FALSE)</f>
        <v>12.1</v>
      </c>
    </row>
    <row r="74" spans="1:19" ht="57.75" thickBot="1" x14ac:dyDescent="0.25">
      <c r="A74" s="71">
        <f t="shared" si="4"/>
        <v>72</v>
      </c>
      <c r="B74" s="77" t="s">
        <v>238</v>
      </c>
      <c r="C74" s="78" t="str">
        <f>VLOOKUP(B74,'HECVAT - Full'!A:E,2,FALSE)</f>
        <v>Is this product a core service of your organization, and as such, the top priority during business continuity planning?</v>
      </c>
      <c r="D74" s="71">
        <f>VLOOKUP(B74,'HECVAT - Full'!A:E,4,FALSE)</f>
        <v>0</v>
      </c>
      <c r="E74" s="79" t="b">
        <f>IF(Table1[[#This Row],[Column11]]&gt;20,TRUE,FALSE)</f>
        <v>0</v>
      </c>
      <c r="F74" s="79" t="s">
        <v>2031</v>
      </c>
      <c r="G74" s="80" t="s">
        <v>17</v>
      </c>
      <c r="H74" s="81">
        <v>1</v>
      </c>
      <c r="I74" s="71">
        <f>VLOOKUP(B74,'HECVAT - Full'!A:E,3,FALSE)</f>
        <v>0</v>
      </c>
      <c r="J74" s="71">
        <f>IF(Table1[[#This Row],[Column7]]=Table1[[#This Row],[Column9]],1,0)</f>
        <v>0</v>
      </c>
      <c r="K74" s="71">
        <f>IF(Table1[[#This Row],[Column8]]=1,15,"")</f>
        <v>15</v>
      </c>
      <c r="L74" s="71">
        <f>IF(Table1[[#This Row],[Column8]]=1,J74*K74,"")</f>
        <v>0</v>
      </c>
      <c r="M74" s="72" t="str">
        <f>VLOOKUP($B74,'Standards Crosswalk'!$A:$H,3,FALSE)</f>
        <v>CSC 10</v>
      </c>
      <c r="N74" s="72">
        <f>VLOOKUP($B74,'Standards Crosswalk'!$A:$H,4,FALSE)</f>
        <v>0</v>
      </c>
      <c r="O74" s="72">
        <f>VLOOKUP($B74,'Standards Crosswalk'!$A:$H,5,FALSE)</f>
        <v>0</v>
      </c>
      <c r="P74" s="72" t="str">
        <f>VLOOKUP($B74,'Standards Crosswalk'!$A:$H,6,FALSE)</f>
        <v>PR.IP-9</v>
      </c>
      <c r="Q74" s="72">
        <f>VLOOKUP($B74,'Standards Crosswalk'!$A:$H,7,FALSE)</f>
        <v>0</v>
      </c>
      <c r="R74" s="72" t="str">
        <f>VLOOKUP($B74,'Standards Crosswalk'!$A:$H,8,FALSE)</f>
        <v>AC-5, CP-4, CP-10; NIST SP 800-34</v>
      </c>
      <c r="S74" s="72">
        <f>VLOOKUP($B74,'Standards Crosswalk'!$A:$I,9,FALSE)</f>
        <v>12.1</v>
      </c>
    </row>
    <row r="75" spans="1:19" ht="43.5" thickBot="1" x14ac:dyDescent="0.25">
      <c r="A75" s="71">
        <f t="shared" si="4"/>
        <v>73</v>
      </c>
      <c r="B75" s="77" t="s">
        <v>239</v>
      </c>
      <c r="C75" s="78" t="str">
        <f>VLOOKUP(B75,'HECVAT - Full'!A:E,2,FALSE)</f>
        <v xml:space="preserve">Do you have a documented and currently followed change management process (CMP)? </v>
      </c>
      <c r="D75" s="71">
        <f>VLOOKUP(B75,'HECVAT - Full'!A:E,4,FALSE)</f>
        <v>0</v>
      </c>
      <c r="E75" s="79" t="b">
        <f>IF(Table1[[#This Row],[Column11]]&gt;20,TRUE,FALSE)</f>
        <v>1</v>
      </c>
      <c r="F75" s="79" t="s">
        <v>2032</v>
      </c>
      <c r="G75" s="80" t="s">
        <v>17</v>
      </c>
      <c r="H75" s="81">
        <v>1</v>
      </c>
      <c r="I75" s="71">
        <f>VLOOKUP(B75,'HECVAT - Full'!A:E,3,FALSE)</f>
        <v>0</v>
      </c>
      <c r="J75" s="71">
        <f>IF(Table1[[#This Row],[Column7]]=Table1[[#This Row],[Column9]],1,0)</f>
        <v>0</v>
      </c>
      <c r="K75" s="71">
        <f>IF(Table1[[#This Row],[Column8]]=1,25,"")</f>
        <v>25</v>
      </c>
      <c r="L75" s="71">
        <f>IF(Table1[[#This Row],[Column8]]=1,J75*K75,"")</f>
        <v>0</v>
      </c>
      <c r="M75" s="72" t="str">
        <f>VLOOKUP($B75,'Standards Crosswalk'!$A:$H,3,FALSE)</f>
        <v>CSC 10</v>
      </c>
      <c r="N75" s="72">
        <f>VLOOKUP($B75,'Standards Crosswalk'!$A:$H,4,FALSE)</f>
        <v>0</v>
      </c>
      <c r="O75" s="72" t="str">
        <f>VLOOKUP($B75,'Standards Crosswalk'!$A:$H,5,FALSE)</f>
        <v>12.1.2</v>
      </c>
      <c r="P75" s="72" t="str">
        <f>VLOOKUP($B75,'Standards Crosswalk'!$A:$H,6,FALSE)</f>
        <v>PR.IP-3</v>
      </c>
      <c r="Q75" s="72" t="str">
        <f>VLOOKUP($B75,'Standards Crosswalk'!$A:$H,7,FALSE)</f>
        <v>3.4.3, 3.4.4</v>
      </c>
      <c r="R75" s="72" t="str">
        <f>VLOOKUP($B75,'Standards Crosswalk'!$A:$H,8,FALSE)</f>
        <v>CM-3, CM-4, CM-5</v>
      </c>
      <c r="S75" s="72" t="str">
        <f>VLOOKUP($B75,'Standards Crosswalk'!$A:$I,9,FALSE)</f>
        <v>6.4, 6.4.5, 6.4.5.1, 6.4.5.2</v>
      </c>
    </row>
    <row r="76" spans="1:19" ht="143.25" thickBot="1" x14ac:dyDescent="0.25">
      <c r="A76" s="71">
        <f t="shared" si="4"/>
        <v>74</v>
      </c>
      <c r="B76" s="77" t="s">
        <v>240</v>
      </c>
      <c r="C76" s="78" t="str">
        <f>VLOOKUP(B76,'HECVAT - Full'!A:E,2,FALSE)</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D76" s="71">
        <f>VLOOKUP(B76,'HECVAT - Full'!A:E,4,FALSE)</f>
        <v>0</v>
      </c>
      <c r="E76" s="79" t="b">
        <f>IF(Table1[[#This Row],[Column11]]&gt;20,TRUE,FALSE)</f>
        <v>0</v>
      </c>
      <c r="F76" s="79" t="s">
        <v>2032</v>
      </c>
      <c r="G76" s="80" t="s">
        <v>17</v>
      </c>
      <c r="H76" s="81">
        <v>1</v>
      </c>
      <c r="I76" s="71">
        <f>VLOOKUP(B76,'HECVAT - Full'!A:E,3,FALSE)</f>
        <v>0</v>
      </c>
      <c r="J76" s="71">
        <f>IF(VLOOKUP(Table1[[#This Row],[Column2]],'Analyst Report'!$A$41:$G$88,7,FALSE)="Yes",1,0)</f>
        <v>0</v>
      </c>
      <c r="K76" s="71">
        <f>IF(Table1[[#This Row],[Column8]]=1,20,"")</f>
        <v>20</v>
      </c>
      <c r="L76" s="71">
        <f>IF(Table1[[#This Row],[Column8]]=1,J76*K76,"")</f>
        <v>0</v>
      </c>
      <c r="M76" s="72" t="str">
        <f>VLOOKUP($B76,'Standards Crosswalk'!$A:$H,3,FALSE)</f>
        <v>CSC 10</v>
      </c>
      <c r="N76" s="72">
        <f>VLOOKUP($B76,'Standards Crosswalk'!$A:$H,4,FALSE)</f>
        <v>0</v>
      </c>
      <c r="O76" s="72" t="str">
        <f>VLOOKUP($B76,'Standards Crosswalk'!$A:$H,5,FALSE)</f>
        <v>12.1.2</v>
      </c>
      <c r="P76" s="72" t="str">
        <f>VLOOKUP($B76,'Standards Crosswalk'!$A:$H,6,FALSE)</f>
        <v>PR.IP-3, PR.DS-7</v>
      </c>
      <c r="Q76" s="72" t="str">
        <f>VLOOKUP($B76,'Standards Crosswalk'!$A:$H,7,FALSE)</f>
        <v>3.4.3, 3.4.4, 3.4.5</v>
      </c>
      <c r="R76" s="72" t="str">
        <f>VLOOKUP($B76,'Standards Crosswalk'!$A:$H,8,FALSE)</f>
        <v>CM-3, CM-4, CM-5</v>
      </c>
      <c r="S76" s="72" t="str">
        <f>VLOOKUP($B76,'Standards Crosswalk'!$A:$I,9,FALSE)</f>
        <v>6.4, 6.4.5, 6.4.5.1, 6.4.5.2</v>
      </c>
    </row>
    <row r="77" spans="1:19" ht="57.75" thickBot="1" x14ac:dyDescent="0.25">
      <c r="A77" s="71">
        <f t="shared" si="4"/>
        <v>75</v>
      </c>
      <c r="B77" s="77" t="s">
        <v>241</v>
      </c>
      <c r="C77" s="78" t="str">
        <f>VLOOKUP(B77,'HECVAT - Full'!A:E,2,FALSE)</f>
        <v>Will the Institution be notified of major changes to your environment that could impact the Institution's security posture?</v>
      </c>
      <c r="D77" s="71">
        <f>VLOOKUP(B77,'HECVAT - Full'!A:E,4,FALSE)</f>
        <v>0</v>
      </c>
      <c r="E77" s="79" t="b">
        <f>IF(Table1[[#This Row],[Column11]]&gt;20,TRUE,FALSE)</f>
        <v>0</v>
      </c>
      <c r="F77" s="79" t="s">
        <v>2032</v>
      </c>
      <c r="G77" s="80" t="s">
        <v>17</v>
      </c>
      <c r="H77" s="81">
        <v>1</v>
      </c>
      <c r="I77" s="71">
        <f>VLOOKUP(B77,'HECVAT - Full'!A:E,3,FALSE)</f>
        <v>0</v>
      </c>
      <c r="J77" s="71">
        <f>IF(Table1[[#This Row],[Column7]]=Table1[[#This Row],[Column9]],1,0)</f>
        <v>0</v>
      </c>
      <c r="K77" s="71">
        <f>IF(Table1[[#This Row],[Column8]]=1,20,"")</f>
        <v>20</v>
      </c>
      <c r="L77" s="71">
        <f>IF(Table1[[#This Row],[Column8]]=1,J77*K77,"")</f>
        <v>0</v>
      </c>
      <c r="M77" s="72" t="str">
        <f>VLOOKUP($B77,'Standards Crosswalk'!$A:$H,3,FALSE)</f>
        <v>CSC 10</v>
      </c>
      <c r="N77" s="72">
        <f>VLOOKUP($B77,'Standards Crosswalk'!$A:$H,4,FALSE)</f>
        <v>0</v>
      </c>
      <c r="O77" s="72" t="str">
        <f>VLOOKUP($B77,'Standards Crosswalk'!$A:$H,5,FALSE)</f>
        <v>12.1.2</v>
      </c>
      <c r="P77" s="72">
        <f>VLOOKUP($B77,'Standards Crosswalk'!$A:$H,6,FALSE)</f>
        <v>0</v>
      </c>
      <c r="Q77" s="72">
        <f>VLOOKUP($B77,'Standards Crosswalk'!$A:$H,7,FALSE)</f>
        <v>0</v>
      </c>
      <c r="R77" s="72" t="str">
        <f>VLOOKUP($B77,'Standards Crosswalk'!$A:$H,8,FALSE)</f>
        <v>CM-3, CM-4, CM-5</v>
      </c>
      <c r="S77" s="72" t="str">
        <f>VLOOKUP($B77,'Standards Crosswalk'!$A:$I,9,FALSE)</f>
        <v>6.4, 12.8, 12.9</v>
      </c>
    </row>
    <row r="78" spans="1:19" ht="43.5" thickBot="1" x14ac:dyDescent="0.25">
      <c r="A78" s="71">
        <f t="shared" si="4"/>
        <v>76</v>
      </c>
      <c r="B78" s="77" t="s">
        <v>242</v>
      </c>
      <c r="C78" s="78" t="str">
        <f>VLOOKUP(B78,'HECVAT - Full'!A:E,2,FALSE)</f>
        <v>Do clients have the option to not participate in or postpone an upgrade to a new release?</v>
      </c>
      <c r="D78" s="71">
        <f>VLOOKUP(B78,'HECVAT - Full'!A:E,4,FALSE)</f>
        <v>0</v>
      </c>
      <c r="E78" s="79" t="b">
        <f>IF(Table1[[#This Row],[Column11]]&gt;20,TRUE,FALSE)</f>
        <v>0</v>
      </c>
      <c r="F78" s="79" t="s">
        <v>2032</v>
      </c>
      <c r="G78" s="80" t="s">
        <v>17</v>
      </c>
      <c r="H78" s="81">
        <v>1</v>
      </c>
      <c r="I78" s="71">
        <f>VLOOKUP(B78,'HECVAT - Full'!A:E,3,FALSE)</f>
        <v>0</v>
      </c>
      <c r="J78" s="71">
        <f>IF(Table1[[#This Row],[Column7]]=Table1[[#This Row],[Column9]],1,0)</f>
        <v>0</v>
      </c>
      <c r="K78" s="71">
        <f>IF(Table1[[#This Row],[Column8]]=1,20,"")</f>
        <v>20</v>
      </c>
      <c r="L78" s="71">
        <f>IF(Table1[[#This Row],[Column8]]=1,J78*K78,"")</f>
        <v>0</v>
      </c>
      <c r="M78" s="72" t="str">
        <f>VLOOKUP($B78,'Standards Crosswalk'!$A:$H,3,FALSE)</f>
        <v>CSC 10</v>
      </c>
      <c r="N78" s="72">
        <f>VLOOKUP($B78,'Standards Crosswalk'!$A:$H,4,FALSE)</f>
        <v>0</v>
      </c>
      <c r="O78" s="72">
        <f>VLOOKUP($B78,'Standards Crosswalk'!$A:$H,5,FALSE)</f>
        <v>0</v>
      </c>
      <c r="P78" s="72">
        <f>VLOOKUP($B78,'Standards Crosswalk'!$A:$H,6,FALSE)</f>
        <v>0</v>
      </c>
      <c r="Q78" s="72">
        <f>VLOOKUP($B78,'Standards Crosswalk'!$A:$H,7,FALSE)</f>
        <v>0</v>
      </c>
      <c r="R78" s="72" t="str">
        <f>VLOOKUP($B78,'Standards Crosswalk'!$A:$H,8,FALSE)</f>
        <v>CM-3, CM-4, CM-5</v>
      </c>
      <c r="S78" s="72">
        <f>VLOOKUP($B78,'Standards Crosswalk'!$A:$I,9,FALSE)</f>
        <v>12.1</v>
      </c>
    </row>
    <row r="79" spans="1:19" ht="86.25" thickBot="1" x14ac:dyDescent="0.25">
      <c r="A79" s="71">
        <f t="shared" si="4"/>
        <v>77</v>
      </c>
      <c r="B79" s="77" t="s">
        <v>243</v>
      </c>
      <c r="C79" s="78" t="str">
        <f>VLOOKUP(B79,'HECVAT - Full'!A:E,2,FALSE)</f>
        <v>Describe or provide a reference to your solution support strategy in relation to maintaining software currency. (i.e. how many concurrent versions are you willing to run and support?)</v>
      </c>
      <c r="D79" s="71">
        <f>VLOOKUP(B79,'HECVAT - Full'!A:E,4,FALSE)</f>
        <v>0</v>
      </c>
      <c r="E79" s="79" t="b">
        <f>IF(Table1[[#This Row],[Column11]]&gt;20,TRUE,FALSE)</f>
        <v>1</v>
      </c>
      <c r="F79" s="79" t="s">
        <v>2032</v>
      </c>
      <c r="G79" s="80" t="s">
        <v>17</v>
      </c>
      <c r="H79" s="81">
        <v>1</v>
      </c>
      <c r="I79" s="71">
        <f>VLOOKUP(B79,'HECVAT - Full'!A:E,3,FALSE)</f>
        <v>0</v>
      </c>
      <c r="J79" s="71">
        <f>IF(VLOOKUP(Table1[[#This Row],[Column2]],'Analyst Report'!$A$41:$G$88,7,FALSE)="Yes",1,0)</f>
        <v>0</v>
      </c>
      <c r="K79" s="71">
        <f>IF(Table1[[#This Row],[Column8]]=1,25,"")</f>
        <v>25</v>
      </c>
      <c r="L79" s="71">
        <f>IF(Table1[[#This Row],[Column8]]=1,J79*K79,"")</f>
        <v>0</v>
      </c>
      <c r="M79" s="72" t="str">
        <f>VLOOKUP($B79,'Standards Crosswalk'!$A:$H,3,FALSE)</f>
        <v>CSC 2</v>
      </c>
      <c r="N79" s="72">
        <f>VLOOKUP($B79,'Standards Crosswalk'!$A:$H,4,FALSE)</f>
        <v>0</v>
      </c>
      <c r="O79" s="72">
        <f>VLOOKUP($B79,'Standards Crosswalk'!$A:$H,5,FALSE)</f>
        <v>0</v>
      </c>
      <c r="P79" s="72">
        <f>VLOOKUP($B79,'Standards Crosswalk'!$A:$H,6,FALSE)</f>
        <v>0</v>
      </c>
      <c r="Q79" s="72">
        <f>VLOOKUP($B79,'Standards Crosswalk'!$A:$H,7,FALSE)</f>
        <v>0</v>
      </c>
      <c r="R79" s="72" t="str">
        <f>VLOOKUP($B79,'Standards Crosswalk'!$A:$H,8,FALSE)</f>
        <v>CM-3, CM-4, CM-5</v>
      </c>
      <c r="S79" s="72" t="str">
        <f>VLOOKUP($B79,'Standards Crosswalk'!$A:$I,9,FALSE)</f>
        <v>12.1, 12.8</v>
      </c>
    </row>
    <row r="80" spans="1:19" ht="86.25" thickBot="1" x14ac:dyDescent="0.25">
      <c r="A80" s="71">
        <f t="shared" si="4"/>
        <v>78</v>
      </c>
      <c r="B80" s="77" t="s">
        <v>244</v>
      </c>
      <c r="C80" s="78" t="str">
        <f>VLOOKUP(B80,'HECVAT - Full'!A:E,2,FALSE)</f>
        <v>Identify the most current version of the software. Detail the percentage of live customers that are utilizing the proposed version of the software as well as each version of the software currently in use.</v>
      </c>
      <c r="D80" s="71">
        <f>VLOOKUP(B80,'HECVAT - Full'!A:E,4,FALSE)</f>
        <v>0</v>
      </c>
      <c r="E80" s="79" t="b">
        <f>IF(Table1[[#This Row],[Column11]]&gt;20,TRUE,FALSE)</f>
        <v>0</v>
      </c>
      <c r="F80" s="79" t="s">
        <v>2032</v>
      </c>
      <c r="G80" s="80" t="s">
        <v>17</v>
      </c>
      <c r="H80" s="81">
        <v>1</v>
      </c>
      <c r="I80" s="71">
        <f>VLOOKUP(B80,'HECVAT - Full'!A:E,3,FALSE)</f>
        <v>0</v>
      </c>
      <c r="J80" s="71">
        <f>IF(VLOOKUP(Table1[[#This Row],[Column2]],'Analyst Report'!$A$41:$G$88,7,FALSE)="Yes",1,0)</f>
        <v>0</v>
      </c>
      <c r="K80" s="71">
        <f>IF(Table1[[#This Row],[Column8]]=1,10,"")</f>
        <v>10</v>
      </c>
      <c r="L80" s="71">
        <f>IF(Table1[[#This Row],[Column8]]=1,J80*K80,"")</f>
        <v>0</v>
      </c>
      <c r="M80" s="72" t="str">
        <f>VLOOKUP($B80,'Standards Crosswalk'!$A:$H,3,FALSE)</f>
        <v>CSC 2</v>
      </c>
      <c r="N80" s="72">
        <f>VLOOKUP($B80,'Standards Crosswalk'!$A:$H,4,FALSE)</f>
        <v>0</v>
      </c>
      <c r="O80" s="72">
        <f>VLOOKUP($B80,'Standards Crosswalk'!$A:$H,5,FALSE)</f>
        <v>0</v>
      </c>
      <c r="P80" s="72">
        <f>VLOOKUP($B80,'Standards Crosswalk'!$A:$H,6,FALSE)</f>
        <v>0</v>
      </c>
      <c r="Q80" s="72">
        <f>VLOOKUP($B80,'Standards Crosswalk'!$A:$H,7,FALSE)</f>
        <v>0</v>
      </c>
      <c r="R80" s="72" t="str">
        <f>VLOOKUP($B80,'Standards Crosswalk'!$A:$H,8,FALSE)</f>
        <v>CM-3, CM-4, CM-5</v>
      </c>
      <c r="S80" s="72">
        <f>VLOOKUP($B80,'Standards Crosswalk'!$A:$I,9,FALSE)</f>
        <v>0</v>
      </c>
    </row>
    <row r="81" spans="1:19" ht="43.5" thickBot="1" x14ac:dyDescent="0.25">
      <c r="A81" s="71">
        <f t="shared" si="4"/>
        <v>79</v>
      </c>
      <c r="B81" s="77" t="s">
        <v>245</v>
      </c>
      <c r="C81" s="78" t="str">
        <f>VLOOKUP(B81,'HECVAT - Full'!A:E,2,FALSE)</f>
        <v>Does the system support client customizations from one release to another?</v>
      </c>
      <c r="D81" s="71">
        <f>VLOOKUP(B81,'HECVAT - Full'!A:E,4,FALSE)</f>
        <v>0</v>
      </c>
      <c r="E81" s="79" t="b">
        <f>IF(Table1[[#This Row],[Column11]]&gt;20,TRUE,FALSE)</f>
        <v>0</v>
      </c>
      <c r="F81" s="79" t="s">
        <v>2032</v>
      </c>
      <c r="G81" s="80" t="s">
        <v>17</v>
      </c>
      <c r="H81" s="81">
        <v>1</v>
      </c>
      <c r="I81" s="71">
        <f>VLOOKUP(B81,'HECVAT - Full'!A:E,3,FALSE)</f>
        <v>0</v>
      </c>
      <c r="J81" s="71">
        <f>IF(Table1[[#This Row],[Column7]]=Table1[[#This Row],[Column9]],1,0)</f>
        <v>0</v>
      </c>
      <c r="K81" s="71">
        <f>IF(Table1[[#This Row],[Column8]]=1,15,"")</f>
        <v>15</v>
      </c>
      <c r="L81" s="71">
        <f>IF(Table1[[#This Row],[Column8]]=1,J81*K81,"")</f>
        <v>0</v>
      </c>
      <c r="M81" s="72" t="str">
        <f>VLOOKUP($B81,'Standards Crosswalk'!$A:$H,3,FALSE)</f>
        <v>CSC 10</v>
      </c>
      <c r="N81" s="72">
        <f>VLOOKUP($B81,'Standards Crosswalk'!$A:$H,4,FALSE)</f>
        <v>0</v>
      </c>
      <c r="O81" s="72">
        <f>VLOOKUP($B81,'Standards Crosswalk'!$A:$H,5,FALSE)</f>
        <v>0</v>
      </c>
      <c r="P81" s="72">
        <f>VLOOKUP($B81,'Standards Crosswalk'!$A:$H,6,FALSE)</f>
        <v>0</v>
      </c>
      <c r="Q81" s="72">
        <f>VLOOKUP($B81,'Standards Crosswalk'!$A:$H,7,FALSE)</f>
        <v>0</v>
      </c>
      <c r="R81" s="72" t="str">
        <f>VLOOKUP($B81,'Standards Crosswalk'!$A:$H,8,FALSE)</f>
        <v>CM-3, CM-4, CM-5</v>
      </c>
      <c r="S81" s="72">
        <f>VLOOKUP($B81,'Standards Crosswalk'!$A:$I,9,FALSE)</f>
        <v>0</v>
      </c>
    </row>
    <row r="82" spans="1:19" ht="129" thickBot="1" x14ac:dyDescent="0.25">
      <c r="A82" s="71">
        <f t="shared" si="4"/>
        <v>80</v>
      </c>
      <c r="B82" s="77" t="s">
        <v>246</v>
      </c>
      <c r="C82" s="78" t="str">
        <f>VLOOKUP(B82,'HECVAT - Full'!A:E,2,FALSE)</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D82" s="71">
        <f>VLOOKUP(B82,'HECVAT - Full'!A:E,4,FALSE)</f>
        <v>0</v>
      </c>
      <c r="E82" s="79" t="b">
        <f>IF(Table1[[#This Row],[Column11]]&gt;20,TRUE,FALSE)</f>
        <v>1</v>
      </c>
      <c r="F82" s="79" t="s">
        <v>2032</v>
      </c>
      <c r="G82" s="80" t="s">
        <v>17</v>
      </c>
      <c r="H82" s="81">
        <v>1</v>
      </c>
      <c r="I82" s="71">
        <f>VLOOKUP(B82,'HECVAT - Full'!A:E,3,FALSE)</f>
        <v>0</v>
      </c>
      <c r="J82" s="71">
        <f>IF(Table1[[#This Row],[Column7]]=Table1[[#This Row],[Column9]],1,0)</f>
        <v>0</v>
      </c>
      <c r="K82" s="71">
        <f>IF(Table1[[#This Row],[Column8]]=1,25,"")</f>
        <v>25</v>
      </c>
      <c r="L82" s="71">
        <f>IF(Table1[[#This Row],[Column8]]=1,J82*K82,"")</f>
        <v>0</v>
      </c>
      <c r="M82" s="72" t="str">
        <f>VLOOKUP($B82,'Standards Crosswalk'!$A:$H,3,FALSE)</f>
        <v>CSC 2</v>
      </c>
      <c r="N82" s="72">
        <f>VLOOKUP($B82,'Standards Crosswalk'!$A:$H,4,FALSE)</f>
        <v>0</v>
      </c>
      <c r="O82" s="72" t="str">
        <f>VLOOKUP($B82,'Standards Crosswalk'!$A:$H,5,FALSE)</f>
        <v>12.1.1</v>
      </c>
      <c r="P82" s="72" t="str">
        <f>VLOOKUP($B82,'Standards Crosswalk'!$A:$H,6,FALSE)</f>
        <v>PR.DS-6</v>
      </c>
      <c r="Q82" s="72" t="str">
        <f>VLOOKUP($B82,'Standards Crosswalk'!$A:$H,7,FALSE)</f>
        <v>3.4.4</v>
      </c>
      <c r="R82" s="72" t="str">
        <f>VLOOKUP($B82,'Standards Crosswalk'!$A:$H,8,FALSE)</f>
        <v>CM-3, CM-4, CM-5</v>
      </c>
      <c r="S82" s="72">
        <f>VLOOKUP($B82,'Standards Crosswalk'!$A:$I,9,FALSE)</f>
        <v>12.1</v>
      </c>
    </row>
    <row r="83" spans="1:19" ht="43.5" thickBot="1" x14ac:dyDescent="0.25">
      <c r="A83" s="71">
        <f t="shared" si="4"/>
        <v>81</v>
      </c>
      <c r="B83" s="77" t="s">
        <v>247</v>
      </c>
      <c r="C83" s="78" t="str">
        <f>VLOOKUP(B83,'HECVAT - Full'!A:E,2,FALSE)</f>
        <v>Do you have a release schedule for product updates?</v>
      </c>
      <c r="D83" s="71">
        <f>VLOOKUP(B83,'HECVAT - Full'!A:E,4,FALSE)</f>
        <v>0</v>
      </c>
      <c r="E83" s="79" t="b">
        <f>IF(Table1[[#This Row],[Column11]]&gt;20,TRUE,FALSE)</f>
        <v>0</v>
      </c>
      <c r="F83" s="79" t="s">
        <v>2032</v>
      </c>
      <c r="G83" s="80" t="s">
        <v>17</v>
      </c>
      <c r="H83" s="81">
        <v>1</v>
      </c>
      <c r="I83" s="71">
        <f>VLOOKUP(B83,'HECVAT - Full'!A:E,3,FALSE)</f>
        <v>0</v>
      </c>
      <c r="J83" s="71">
        <f>IF(Table1[[#This Row],[Column7]]=Table1[[#This Row],[Column9]],1,0)</f>
        <v>0</v>
      </c>
      <c r="K83" s="71">
        <f>IF(Table1[[#This Row],[Column8]]=1,15,"")</f>
        <v>15</v>
      </c>
      <c r="L83" s="71">
        <f>IF(Table1[[#This Row],[Column8]]=1,J83*K83,"")</f>
        <v>0</v>
      </c>
      <c r="M83" s="72" t="str">
        <f>VLOOKUP($B83,'Standards Crosswalk'!$A:$H,3,FALSE)</f>
        <v>CSC 10</v>
      </c>
      <c r="N83" s="72">
        <f>VLOOKUP($B83,'Standards Crosswalk'!$A:$H,4,FALSE)</f>
        <v>0</v>
      </c>
      <c r="O83" s="72">
        <f>VLOOKUP($B83,'Standards Crosswalk'!$A:$H,5,FALSE)</f>
        <v>0</v>
      </c>
      <c r="P83" s="72">
        <f>VLOOKUP($B83,'Standards Crosswalk'!$A:$H,6,FALSE)</f>
        <v>0</v>
      </c>
      <c r="Q83" s="72" t="str">
        <f>VLOOKUP($B83,'Standards Crosswalk'!$A:$H,7,FALSE)</f>
        <v>3.14.4</v>
      </c>
      <c r="R83" s="72" t="str">
        <f>VLOOKUP($B83,'Standards Crosswalk'!$A:$H,8,FALSE)</f>
        <v>CM-3, CM-4, CM-5</v>
      </c>
      <c r="S83" s="72">
        <f>VLOOKUP($B83,'Standards Crosswalk'!$A:$I,9,FALSE)</f>
        <v>0</v>
      </c>
    </row>
    <row r="84" spans="1:19" ht="57.75" thickBot="1" x14ac:dyDescent="0.25">
      <c r="A84" s="71">
        <f t="shared" si="4"/>
        <v>82</v>
      </c>
      <c r="B84" s="77" t="s">
        <v>248</v>
      </c>
      <c r="C84" s="78" t="str">
        <f>VLOOKUP(B84,'HECVAT - Full'!A:E,2,FALSE)</f>
        <v>Do you have a technology roadmap, for the next 2 years, for enhancements and bug fixes for the product/service being assessed?</v>
      </c>
      <c r="D84" s="71">
        <f>VLOOKUP(B84,'HECVAT - Full'!A:E,4,FALSE)</f>
        <v>0</v>
      </c>
      <c r="E84" s="79" t="b">
        <f>IF(Table1[[#This Row],[Column11]]&gt;20,TRUE,FALSE)</f>
        <v>0</v>
      </c>
      <c r="F84" s="79" t="s">
        <v>2032</v>
      </c>
      <c r="G84" s="80" t="s">
        <v>17</v>
      </c>
      <c r="H84" s="81">
        <v>1</v>
      </c>
      <c r="I84" s="71">
        <f>VLOOKUP(B84,'HECVAT - Full'!A:E,3,FALSE)</f>
        <v>0</v>
      </c>
      <c r="J84" s="71">
        <f>IF(Table1[[#This Row],[Column7]]=Table1[[#This Row],[Column9]],1,0)</f>
        <v>0</v>
      </c>
      <c r="K84" s="71">
        <f>IF(Table1[[#This Row],[Column8]]=1,15,"")</f>
        <v>15</v>
      </c>
      <c r="L84" s="71">
        <f>IF(Table1[[#This Row],[Column8]]=1,J84*K84,"")</f>
        <v>0</v>
      </c>
      <c r="M84" s="72" t="str">
        <f>VLOOKUP($B84,'Standards Crosswalk'!$A:$H,3,FALSE)</f>
        <v>CSC 2</v>
      </c>
      <c r="N84" s="72">
        <f>VLOOKUP($B84,'Standards Crosswalk'!$A:$H,4,FALSE)</f>
        <v>0</v>
      </c>
      <c r="O84" s="72">
        <f>VLOOKUP($B84,'Standards Crosswalk'!$A:$H,5,FALSE)</f>
        <v>0</v>
      </c>
      <c r="P84" s="72">
        <f>VLOOKUP($B84,'Standards Crosswalk'!$A:$H,6,FALSE)</f>
        <v>0</v>
      </c>
      <c r="Q84" s="72">
        <f>VLOOKUP($B84,'Standards Crosswalk'!$A:$H,7,FALSE)</f>
        <v>0</v>
      </c>
      <c r="R84" s="72" t="str">
        <f>VLOOKUP($B84,'Standards Crosswalk'!$A:$H,8,FALSE)</f>
        <v>CM-3, CM-4, CM-5</v>
      </c>
      <c r="S84" s="72">
        <f>VLOOKUP($B84,'Standards Crosswalk'!$A:$I,9,FALSE)</f>
        <v>0</v>
      </c>
    </row>
    <row r="85" spans="1:19" ht="43.5" thickBot="1" x14ac:dyDescent="0.25">
      <c r="A85" s="71">
        <f t="shared" si="4"/>
        <v>83</v>
      </c>
      <c r="B85" s="77" t="s">
        <v>249</v>
      </c>
      <c r="C85" s="78" t="str">
        <f>VLOOKUP(B85,'HECVAT - Full'!A:E,2,FALSE)</f>
        <v>Is Institution involvement (i.e. technically or organizationally) required during product updates?</v>
      </c>
      <c r="D85" s="71">
        <f>VLOOKUP(B85,'HECVAT - Full'!A:E,4,FALSE)</f>
        <v>0</v>
      </c>
      <c r="E85" s="79" t="b">
        <f>IF(Table1[[#This Row],[Column11]]&gt;20,TRUE,FALSE)</f>
        <v>0</v>
      </c>
      <c r="F85" s="79" t="s">
        <v>2032</v>
      </c>
      <c r="G85" s="80" t="s">
        <v>17</v>
      </c>
      <c r="H85" s="81">
        <v>1</v>
      </c>
      <c r="I85" s="71">
        <f>VLOOKUP(B85,'HECVAT - Full'!A:E,3,FALSE)</f>
        <v>0</v>
      </c>
      <c r="J85" s="71">
        <f>IF(Table1[[#This Row],[Column7]]=Table1[[#This Row],[Column9]],1,0)</f>
        <v>0</v>
      </c>
      <c r="K85" s="71">
        <f>IF(Table1[[#This Row],[Column8]]=1,15,"")</f>
        <v>15</v>
      </c>
      <c r="L85" s="71">
        <f>IF(Table1[[#This Row],[Column8]]=1,J85*K85,"")</f>
        <v>0</v>
      </c>
      <c r="M85" s="72">
        <f>VLOOKUP($B85,'Standards Crosswalk'!$A:$H,3,FALSE)</f>
        <v>0</v>
      </c>
      <c r="N85" s="72">
        <f>VLOOKUP($B85,'Standards Crosswalk'!$A:$H,4,FALSE)</f>
        <v>0</v>
      </c>
      <c r="O85" s="72">
        <f>VLOOKUP($B85,'Standards Crosswalk'!$A:$H,5,FALSE)</f>
        <v>0</v>
      </c>
      <c r="P85" s="72">
        <f>VLOOKUP($B85,'Standards Crosswalk'!$A:$H,6,FALSE)</f>
        <v>0</v>
      </c>
      <c r="Q85" s="72">
        <f>VLOOKUP($B85,'Standards Crosswalk'!$A:$H,7,FALSE)</f>
        <v>0</v>
      </c>
      <c r="R85" s="72" t="str">
        <f>VLOOKUP($B85,'Standards Crosswalk'!$A:$H,8,FALSE)</f>
        <v>CM-3, CM-4, CM-5</v>
      </c>
      <c r="S85" s="72">
        <f>VLOOKUP($B85,'Standards Crosswalk'!$A:$I,9,FALSE)</f>
        <v>0</v>
      </c>
    </row>
    <row r="86" spans="1:19" ht="57.75" thickBot="1" x14ac:dyDescent="0.25">
      <c r="A86" s="71">
        <f t="shared" si="4"/>
        <v>84</v>
      </c>
      <c r="B86" s="77" t="s">
        <v>250</v>
      </c>
      <c r="C86" s="78" t="str">
        <f>VLOOKUP(B86,'HECVAT - Full'!A:E,2,FALSE)</f>
        <v>Do you have policy and procedure, currently implemented, managing how critical patches are applied to all systems and applications?</v>
      </c>
      <c r="D86" s="71">
        <f>VLOOKUP(B86,'HECVAT - Full'!A:E,4,FALSE)</f>
        <v>0</v>
      </c>
      <c r="E86" s="79" t="b">
        <f>IF(Table1[[#This Row],[Column11]]&gt;20,TRUE,FALSE)</f>
        <v>0</v>
      </c>
      <c r="F86" s="79" t="s">
        <v>2032</v>
      </c>
      <c r="G86" s="80" t="s">
        <v>17</v>
      </c>
      <c r="H86" s="81">
        <v>1</v>
      </c>
      <c r="I86" s="71">
        <f>VLOOKUP(B86,'HECVAT - Full'!A:E,3,FALSE)</f>
        <v>0</v>
      </c>
      <c r="J86" s="71">
        <f>IF(Table1[[#This Row],[Column7]]=Table1[[#This Row],[Column9]],1,0)</f>
        <v>0</v>
      </c>
      <c r="K86" s="71">
        <f>IF(Table1[[#This Row],[Column8]]=1,20,"")</f>
        <v>20</v>
      </c>
      <c r="L86" s="71">
        <f>IF(Table1[[#This Row],[Column8]]=1,J86*K86,"")</f>
        <v>0</v>
      </c>
      <c r="M86" s="72" t="str">
        <f>VLOOKUP($B86,'Standards Crosswalk'!$A:$H,3,FALSE)</f>
        <v>CSC 2</v>
      </c>
      <c r="N86" s="72">
        <f>VLOOKUP($B86,'Standards Crosswalk'!$A:$H,4,FALSE)</f>
        <v>0</v>
      </c>
      <c r="O86" s="72" t="str">
        <f>VLOOKUP($B86,'Standards Crosswalk'!$A:$H,5,FALSE)</f>
        <v>12.6.1</v>
      </c>
      <c r="P86" s="72">
        <f>VLOOKUP($B86,'Standards Crosswalk'!$A:$H,6,FALSE)</f>
        <v>0</v>
      </c>
      <c r="Q86" s="72">
        <f>VLOOKUP($B86,'Standards Crosswalk'!$A:$H,7,FALSE)</f>
        <v>0</v>
      </c>
      <c r="R86" s="72" t="str">
        <f>VLOOKUP($B86,'Standards Crosswalk'!$A:$H,8,FALSE)</f>
        <v>CM-3, CM-4, CM-5</v>
      </c>
      <c r="S86" s="72" t="str">
        <f>VLOOKUP($B86,'Standards Crosswalk'!$A:$I,9,FALSE)</f>
        <v>12.1, 12.8, 6.2</v>
      </c>
    </row>
    <row r="87" spans="1:19" ht="57.75" thickBot="1" x14ac:dyDescent="0.25">
      <c r="A87" s="71">
        <f t="shared" si="4"/>
        <v>85</v>
      </c>
      <c r="B87" s="77" t="s">
        <v>251</v>
      </c>
      <c r="C87" s="78" t="str">
        <f>VLOOKUP(B87,'HECVAT - Full'!A:E,2,FALSE)</f>
        <v>Do you have policy and procedure, currently implemented, guiding how security risks are mitigated until patches can be applied?</v>
      </c>
      <c r="D87" s="71">
        <f>VLOOKUP(B87,'HECVAT - Full'!A:E,4,FALSE)</f>
        <v>0</v>
      </c>
      <c r="E87" s="79" t="b">
        <f>IF(Table1[[#This Row],[Column11]]&gt;20,TRUE,FALSE)</f>
        <v>0</v>
      </c>
      <c r="F87" s="79" t="s">
        <v>2032</v>
      </c>
      <c r="G87" s="80" t="s">
        <v>17</v>
      </c>
      <c r="H87" s="81">
        <v>1</v>
      </c>
      <c r="I87" s="71">
        <f>VLOOKUP(B87,'HECVAT - Full'!A:E,3,FALSE)</f>
        <v>0</v>
      </c>
      <c r="J87" s="71">
        <f>IF(Table1[[#This Row],[Column7]]=Table1[[#This Row],[Column9]],1,0)</f>
        <v>0</v>
      </c>
      <c r="K87" s="71">
        <f>IF(Table1[[#This Row],[Column8]]=1,20,"")</f>
        <v>20</v>
      </c>
      <c r="L87" s="71">
        <f>IF(Table1[[#This Row],[Column8]]=1,J87*K87,"")</f>
        <v>0</v>
      </c>
      <c r="M87" s="72" t="str">
        <f>VLOOKUP($B87,'Standards Crosswalk'!$A:$H,3,FALSE)</f>
        <v>CSC 13</v>
      </c>
      <c r="N87" s="72" t="str">
        <f>VLOOKUP($B87,'Standards Crosswalk'!$A:$H,4,FALSE)</f>
        <v>§164.308(a)(1)(ii)(B)</v>
      </c>
      <c r="O87" s="72" t="str">
        <f>VLOOKUP($B87,'Standards Crosswalk'!$A:$H,5,FALSE)</f>
        <v>12.6.1</v>
      </c>
      <c r="P87" s="72">
        <f>VLOOKUP($B87,'Standards Crosswalk'!$A:$H,6,FALSE)</f>
        <v>0</v>
      </c>
      <c r="Q87" s="72">
        <f>VLOOKUP($B87,'Standards Crosswalk'!$A:$H,7,FALSE)</f>
        <v>0</v>
      </c>
      <c r="R87" s="72" t="str">
        <f>VLOOKUP($B87,'Standards Crosswalk'!$A:$H,8,FALSE)</f>
        <v>CM-3, CM-4, CM-5</v>
      </c>
      <c r="S87" s="72" t="str">
        <f>VLOOKUP($B87,'Standards Crosswalk'!$A:$I,9,FALSE)</f>
        <v>12.2, 12.8</v>
      </c>
    </row>
    <row r="88" spans="1:19" ht="57.75" thickBot="1" x14ac:dyDescent="0.25">
      <c r="A88" s="71">
        <f t="shared" si="4"/>
        <v>86</v>
      </c>
      <c r="B88" s="77" t="s">
        <v>252</v>
      </c>
      <c r="C88" s="78" t="str">
        <f>VLOOKUP(B88,'HECVAT - Full'!A:E,2,FALSE)</f>
        <v>Are upgrades or system changes installed during off-peak hours or in a manner that does not impact the customer?</v>
      </c>
      <c r="D88" s="71">
        <f>VLOOKUP(B88,'HECVAT - Full'!A:E,4,FALSE)</f>
        <v>0</v>
      </c>
      <c r="E88" s="79" t="b">
        <f>IF(Table1[[#This Row],[Column11]]&gt;20,TRUE,FALSE)</f>
        <v>0</v>
      </c>
      <c r="F88" s="79" t="s">
        <v>2032</v>
      </c>
      <c r="G88" s="80" t="s">
        <v>17</v>
      </c>
      <c r="H88" s="81">
        <v>1</v>
      </c>
      <c r="I88" s="71">
        <f>VLOOKUP(B88,'HECVAT - Full'!A:E,3,FALSE)</f>
        <v>0</v>
      </c>
      <c r="J88" s="71">
        <f>IF(Table1[[#This Row],[Column7]]=Table1[[#This Row],[Column9]],1,0)</f>
        <v>0</v>
      </c>
      <c r="K88" s="71">
        <f>IF(Table1[[#This Row],[Column8]]=1,15,"")</f>
        <v>15</v>
      </c>
      <c r="L88" s="71">
        <f>IF(Table1[[#This Row],[Column8]]=1,J88*K88,"")</f>
        <v>0</v>
      </c>
      <c r="M88" s="72" t="str">
        <f>VLOOKUP($B88,'Standards Crosswalk'!$A:$H,3,FALSE)</f>
        <v>CSC 10</v>
      </c>
      <c r="N88" s="72">
        <f>VLOOKUP($B88,'Standards Crosswalk'!$A:$H,4,FALSE)</f>
        <v>0</v>
      </c>
      <c r="O88" s="72">
        <f>VLOOKUP($B88,'Standards Crosswalk'!$A:$H,5,FALSE)</f>
        <v>0</v>
      </c>
      <c r="P88" s="72">
        <f>VLOOKUP($B88,'Standards Crosswalk'!$A:$H,6,FALSE)</f>
        <v>0</v>
      </c>
      <c r="Q88" s="72">
        <f>VLOOKUP($B88,'Standards Crosswalk'!$A:$H,7,FALSE)</f>
        <v>0</v>
      </c>
      <c r="R88" s="72" t="str">
        <f>VLOOKUP($B88,'Standards Crosswalk'!$A:$H,8,FALSE)</f>
        <v>CM-3, CM-4, CM-5</v>
      </c>
      <c r="S88" s="72" t="str">
        <f>VLOOKUP($B88,'Standards Crosswalk'!$A:$I,9,FALSE)</f>
        <v>12.1, 12.2, 12.8</v>
      </c>
    </row>
    <row r="89" spans="1:19" ht="57.75" thickBot="1" x14ac:dyDescent="0.25">
      <c r="A89" s="71">
        <f t="shared" si="4"/>
        <v>87</v>
      </c>
      <c r="B89" s="77" t="s">
        <v>253</v>
      </c>
      <c r="C89" s="78" t="str">
        <f>VLOOKUP(B89,'HECVAT - Full'!A:E,2,FALSE)</f>
        <v>Do procedures exist to provide that emergency changes are documented and authorized (including after the fact approval)?</v>
      </c>
      <c r="D89" s="71">
        <f>VLOOKUP(B89,'HECVAT - Full'!A:E,4,FALSE)</f>
        <v>0</v>
      </c>
      <c r="E89" s="79" t="b">
        <f>IF(Table1[[#This Row],[Column11]]&gt;20,TRUE,FALSE)</f>
        <v>0</v>
      </c>
      <c r="F89" s="79" t="s">
        <v>2032</v>
      </c>
      <c r="G89" s="80" t="s">
        <v>17</v>
      </c>
      <c r="H89" s="81">
        <v>1</v>
      </c>
      <c r="I89" s="71">
        <f>VLOOKUP(B89,'HECVAT - Full'!A:E,3,FALSE)</f>
        <v>0</v>
      </c>
      <c r="J89" s="71">
        <f>IF(Table1[[#This Row],[Column7]]=Table1[[#This Row],[Column9]],1,0)</f>
        <v>0</v>
      </c>
      <c r="K89" s="71">
        <f>IF(Table1[[#This Row],[Column8]]=1,15,"")</f>
        <v>15</v>
      </c>
      <c r="L89" s="71">
        <f>IF(Table1[[#This Row],[Column8]]=1,J89*K89,"")</f>
        <v>0</v>
      </c>
      <c r="M89" s="72" t="str">
        <f>VLOOKUP($B89,'Standards Crosswalk'!$A:$H,3,FALSE)</f>
        <v>CSC 10</v>
      </c>
      <c r="N89" s="72">
        <f>VLOOKUP($B89,'Standards Crosswalk'!$A:$H,4,FALSE)</f>
        <v>0</v>
      </c>
      <c r="O89" s="72" t="str">
        <f>VLOOKUP($B89,'Standards Crosswalk'!$A:$H,5,FALSE)</f>
        <v>12.1.2</v>
      </c>
      <c r="P89" s="72" t="str">
        <f>VLOOKUP($B89,'Standards Crosswalk'!$A:$H,6,FALSE)</f>
        <v>PR.IP-3</v>
      </c>
      <c r="Q89" s="72">
        <f>VLOOKUP($B89,'Standards Crosswalk'!$A:$H,7,FALSE)</f>
        <v>0</v>
      </c>
      <c r="R89" s="72" t="str">
        <f>VLOOKUP($B89,'Standards Crosswalk'!$A:$H,8,FALSE)</f>
        <v>CM-3, CM-4, CM-5</v>
      </c>
      <c r="S89" s="72" t="str">
        <f>VLOOKUP($B89,'Standards Crosswalk'!$A:$I,9,FALSE)</f>
        <v>12.10, 12.8, 6.4</v>
      </c>
    </row>
    <row r="90" spans="1:19" ht="43.5" thickBot="1" x14ac:dyDescent="0.25">
      <c r="A90" s="71">
        <f t="shared" si="4"/>
        <v>88</v>
      </c>
      <c r="B90" s="77" t="s">
        <v>254</v>
      </c>
      <c r="C90" s="78" t="str">
        <f>VLOOKUP(B90,'HECVAT - Full'!A:E,2,FALSE)</f>
        <v>Do you physically and logically separate Institution's data from that of other customers?</v>
      </c>
      <c r="D90" s="71">
        <f>VLOOKUP(B90,'HECVAT - Full'!A:E,4,FALSE)</f>
        <v>0</v>
      </c>
      <c r="E90" s="79" t="b">
        <f>IF(Table1[[#This Row],[Column11]]&gt;20,TRUE,FALSE)</f>
        <v>1</v>
      </c>
      <c r="F90" s="79" t="s">
        <v>2033</v>
      </c>
      <c r="G90" s="98" t="s">
        <v>17</v>
      </c>
      <c r="H90" s="81">
        <v>1</v>
      </c>
      <c r="I90" s="71">
        <f>VLOOKUP(B90,'HECVAT - Full'!A:E,3,FALSE)</f>
        <v>0</v>
      </c>
      <c r="J90" s="71">
        <f>IF(Table1[[#This Row],[Column7]]=Table1[[#This Row],[Column9]],1,0)</f>
        <v>0</v>
      </c>
      <c r="K90" s="71">
        <f>IF(Table1[[#This Row],[Column8]]=1,25,"")</f>
        <v>25</v>
      </c>
      <c r="L90" s="71">
        <f>IF(Table1[[#This Row],[Column8]]=1,J90*K90,"")</f>
        <v>0</v>
      </c>
      <c r="M90" s="72" t="str">
        <f>VLOOKUP($B90,'Standards Crosswalk'!$A:$H,3,FALSE)</f>
        <v>CSC 12</v>
      </c>
      <c r="N90" s="72">
        <f>VLOOKUP($B90,'Standards Crosswalk'!$A:$H,4,FALSE)</f>
        <v>0</v>
      </c>
      <c r="O90" s="72">
        <f>VLOOKUP($B90,'Standards Crosswalk'!$A:$H,5,FALSE)</f>
        <v>0</v>
      </c>
      <c r="P90" s="72" t="str">
        <f>VLOOKUP($B90,'Standards Crosswalk'!$A:$H,6,FALSE)</f>
        <v>PR.AC-2, PR.IP-5</v>
      </c>
      <c r="Q90" s="72" t="str">
        <f>VLOOKUP($B90,'Standards Crosswalk'!$A:$H,7,FALSE)</f>
        <v>3.1.3, 3.8.1</v>
      </c>
      <c r="R90" s="72" t="str">
        <f>VLOOKUP($B90,'Standards Crosswalk'!$A:$H,8,FALSE)</f>
        <v>AC-4, MP-2, MP-4</v>
      </c>
      <c r="S90" s="72">
        <f>VLOOKUP($B90,'Standards Crosswalk'!$A:$I,9,FALSE)</f>
        <v>12.8</v>
      </c>
    </row>
    <row r="91" spans="1:19" ht="72" thickBot="1" x14ac:dyDescent="0.25">
      <c r="A91" s="71">
        <f t="shared" si="4"/>
        <v>89</v>
      </c>
      <c r="B91" s="77" t="s">
        <v>255</v>
      </c>
      <c r="C91" s="78" t="str">
        <f>VLOOKUP(B91,'HECVAT - Full'!A:E,2,FALSE)</f>
        <v>Will Institution's data be stored on any devices (database servers, file servers, SAN, NAS, …) configured with non-RFC 1918/4193 (i.e. publicly routable) IP addresses?</v>
      </c>
      <c r="D91" s="71">
        <f>VLOOKUP(B91,'HECVAT - Full'!A:E,4,FALSE)</f>
        <v>0</v>
      </c>
      <c r="E91" s="79" t="b">
        <f>IF(Table1[[#This Row],[Column11]]&gt;20,TRUE,FALSE)</f>
        <v>0</v>
      </c>
      <c r="F91" s="79" t="s">
        <v>2033</v>
      </c>
      <c r="G91" s="98" t="s">
        <v>17</v>
      </c>
      <c r="H91" s="81">
        <v>1</v>
      </c>
      <c r="I91" s="71">
        <f>VLOOKUP(B91,'HECVAT - Full'!A:E,3,FALSE)</f>
        <v>0</v>
      </c>
      <c r="J91" s="71">
        <f>IF(Table1[[#This Row],[Column7]]=Table1[[#This Row],[Column9]],1,0)</f>
        <v>0</v>
      </c>
      <c r="K91" s="71">
        <f>IF(Table1[[#This Row],[Column8]]=1,15,"")</f>
        <v>15</v>
      </c>
      <c r="L91" s="71">
        <f>IF(Table1[[#This Row],[Column8]]=1,J91*K91,"")</f>
        <v>0</v>
      </c>
      <c r="M91" s="72" t="str">
        <f>VLOOKUP($B91,'Standards Crosswalk'!$A:$H,3,FALSE)</f>
        <v>CSC 12</v>
      </c>
      <c r="N91" s="72">
        <f>VLOOKUP($B91,'Standards Crosswalk'!$A:$H,4,FALSE)</f>
        <v>0</v>
      </c>
      <c r="O91" s="72">
        <f>VLOOKUP($B91,'Standards Crosswalk'!$A:$H,5,FALSE)</f>
        <v>0</v>
      </c>
      <c r="P91" s="72" t="str">
        <f>VLOOKUP($B91,'Standards Crosswalk'!$A:$H,6,FALSE)</f>
        <v>PR.AC-2, PR.IP-5</v>
      </c>
      <c r="Q91" s="72" t="str">
        <f>VLOOKUP($B91,'Standards Crosswalk'!$A:$H,7,FALSE)</f>
        <v>3.1.22</v>
      </c>
      <c r="R91" s="72" t="str">
        <f>VLOOKUP($B91,'Standards Crosswalk'!$A:$H,8,FALSE)</f>
        <v>AC-22</v>
      </c>
      <c r="S91" s="72" t="str">
        <f>VLOOKUP($B91,'Standards Crosswalk'!$A:$I,9,FALSE)</f>
        <v>12.8, 9.x</v>
      </c>
    </row>
    <row r="92" spans="1:19" ht="29.25" thickBot="1" x14ac:dyDescent="0.25">
      <c r="A92" s="71">
        <f t="shared" si="4"/>
        <v>90</v>
      </c>
      <c r="B92" s="77" t="s">
        <v>256</v>
      </c>
      <c r="C92" s="78" t="str">
        <f>VLOOKUP(B92,'HECVAT - Full'!A:E,2,FALSE)</f>
        <v>Is sensitive data encrypted in transport? (e.g. system-to-client)</v>
      </c>
      <c r="D92" s="71">
        <f>VLOOKUP(B92,'HECVAT - Full'!A:E,4,FALSE)</f>
        <v>0</v>
      </c>
      <c r="E92" s="79" t="b">
        <f>IF(Table1[[#This Row],[Column11]]&gt;20,TRUE,FALSE)</f>
        <v>1</v>
      </c>
      <c r="F92" s="79" t="s">
        <v>2033</v>
      </c>
      <c r="G92" s="98" t="s">
        <v>17</v>
      </c>
      <c r="H92" s="81">
        <v>1</v>
      </c>
      <c r="I92" s="71">
        <f>VLOOKUP(B92,'HECVAT - Full'!A:E,3,FALSE)</f>
        <v>0</v>
      </c>
      <c r="J92" s="71">
        <f>IF(Table1[[#This Row],[Column7]]=Table1[[#This Row],[Column9]],1,0)</f>
        <v>0</v>
      </c>
      <c r="K92" s="71">
        <f>IF(Table1[[#This Row],[Column8]]=1,25,"")</f>
        <v>25</v>
      </c>
      <c r="L92" s="71">
        <f>IF(Table1[[#This Row],[Column8]]=1,J92*K92,"")</f>
        <v>0</v>
      </c>
      <c r="M92" s="72" t="str">
        <f>VLOOKUP($B92,'Standards Crosswalk'!$A:$H,3,FALSE)</f>
        <v>CSC 13</v>
      </c>
      <c r="N92" s="72">
        <f>VLOOKUP($B92,'Standards Crosswalk'!$A:$H,4,FALSE)</f>
        <v>0</v>
      </c>
      <c r="O92" s="72" t="str">
        <f>VLOOKUP($B92,'Standards Crosswalk'!$A:$H,5,FALSE)</f>
        <v>10.1.1</v>
      </c>
      <c r="P92" s="72" t="str">
        <f>VLOOKUP($B92,'Standards Crosswalk'!$A:$H,6,FALSE)</f>
        <v>PR.DS-2</v>
      </c>
      <c r="Q92" s="72">
        <f>VLOOKUP($B92,'Standards Crosswalk'!$A:$H,7,FALSE)</f>
        <v>0</v>
      </c>
      <c r="R92" s="72">
        <f>VLOOKUP($B92,'Standards Crosswalk'!$A:$H,8,FALSE)</f>
        <v>0</v>
      </c>
      <c r="S92" s="72" t="str">
        <f>VLOOKUP($B92,'Standards Crosswalk'!$A:$I,9,FALSE)</f>
        <v>12.8, 4.1</v>
      </c>
    </row>
    <row r="93" spans="1:19" ht="43.5" thickBot="1" x14ac:dyDescent="0.25">
      <c r="A93" s="71">
        <f t="shared" si="4"/>
        <v>91</v>
      </c>
      <c r="B93" s="77" t="s">
        <v>257</v>
      </c>
      <c r="C93" s="78" t="str">
        <f>VLOOKUP(B93,'HECVAT - Full'!A:E,2,FALSE)</f>
        <v>Is sensitive data encrypted in storage (e.g. disk encryption, at-rest)?</v>
      </c>
      <c r="D93" s="71">
        <f>VLOOKUP(B93,'HECVAT - Full'!A:E,4,FALSE)</f>
        <v>0</v>
      </c>
      <c r="E93" s="79" t="b">
        <f>IF(Table1[[#This Row],[Column11]]&gt;20,TRUE,FALSE)</f>
        <v>1</v>
      </c>
      <c r="F93" s="79" t="s">
        <v>2033</v>
      </c>
      <c r="G93" s="98" t="s">
        <v>17</v>
      </c>
      <c r="H93" s="81">
        <v>1</v>
      </c>
      <c r="I93" s="71">
        <f>VLOOKUP(B93,'HECVAT - Full'!A:E,3,FALSE)</f>
        <v>0</v>
      </c>
      <c r="J93" s="71">
        <f>IF(Table1[[#This Row],[Column7]]=Table1[[#This Row],[Column9]],1,0)</f>
        <v>0</v>
      </c>
      <c r="K93" s="71">
        <f>IF(Table1[[#This Row],[Column8]]=1,40,"")</f>
        <v>40</v>
      </c>
      <c r="L93" s="71">
        <f>IF(Table1[[#This Row],[Column8]]=1,J93*K93,"")</f>
        <v>0</v>
      </c>
      <c r="M93" s="72" t="str">
        <f>VLOOKUP($B93,'Standards Crosswalk'!$A:$H,3,FALSE)</f>
        <v>CSC 13</v>
      </c>
      <c r="N93" s="72">
        <f>VLOOKUP($B93,'Standards Crosswalk'!$A:$H,4,FALSE)</f>
        <v>0</v>
      </c>
      <c r="O93" s="72" t="str">
        <f>VLOOKUP($B93,'Standards Crosswalk'!$A:$H,5,FALSE)</f>
        <v>8.2.3, 10.1.1</v>
      </c>
      <c r="P93" s="72" t="str">
        <f>VLOOKUP($B93,'Standards Crosswalk'!$A:$H,6,FALSE)</f>
        <v>PR.DS-1</v>
      </c>
      <c r="Q93" s="72" t="str">
        <f>VLOOKUP($B93,'Standards Crosswalk'!$A:$H,7,FALSE)</f>
        <v>3.1.19, 3.8.1</v>
      </c>
      <c r="R93" s="72" t="str">
        <f>VLOOKUP($B93,'Standards Crosswalk'!$A:$H,8,FALSE)</f>
        <v>MP-2, AC-19(5)</v>
      </c>
      <c r="S93" s="72">
        <f>VLOOKUP($B93,'Standards Crosswalk'!$A:$I,9,FALSE)</f>
        <v>12.8</v>
      </c>
    </row>
    <row r="94" spans="1:19" ht="72" thickBot="1" x14ac:dyDescent="0.25">
      <c r="A94" s="71">
        <f t="shared" si="4"/>
        <v>92</v>
      </c>
      <c r="B94" s="77" t="s">
        <v>258</v>
      </c>
      <c r="C94" s="78" t="str">
        <f>VLOOKUP(B94,'HECVAT - Full'!A:E,2,FALSE)</f>
        <v>Do you employ or allow any cryptographic modules that do not conform to the Federal Information Processing Standards (FIPS PUB 140-2)?</v>
      </c>
      <c r="D94" s="71">
        <f>VLOOKUP(B94,'HECVAT - Full'!A:E,4,FALSE)</f>
        <v>0</v>
      </c>
      <c r="E94" s="79" t="b">
        <f>IF(Table1[[#This Row],[Column11]]&gt;20,TRUE,FALSE)</f>
        <v>1</v>
      </c>
      <c r="F94" s="79" t="s">
        <v>2033</v>
      </c>
      <c r="G94" s="98" t="s">
        <v>20</v>
      </c>
      <c r="H94" s="81">
        <v>1</v>
      </c>
      <c r="I94" s="71">
        <f>VLOOKUP(B94,'HECVAT - Full'!A:E,3,FALSE)</f>
        <v>0</v>
      </c>
      <c r="J94" s="71">
        <f>IF(Table1[[#This Row],[Column7]]=Table1[[#This Row],[Column9]],1,0)</f>
        <v>0</v>
      </c>
      <c r="K94" s="71">
        <f>IF(Table1[[#This Row],[Column8]]=1,25,"")</f>
        <v>25</v>
      </c>
      <c r="L94" s="71">
        <f>IF(Table1[[#This Row],[Column8]]=1,J94*K94,"")</f>
        <v>0</v>
      </c>
      <c r="M94" s="72" t="str">
        <f>VLOOKUP($B94,'Standards Crosswalk'!$A:$H,3,FALSE)</f>
        <v>CSC 13</v>
      </c>
      <c r="N94" s="72">
        <f>VLOOKUP($B94,'Standards Crosswalk'!$A:$H,4,FALSE)</f>
        <v>0</v>
      </c>
      <c r="O94" s="72" t="str">
        <f>VLOOKUP($B94,'Standards Crosswalk'!$A:$H,5,FALSE)</f>
        <v>8.2.3, 10.1.1</v>
      </c>
      <c r="P94" s="72">
        <f>VLOOKUP($B94,'Standards Crosswalk'!$A:$H,6,FALSE)</f>
        <v>0</v>
      </c>
      <c r="Q94" s="72" t="str">
        <f>VLOOKUP($B94,'Standards Crosswalk'!$A:$H,7,FALSE)</f>
        <v>3.8.6, 3.13.11</v>
      </c>
      <c r="R94" s="72">
        <f>VLOOKUP($B94,'Standards Crosswalk'!$A:$H,8,FALSE)</f>
        <v>0</v>
      </c>
      <c r="S94" s="72">
        <f>VLOOKUP($B94,'Standards Crosswalk'!$A:$I,9,FALSE)</f>
        <v>12.1</v>
      </c>
    </row>
    <row r="95" spans="1:19" ht="86.25" thickBot="1" x14ac:dyDescent="0.25">
      <c r="A95" s="71">
        <f t="shared" si="4"/>
        <v>93</v>
      </c>
      <c r="B95" s="77" t="s">
        <v>259</v>
      </c>
      <c r="C95" s="78" t="str">
        <f>VLOOKUP(B95,'HECVAT - Full'!A:E,2,FALSE)</f>
        <v>Does your system employ encryption technologies when transmitting sensitive information over TCP/IP networks (e.g., SSH, SSL/TLS, VPN)? (e.g. system-to-system and system-to-client)</v>
      </c>
      <c r="D95" s="71">
        <f>VLOOKUP(B95,'HECVAT - Full'!A:E,4,FALSE)</f>
        <v>0</v>
      </c>
      <c r="E95" s="79" t="b">
        <f>IF(Table1[[#This Row],[Column11]]&gt;20,TRUE,FALSE)</f>
        <v>1</v>
      </c>
      <c r="F95" s="79" t="s">
        <v>2033</v>
      </c>
      <c r="G95" s="98" t="s">
        <v>17</v>
      </c>
      <c r="H95" s="81">
        <v>1</v>
      </c>
      <c r="I95" s="71">
        <f>VLOOKUP(B95,'HECVAT - Full'!A:E,3,FALSE)</f>
        <v>0</v>
      </c>
      <c r="J95" s="71">
        <f>IF(Table1[[#This Row],[Column7]]=Table1[[#This Row],[Column9]],1,0)</f>
        <v>0</v>
      </c>
      <c r="K95" s="71">
        <f>IF(Table1[[#This Row],[Column8]]=1,25,"")</f>
        <v>25</v>
      </c>
      <c r="L95" s="71">
        <f>IF(Table1[[#This Row],[Column8]]=1,J95*K95,"")</f>
        <v>0</v>
      </c>
      <c r="M95" s="72" t="str">
        <f>VLOOKUP($B95,'Standards Crosswalk'!$A:$H,3,FALSE)</f>
        <v>CSC 13</v>
      </c>
      <c r="N95" s="72">
        <f>VLOOKUP($B95,'Standards Crosswalk'!$A:$H,4,FALSE)</f>
        <v>0</v>
      </c>
      <c r="O95" s="72" t="str">
        <f>VLOOKUP($B95,'Standards Crosswalk'!$A:$H,5,FALSE)</f>
        <v>13.2</v>
      </c>
      <c r="P95" s="72" t="str">
        <f>VLOOKUP($B95,'Standards Crosswalk'!$A:$H,6,FALSE)</f>
        <v>PR.DS-2</v>
      </c>
      <c r="Q95" s="72">
        <f>VLOOKUP($B95,'Standards Crosswalk'!$A:$H,7,FALSE)</f>
        <v>0</v>
      </c>
      <c r="R95" s="72" t="str">
        <f>VLOOKUP($B95,'Standards Crosswalk'!$A:$H,8,FALSE)</f>
        <v>PE-2, PE-3, PE-5, MP-5</v>
      </c>
      <c r="S95" s="72" t="str">
        <f>VLOOKUP($B95,'Standards Crosswalk'!$A:$I,9,FALSE)</f>
        <v>12.8, 4.1</v>
      </c>
    </row>
    <row r="96" spans="1:19" ht="43.5" thickBot="1" x14ac:dyDescent="0.25">
      <c r="A96" s="71">
        <f t="shared" si="4"/>
        <v>94</v>
      </c>
      <c r="B96" s="77" t="s">
        <v>260</v>
      </c>
      <c r="C96" s="78" t="str">
        <f>VLOOKUP(B96,'HECVAT - Full'!A:E,2,FALSE)</f>
        <v>List all locations (i.e. city + datacenter name) where the institution's data will be stored?</v>
      </c>
      <c r="D96" s="71">
        <f>VLOOKUP(B96,'HECVAT - Full'!A:E,4,FALSE)</f>
        <v>0</v>
      </c>
      <c r="E96" s="79" t="b">
        <f>IF(Table1[[#This Row],[Column11]]&gt;20,TRUE,FALSE)</f>
        <v>0</v>
      </c>
      <c r="F96" s="79" t="s">
        <v>2033</v>
      </c>
      <c r="G96" s="98"/>
      <c r="H96" s="81">
        <v>1</v>
      </c>
      <c r="I96" s="71">
        <f>VLOOKUP(B96,'HECVAT - Full'!A:E,3,FALSE)</f>
        <v>0</v>
      </c>
      <c r="J96" s="71">
        <f>IF(VLOOKUP(Table1[[#This Row],[Column2]],'Analyst Report'!$A$41:$G$88,7,FALSE)="Yes",1,0)</f>
        <v>0</v>
      </c>
      <c r="K96" s="71">
        <f>IF(Table1[[#This Row],[Column8]]=1,20,"")</f>
        <v>20</v>
      </c>
      <c r="L96" s="71">
        <f>IF(Table1[[#This Row],[Column8]]=1,J96*K96,"")</f>
        <v>0</v>
      </c>
      <c r="M96" s="72" t="str">
        <f>VLOOKUP($B96,'Standards Crosswalk'!$A:$H,3,FALSE)</f>
        <v>CSC 1</v>
      </c>
      <c r="N96" s="72">
        <f>VLOOKUP($B96,'Standards Crosswalk'!$A:$H,4,FALSE)</f>
        <v>0</v>
      </c>
      <c r="O96" s="72">
        <f>VLOOKUP($B96,'Standards Crosswalk'!$A:$H,5,FALSE)</f>
        <v>0</v>
      </c>
      <c r="P96" s="72">
        <f>VLOOKUP($B96,'Standards Crosswalk'!$A:$H,6,FALSE)</f>
        <v>0</v>
      </c>
      <c r="Q96" s="72" t="str">
        <f>VLOOKUP($B96,'Standards Crosswalk'!$A:$H,7,FALSE)</f>
        <v>3.8.1</v>
      </c>
      <c r="R96" s="72" t="str">
        <f>VLOOKUP($B96,'Standards Crosswalk'!$A:$H,8,FALSE)</f>
        <v>MP-2</v>
      </c>
      <c r="S96" s="72" t="str">
        <f>VLOOKUP($B96,'Standards Crosswalk'!$A:$I,9,FALSE)</f>
        <v>12.8, 9.x</v>
      </c>
    </row>
    <row r="97" spans="1:19" ht="43.5" thickBot="1" x14ac:dyDescent="0.25">
      <c r="A97" s="71">
        <f t="shared" si="4"/>
        <v>95</v>
      </c>
      <c r="B97" s="77" t="s">
        <v>261</v>
      </c>
      <c r="C97" s="78" t="str">
        <f>VLOOKUP(B97,'HECVAT - Full'!A:E,2,FALSE)</f>
        <v>At the completion of this contract, will data be returned to the institution?</v>
      </c>
      <c r="D97" s="71">
        <f>VLOOKUP(B97,'HECVAT - Full'!A:E,4,FALSE)</f>
        <v>0</v>
      </c>
      <c r="E97" s="79" t="b">
        <f>IF(Table1[[#This Row],[Column11]]&gt;20,TRUE,FALSE)</f>
        <v>1</v>
      </c>
      <c r="F97" s="79" t="s">
        <v>2033</v>
      </c>
      <c r="G97" s="98" t="s">
        <v>17</v>
      </c>
      <c r="H97" s="81">
        <v>1</v>
      </c>
      <c r="I97" s="71">
        <f>VLOOKUP(B97,'HECVAT - Full'!A:E,3,FALSE)</f>
        <v>0</v>
      </c>
      <c r="J97" s="71">
        <f>IF(Table1[[#This Row],[Column7]]=Table1[[#This Row],[Column9]],1,0)</f>
        <v>0</v>
      </c>
      <c r="K97" s="71">
        <f>IF(Table1[[#This Row],[Column8]]=1,25,"")</f>
        <v>25</v>
      </c>
      <c r="L97" s="71">
        <f>IF(Table1[[#This Row],[Column8]]=1,J97*K97,"")</f>
        <v>0</v>
      </c>
      <c r="M97" s="72" t="str">
        <f>VLOOKUP($B97,'Standards Crosswalk'!$A:$H,3,FALSE)</f>
        <v>CSC 13</v>
      </c>
      <c r="N97" s="72">
        <f>VLOOKUP($B97,'Standards Crosswalk'!$A:$H,4,FALSE)</f>
        <v>0</v>
      </c>
      <c r="O97" s="72" t="str">
        <f>VLOOKUP($B97,'Standards Crosswalk'!$A:$H,5,FALSE)</f>
        <v>8.1.4</v>
      </c>
      <c r="P97" s="72">
        <f>VLOOKUP($B97,'Standards Crosswalk'!$A:$H,6,FALSE)</f>
        <v>0</v>
      </c>
      <c r="Q97" s="72" t="str">
        <f>VLOOKUP($B97,'Standards Crosswalk'!$A:$H,7,FALSE)</f>
        <v>3.8.1</v>
      </c>
      <c r="R97" s="72" t="str">
        <f>VLOOKUP($B97,'Standards Crosswalk'!$A:$H,8,FALSE)</f>
        <v>MP-2</v>
      </c>
      <c r="S97" s="72">
        <f>VLOOKUP($B97,'Standards Crosswalk'!$A:$I,9,FALSE)</f>
        <v>12.8</v>
      </c>
    </row>
    <row r="98" spans="1:19" ht="57.75" thickBot="1" x14ac:dyDescent="0.25">
      <c r="A98" s="71">
        <f t="shared" si="4"/>
        <v>96</v>
      </c>
      <c r="B98" s="77" t="s">
        <v>262</v>
      </c>
      <c r="C98" s="78" t="str">
        <f>VLOOKUP(B98,'HECVAT - Full'!A:E,2,FALSE)</f>
        <v>Will the institution's data be available within the system for a period of time at the completion of this contract?</v>
      </c>
      <c r="D98" s="71">
        <f>VLOOKUP(B98,'HECVAT - Full'!A:E,4,FALSE)</f>
        <v>0</v>
      </c>
      <c r="E98" s="79" t="b">
        <f>IF(Table1[[#This Row],[Column11]]&gt;20,TRUE,FALSE)</f>
        <v>0</v>
      </c>
      <c r="F98" s="79" t="s">
        <v>2033</v>
      </c>
      <c r="G98" s="98" t="s">
        <v>17</v>
      </c>
      <c r="H98" s="81">
        <v>1</v>
      </c>
      <c r="I98" s="71">
        <f>VLOOKUP(B98,'HECVAT - Full'!A:E,3,FALSE)</f>
        <v>0</v>
      </c>
      <c r="J98" s="71">
        <f>IF(Table1[[#This Row],[Column7]]=Table1[[#This Row],[Column9]],1,0)</f>
        <v>0</v>
      </c>
      <c r="K98" s="71">
        <f>IF(Table1[[#This Row],[Column8]]=1,20,"")</f>
        <v>20</v>
      </c>
      <c r="L98" s="71">
        <f>IF(Table1[[#This Row],[Column8]]=1,J98*K98,"")</f>
        <v>0</v>
      </c>
      <c r="M98" s="72" t="str">
        <f>VLOOKUP($B98,'Standards Crosswalk'!$A:$H,3,FALSE)</f>
        <v>CSC 13</v>
      </c>
      <c r="N98" s="72">
        <f>VLOOKUP($B98,'Standards Crosswalk'!$A:$H,4,FALSE)</f>
        <v>0</v>
      </c>
      <c r="O98" s="72" t="str">
        <f>VLOOKUP($B98,'Standards Crosswalk'!$A:$H,5,FALSE)</f>
        <v>8.1.4</v>
      </c>
      <c r="P98" s="72">
        <f>VLOOKUP($B98,'Standards Crosswalk'!$A:$H,6,FALSE)</f>
        <v>0</v>
      </c>
      <c r="Q98" s="72">
        <f>VLOOKUP($B98,'Standards Crosswalk'!$A:$H,7,FALSE)</f>
        <v>0</v>
      </c>
      <c r="R98" s="72">
        <f>VLOOKUP($B98,'Standards Crosswalk'!$A:$H,8,FALSE)</f>
        <v>0</v>
      </c>
      <c r="S98" s="72">
        <f>VLOOKUP($B98,'Standards Crosswalk'!$A:$I,9,FALSE)</f>
        <v>12.8</v>
      </c>
    </row>
    <row r="99" spans="1:19" ht="29.25" thickBot="1" x14ac:dyDescent="0.25">
      <c r="A99" s="71">
        <f t="shared" si="4"/>
        <v>97</v>
      </c>
      <c r="B99" s="77" t="s">
        <v>263</v>
      </c>
      <c r="C99" s="78" t="str">
        <f>VLOOKUP(B99,'HECVAT - Full'!A:E,2,FALSE)</f>
        <v>Can the institution extract a full backup of data?</v>
      </c>
      <c r="D99" s="71">
        <f>VLOOKUP(B99,'HECVAT - Full'!A:E,4,FALSE)</f>
        <v>0</v>
      </c>
      <c r="E99" s="79" t="b">
        <f>IF(Table1[[#This Row],[Column11]]&gt;20,TRUE,FALSE)</f>
        <v>0</v>
      </c>
      <c r="F99" s="79" t="s">
        <v>2033</v>
      </c>
      <c r="G99" s="98" t="s">
        <v>17</v>
      </c>
      <c r="H99" s="81">
        <v>1</v>
      </c>
      <c r="I99" s="71">
        <f>VLOOKUP(B99,'HECVAT - Full'!A:E,3,FALSE)</f>
        <v>0</v>
      </c>
      <c r="J99" s="71">
        <f>IF(Table1[[#This Row],[Column7]]=Table1[[#This Row],[Column9]],1,0)</f>
        <v>0</v>
      </c>
      <c r="K99" s="71">
        <f>IF(Table1[[#This Row],[Column8]]=1,15,"")</f>
        <v>15</v>
      </c>
      <c r="L99" s="71">
        <f>IF(Table1[[#This Row],[Column8]]=1,J99*K99,"")</f>
        <v>0</v>
      </c>
      <c r="M99" s="72">
        <f>VLOOKUP($B99,'Standards Crosswalk'!$A:$H,3,FALSE)</f>
        <v>0</v>
      </c>
      <c r="N99" s="72">
        <f>VLOOKUP($B99,'Standards Crosswalk'!$A:$H,4,FALSE)</f>
        <v>0</v>
      </c>
      <c r="O99" s="72" t="str">
        <f>VLOOKUP($B99,'Standards Crosswalk'!$A:$H,5,FALSE)</f>
        <v>12.3.1</v>
      </c>
      <c r="P99" s="72">
        <f>VLOOKUP($B99,'Standards Crosswalk'!$A:$H,6,FALSE)</f>
        <v>0</v>
      </c>
      <c r="Q99" s="72">
        <f>VLOOKUP($B99,'Standards Crosswalk'!$A:$H,7,FALSE)</f>
        <v>0</v>
      </c>
      <c r="R99" s="72">
        <f>VLOOKUP($B99,'Standards Crosswalk'!$A:$H,8,FALSE)</f>
        <v>0</v>
      </c>
      <c r="S99" s="72">
        <f>VLOOKUP($B99,'Standards Crosswalk'!$A:$I,9,FALSE)</f>
        <v>12.8</v>
      </c>
    </row>
    <row r="100" spans="1:19" ht="43.5" thickBot="1" x14ac:dyDescent="0.25">
      <c r="A100" s="71">
        <f t="shared" si="4"/>
        <v>98</v>
      </c>
      <c r="B100" s="77" t="s">
        <v>264</v>
      </c>
      <c r="C100" s="78" t="str">
        <f>VLOOKUP(B100,'HECVAT - Full'!A:E,2,FALSE)</f>
        <v>Are ownership rights to all data, inputs, outputs, and metadata retained by the institution?</v>
      </c>
      <c r="D100" s="71">
        <f>VLOOKUP(B100,'HECVAT - Full'!A:E,4,FALSE)</f>
        <v>0</v>
      </c>
      <c r="E100" s="79" t="b">
        <f>IF(Table1[[#This Row],[Column11]]&gt;20,TRUE,FALSE)</f>
        <v>1</v>
      </c>
      <c r="F100" s="79" t="s">
        <v>2033</v>
      </c>
      <c r="G100" s="98" t="s">
        <v>17</v>
      </c>
      <c r="H100" s="81">
        <v>1</v>
      </c>
      <c r="I100" s="71">
        <f>VLOOKUP(B100,'HECVAT - Full'!A:E,3,FALSE)</f>
        <v>0</v>
      </c>
      <c r="J100" s="71">
        <f>IF(Table1[[#This Row],[Column7]]=Table1[[#This Row],[Column9]],1,0)</f>
        <v>0</v>
      </c>
      <c r="K100" s="71">
        <f>IF(Table1[[#This Row],[Column8]]=1,25,"")</f>
        <v>25</v>
      </c>
      <c r="L100" s="71">
        <f>IF(Table1[[#This Row],[Column8]]=1,J100*K100,"")</f>
        <v>0</v>
      </c>
      <c r="M100" s="72" t="str">
        <f>VLOOKUP($B100,'Standards Crosswalk'!$A:$H,3,FALSE)</f>
        <v>CSC 13</v>
      </c>
      <c r="N100" s="72">
        <f>VLOOKUP($B100,'Standards Crosswalk'!$A:$H,4,FALSE)</f>
        <v>0</v>
      </c>
      <c r="O100" s="72" t="str">
        <f>VLOOKUP($B100,'Standards Crosswalk'!$A:$H,5,FALSE)</f>
        <v>8.1.2</v>
      </c>
      <c r="P100" s="72">
        <f>VLOOKUP($B100,'Standards Crosswalk'!$A:$H,6,FALSE)</f>
        <v>0</v>
      </c>
      <c r="Q100" s="72" t="str">
        <f>VLOOKUP($B100,'Standards Crosswalk'!$A:$H,7,FALSE)</f>
        <v>3.8.1</v>
      </c>
      <c r="R100" s="72">
        <f>VLOOKUP($B100,'Standards Crosswalk'!$A:$H,8,FALSE)</f>
        <v>0</v>
      </c>
      <c r="S100" s="72">
        <f>VLOOKUP($B100,'Standards Crosswalk'!$A:$I,9,FALSE)</f>
        <v>12.8</v>
      </c>
    </row>
    <row r="101" spans="1:19" ht="43.5" thickBot="1" x14ac:dyDescent="0.25">
      <c r="A101" s="71">
        <f t="shared" si="4"/>
        <v>99</v>
      </c>
      <c r="B101" s="95" t="s">
        <v>265</v>
      </c>
      <c r="C101" s="78" t="str">
        <f>VLOOKUP(B101,'HECVAT - Full'!A:E,2,FALSE)</f>
        <v>Are these rights retained even through a provider acquisition or bankruptcy event?</v>
      </c>
      <c r="D101" s="71">
        <f>VLOOKUP(B101,'HECVAT - Full'!A:E,4,FALSE)</f>
        <v>0</v>
      </c>
      <c r="E101" s="79" t="b">
        <f>IF(Table1[[#This Row],[Column11]]&gt;20,TRUE,FALSE)</f>
        <v>0</v>
      </c>
      <c r="F101" s="79" t="s">
        <v>2033</v>
      </c>
      <c r="G101" s="98" t="s">
        <v>17</v>
      </c>
      <c r="H101" s="81">
        <f>IF(I100="Yes",1,0)</f>
        <v>0</v>
      </c>
      <c r="I101" s="71">
        <f>VLOOKUP(B101,'HECVAT - Full'!A:E,3,FALSE)</f>
        <v>0</v>
      </c>
      <c r="J101" s="71">
        <f>IF(Table1[[#This Row],[Column7]]=Table1[[#This Row],[Column9]],1,0)</f>
        <v>0</v>
      </c>
      <c r="K101" s="71">
        <f>15*Table1[[#This Row],[Column8]]</f>
        <v>0</v>
      </c>
      <c r="L101" s="71" t="str">
        <f>IF(Table1[[#This Row],[Column8]]=1,J101*K101,"")</f>
        <v/>
      </c>
      <c r="M101" s="72" t="str">
        <f>VLOOKUP($B101,'Standards Crosswalk'!$A:$H,3,FALSE)</f>
        <v>CSC 13</v>
      </c>
      <c r="N101" s="72">
        <f>VLOOKUP($B101,'Standards Crosswalk'!$A:$H,4,FALSE)</f>
        <v>0</v>
      </c>
      <c r="O101" s="72" t="str">
        <f>VLOOKUP($B101,'Standards Crosswalk'!$A:$H,5,FALSE)</f>
        <v>8.1.2</v>
      </c>
      <c r="P101" s="72">
        <f>VLOOKUP($B101,'Standards Crosswalk'!$A:$H,6,FALSE)</f>
        <v>0</v>
      </c>
      <c r="Q101" s="72" t="str">
        <f>VLOOKUP($B101,'Standards Crosswalk'!$A:$H,7,FALSE)</f>
        <v>3.8.2</v>
      </c>
      <c r="R101" s="72">
        <f>VLOOKUP($B101,'Standards Crosswalk'!$A:$H,8,FALSE)</f>
        <v>0</v>
      </c>
      <c r="S101" s="72">
        <f>VLOOKUP($B101,'Standards Crosswalk'!$A:$I,9,FALSE)</f>
        <v>12.8</v>
      </c>
    </row>
    <row r="102" spans="1:19" ht="86.25" thickBot="1" x14ac:dyDescent="0.25">
      <c r="A102" s="71">
        <f t="shared" si="4"/>
        <v>100</v>
      </c>
      <c r="B102" s="77" t="s">
        <v>266</v>
      </c>
      <c r="C102" s="78" t="str">
        <f>VLOOKUP(B102,'HECVAT - Full'!A:E,2,FALSE)</f>
        <v>In the event of imminent bankruptcy, closing of business, or retirement of service, will you provide 90 days for customers to get their data out of the system and migrate applications?</v>
      </c>
      <c r="D102" s="71">
        <f>VLOOKUP(B102,'HECVAT - Full'!A:E,4,FALSE)</f>
        <v>0</v>
      </c>
      <c r="E102" s="79" t="b">
        <f>IF(Table1[[#This Row],[Column11]]&gt;20,TRUE,FALSE)</f>
        <v>0</v>
      </c>
      <c r="F102" s="79" t="s">
        <v>2033</v>
      </c>
      <c r="G102" s="98" t="s">
        <v>17</v>
      </c>
      <c r="H102" s="81">
        <v>1</v>
      </c>
      <c r="I102" s="71">
        <f>VLOOKUP(B102,'HECVAT - Full'!A:E,3,FALSE)</f>
        <v>0</v>
      </c>
      <c r="J102" s="71">
        <f>IF(Table1[[#This Row],[Column7]]=Table1[[#This Row],[Column9]],1,0)</f>
        <v>0</v>
      </c>
      <c r="K102" s="71">
        <f>IF(Table1[[#This Row],[Column8]]=1,15,"")</f>
        <v>15</v>
      </c>
      <c r="L102" s="71">
        <f>IF(Table1[[#This Row],[Column8]]=1,J102*K102,"")</f>
        <v>0</v>
      </c>
      <c r="M102" s="72" t="str">
        <f>VLOOKUP($B102,'Standards Crosswalk'!$A:$H,3,FALSE)</f>
        <v>CAC 13</v>
      </c>
      <c r="N102" s="72">
        <f>VLOOKUP($B102,'Standards Crosswalk'!$A:$H,4,FALSE)</f>
        <v>0</v>
      </c>
      <c r="O102" s="72" t="str">
        <f>VLOOKUP($B102,'Standards Crosswalk'!$A:$H,5,FALSE)</f>
        <v>8.1.2</v>
      </c>
      <c r="P102" s="72">
        <f>VLOOKUP($B102,'Standards Crosswalk'!$A:$H,6,FALSE)</f>
        <v>0</v>
      </c>
      <c r="Q102" s="72" t="str">
        <f>VLOOKUP($B102,'Standards Crosswalk'!$A:$H,7,FALSE)</f>
        <v>3.8.1</v>
      </c>
      <c r="R102" s="72">
        <f>VLOOKUP($B102,'Standards Crosswalk'!$A:$H,8,FALSE)</f>
        <v>0</v>
      </c>
      <c r="S102" s="72">
        <f>VLOOKUP($B102,'Standards Crosswalk'!$A:$I,9,FALSE)</f>
        <v>12.8</v>
      </c>
    </row>
    <row r="103" spans="1:19" ht="57.75" thickBot="1" x14ac:dyDescent="0.25">
      <c r="A103" s="71">
        <f t="shared" si="4"/>
        <v>101</v>
      </c>
      <c r="B103" s="77" t="s">
        <v>267</v>
      </c>
      <c r="C103" s="78" t="str">
        <f>VLOOKUP(B103,'HECVAT - Full'!A:E,2,FALSE)</f>
        <v xml:space="preserve">Describe or provide a reference to the backup processes for the servers on which the service and/or data resides. </v>
      </c>
      <c r="D103" s="71">
        <f>VLOOKUP(B103,'HECVAT - Full'!A:E,4,FALSE)</f>
        <v>0</v>
      </c>
      <c r="E103" s="79" t="b">
        <f>IF(Table1[[#This Row],[Column11]]&gt;20,TRUE,FALSE)</f>
        <v>0</v>
      </c>
      <c r="F103" s="79" t="s">
        <v>2033</v>
      </c>
      <c r="G103" s="98"/>
      <c r="H103" s="81">
        <v>1</v>
      </c>
      <c r="I103" s="71">
        <f>VLOOKUP(B103,'HECVAT - Full'!A:E,3,FALSE)</f>
        <v>0</v>
      </c>
      <c r="J103" s="71">
        <f>IF(VLOOKUP(Table1[[#This Row],[Column2]],'Analyst Report'!$A$41:$G$88,7,FALSE)="Yes",1,0)</f>
        <v>0</v>
      </c>
      <c r="K103" s="71">
        <f>IF(Table1[[#This Row],[Column8]]=1,20,"")</f>
        <v>20</v>
      </c>
      <c r="L103" s="71">
        <f>IF(Table1[[#This Row],[Column8]]=1,J103*K103,"")</f>
        <v>0</v>
      </c>
      <c r="M103" s="72" t="str">
        <f>VLOOKUP($B103,'Standards Crosswalk'!$A:$H,3,FALSE)</f>
        <v>CSC 10</v>
      </c>
      <c r="N103" s="72">
        <f>VLOOKUP($B103,'Standards Crosswalk'!$A:$H,4,FALSE)</f>
        <v>0</v>
      </c>
      <c r="O103" s="72" t="str">
        <f>VLOOKUP($B103,'Standards Crosswalk'!$A:$H,5,FALSE)</f>
        <v>12.3.1</v>
      </c>
      <c r="P103" s="72" t="str">
        <f>VLOOKUP($B103,'Standards Crosswalk'!$A:$H,6,FALSE)</f>
        <v>PR.IP-4</v>
      </c>
      <c r="Q103" s="72" t="str">
        <f>VLOOKUP($B103,'Standards Crosswalk'!$A:$H,7,FALSE)</f>
        <v>3.8.9</v>
      </c>
      <c r="R103" s="72" t="str">
        <f>VLOOKUP($B103,'Standards Crosswalk'!$A:$H,8,FALSE)</f>
        <v>CP-9</v>
      </c>
      <c r="S103" s="72" t="str">
        <f>VLOOKUP($B103,'Standards Crosswalk'!$A:$I,9,FALSE)</f>
        <v>9.x</v>
      </c>
    </row>
    <row r="104" spans="1:19" ht="43.5" thickBot="1" x14ac:dyDescent="0.25">
      <c r="A104" s="71">
        <f t="shared" si="4"/>
        <v>102</v>
      </c>
      <c r="B104" s="77" t="s">
        <v>268</v>
      </c>
      <c r="C104" s="78" t="str">
        <f>VLOOKUP(B104,'HECVAT - Full'!A:E,2,FALSE)</f>
        <v>Are backup copies made according to pre-defined schedules and securely stored and protected?</v>
      </c>
      <c r="D104" s="71">
        <f>VLOOKUP(B104,'HECVAT - Full'!A:E,4,FALSE)</f>
        <v>0</v>
      </c>
      <c r="E104" s="79" t="b">
        <f>IF(Table1[[#This Row],[Column11]]&gt;20,TRUE,FALSE)</f>
        <v>0</v>
      </c>
      <c r="F104" s="79" t="s">
        <v>2033</v>
      </c>
      <c r="G104" s="98" t="s">
        <v>17</v>
      </c>
      <c r="H104" s="81">
        <v>1</v>
      </c>
      <c r="I104" s="71">
        <f>VLOOKUP(B104,'HECVAT - Full'!A:E,3,FALSE)</f>
        <v>0</v>
      </c>
      <c r="J104" s="71">
        <f>IF(Table1[[#This Row],[Column7]]=Table1[[#This Row],[Column9]],1,0)</f>
        <v>0</v>
      </c>
      <c r="K104" s="71">
        <f>IF(Table1[[#This Row],[Column8]]=1,20,"")</f>
        <v>20</v>
      </c>
      <c r="L104" s="71">
        <f>IF(Table1[[#This Row],[Column8]]=1,J104*K104,"")</f>
        <v>0</v>
      </c>
      <c r="M104" s="72" t="str">
        <f>VLOOKUP($B104,'Standards Crosswalk'!$A:$H,3,FALSE)</f>
        <v>CSC 10</v>
      </c>
      <c r="N104" s="72">
        <f>VLOOKUP($B104,'Standards Crosswalk'!$A:$H,4,FALSE)</f>
        <v>0</v>
      </c>
      <c r="O104" s="72" t="str">
        <f>VLOOKUP($B104,'Standards Crosswalk'!$A:$H,5,FALSE)</f>
        <v>12.3.1</v>
      </c>
      <c r="P104" s="72" t="str">
        <f>VLOOKUP($B104,'Standards Crosswalk'!$A:$H,6,FALSE)</f>
        <v>PR.IP-4</v>
      </c>
      <c r="Q104" s="72" t="str">
        <f>VLOOKUP($B104,'Standards Crosswalk'!$A:$H,7,FALSE)</f>
        <v>3.8.9</v>
      </c>
      <c r="R104" s="72" t="str">
        <f>VLOOKUP($B104,'Standards Crosswalk'!$A:$H,8,FALSE)</f>
        <v>CP-9</v>
      </c>
      <c r="S104" s="72">
        <f>VLOOKUP($B104,'Standards Crosswalk'!$A:$I,9,FALSE)</f>
        <v>12.8</v>
      </c>
    </row>
    <row r="105" spans="1:19" ht="15" thickBot="1" x14ac:dyDescent="0.25">
      <c r="A105" s="71">
        <f t="shared" si="4"/>
        <v>103</v>
      </c>
      <c r="B105" s="77" t="s">
        <v>269</v>
      </c>
      <c r="C105" s="78" t="str">
        <f>VLOOKUP(B105,'HECVAT - Full'!A:E,2,FALSE)</f>
        <v>How long are data backups stored?</v>
      </c>
      <c r="D105" s="71">
        <f>VLOOKUP(B105,'HECVAT - Full'!A:E,4,FALSE)</f>
        <v>0</v>
      </c>
      <c r="E105" s="79" t="b">
        <f>IF(Table1[[#This Row],[Column11]]&gt;20,TRUE,FALSE)</f>
        <v>0</v>
      </c>
      <c r="F105" s="79" t="s">
        <v>2033</v>
      </c>
      <c r="G105" s="98"/>
      <c r="H105" s="81">
        <v>1</v>
      </c>
      <c r="I105" s="71">
        <f>VLOOKUP(B105,'HECVAT - Full'!A:E,3,FALSE)</f>
        <v>0</v>
      </c>
      <c r="J105" s="71">
        <f>IF(VLOOKUP(Table1[[#This Row],[Column2]],'Analyst Report'!$A$41:$G$88,7,FALSE)="Yes",1,0)</f>
        <v>0</v>
      </c>
      <c r="K105" s="71">
        <f>IF(Table1[[#This Row],[Column8]]=1,20,"")</f>
        <v>20</v>
      </c>
      <c r="L105" s="71">
        <f>IF(Table1[[#This Row],[Column8]]=1,J105*K105,"")</f>
        <v>0</v>
      </c>
      <c r="M105" s="72" t="str">
        <f>VLOOKUP($B105,'Standards Crosswalk'!$A:$H,3,FALSE)</f>
        <v>CSC 10</v>
      </c>
      <c r="N105" s="72">
        <f>VLOOKUP($B105,'Standards Crosswalk'!$A:$H,4,FALSE)</f>
        <v>0</v>
      </c>
      <c r="O105" s="72" t="str">
        <f>VLOOKUP($B105,'Standards Crosswalk'!$A:$H,5,FALSE)</f>
        <v>12.3.1</v>
      </c>
      <c r="P105" s="72" t="str">
        <f>VLOOKUP($B105,'Standards Crosswalk'!$A:$H,6,FALSE)</f>
        <v>PR.IP-4</v>
      </c>
      <c r="Q105" s="72" t="str">
        <f>VLOOKUP($B105,'Standards Crosswalk'!$A:$H,7,FALSE)</f>
        <v>3.8.9</v>
      </c>
      <c r="R105" s="72" t="str">
        <f>VLOOKUP($B105,'Standards Crosswalk'!$A:$H,8,FALSE)</f>
        <v>CP-9</v>
      </c>
      <c r="S105" s="72">
        <f>VLOOKUP($B105,'Standards Crosswalk'!$A:$I,9,FALSE)</f>
        <v>0</v>
      </c>
    </row>
    <row r="106" spans="1:19" ht="29.25" thickBot="1" x14ac:dyDescent="0.25">
      <c r="A106" s="71">
        <f t="shared" si="4"/>
        <v>104</v>
      </c>
      <c r="B106" s="77" t="s">
        <v>270</v>
      </c>
      <c r="C106" s="78" t="str">
        <f>VLOOKUP(B106,'HECVAT - Full'!A:E,2,FALSE)</f>
        <v>Are data backups encrypted?</v>
      </c>
      <c r="D106" s="71">
        <f>VLOOKUP(B106,'HECVAT - Full'!A:E,4,FALSE)</f>
        <v>0</v>
      </c>
      <c r="E106" s="79" t="b">
        <f>IF(Table1[[#This Row],[Column11]]&gt;20,TRUE,FALSE)</f>
        <v>1</v>
      </c>
      <c r="F106" s="79" t="s">
        <v>2033</v>
      </c>
      <c r="G106" s="98" t="s">
        <v>17</v>
      </c>
      <c r="H106" s="81">
        <v>1</v>
      </c>
      <c r="I106" s="71">
        <f>VLOOKUP(B106,'HECVAT - Full'!A:E,3,FALSE)</f>
        <v>0</v>
      </c>
      <c r="J106" s="71">
        <f>IF(Table1[[#This Row],[Column7]]=Table1[[#This Row],[Column9]],1,0)</f>
        <v>0</v>
      </c>
      <c r="K106" s="71">
        <f>IF(Table1[[#This Row],[Column8]]=1,25,"")</f>
        <v>25</v>
      </c>
      <c r="L106" s="71">
        <f>IF(Table1[[#This Row],[Column8]]=1,J106*K106,"")</f>
        <v>0</v>
      </c>
      <c r="M106" s="72" t="str">
        <f>VLOOKUP($B106,'Standards Crosswalk'!$A:$H,3,FALSE)</f>
        <v>CSC 10</v>
      </c>
      <c r="N106" s="72">
        <f>VLOOKUP($B106,'Standards Crosswalk'!$A:$H,4,FALSE)</f>
        <v>0</v>
      </c>
      <c r="O106" s="72" t="str">
        <f>VLOOKUP($B106,'Standards Crosswalk'!$A:$H,5,FALSE)</f>
        <v>12.3.1</v>
      </c>
      <c r="P106" s="72" t="str">
        <f>VLOOKUP($B106,'Standards Crosswalk'!$A:$H,6,FALSE)</f>
        <v>PR.DS-1, PR.IP-4</v>
      </c>
      <c r="Q106" s="72" t="str">
        <f>VLOOKUP($B106,'Standards Crosswalk'!$A:$H,7,FALSE)</f>
        <v>3.8.9</v>
      </c>
      <c r="R106" s="72" t="str">
        <f>VLOOKUP($B106,'Standards Crosswalk'!$A:$H,8,FALSE)</f>
        <v>CP-9</v>
      </c>
      <c r="S106" s="72">
        <f>VLOOKUP($B106,'Standards Crosswalk'!$A:$I,9,FALSE)</f>
        <v>0</v>
      </c>
    </row>
    <row r="107" spans="1:19" ht="114.75" thickBot="1" x14ac:dyDescent="0.25">
      <c r="A107" s="71">
        <f t="shared" si="4"/>
        <v>105</v>
      </c>
      <c r="B107" s="95" t="s">
        <v>271</v>
      </c>
      <c r="C107" s="78" t="str">
        <f>VLOOKUP(B107,'HECVAT - Full'!A:E,2,FALSE)</f>
        <v>Do you have a cryptographic key management process (generation, exchange, storage, safeguards, use, vetting, and replacement), that is documented and currently implemented, for all system components? (e.g. database, system, web, etc.)</v>
      </c>
      <c r="D107" s="71">
        <f>VLOOKUP(B107,'HECVAT - Full'!A:E,4,FALSE)</f>
        <v>0</v>
      </c>
      <c r="E107" s="79" t="b">
        <f>IF(Table1[[#This Row],[Column11]]&gt;20,TRUE,FALSE)</f>
        <v>0</v>
      </c>
      <c r="F107" s="79" t="s">
        <v>2033</v>
      </c>
      <c r="G107" s="98" t="s">
        <v>17</v>
      </c>
      <c r="H107" s="81">
        <v>1</v>
      </c>
      <c r="I107" s="71">
        <f>VLOOKUP(B107,'HECVAT - Full'!A:E,3,FALSE)</f>
        <v>0</v>
      </c>
      <c r="J107" s="71">
        <f>IF(Table1[[#This Row],[Column7]]=Table1[[#This Row],[Column9]],1,0)</f>
        <v>0</v>
      </c>
      <c r="K107" s="71">
        <f>IF(Table1[[#This Row],[Column8]]=1,15,"")</f>
        <v>15</v>
      </c>
      <c r="L107" s="71">
        <f>IF(Table1[[#This Row],[Column8]]=1,J107*K107,"")</f>
        <v>0</v>
      </c>
      <c r="M107" s="72" t="str">
        <f>VLOOKUP($B107,'Standards Crosswalk'!$A:$H,3,FALSE)</f>
        <v>CSC 10</v>
      </c>
      <c r="N107" s="72">
        <f>VLOOKUP($B107,'Standards Crosswalk'!$A:$H,4,FALSE)</f>
        <v>0</v>
      </c>
      <c r="O107" s="72" t="str">
        <f>VLOOKUP($B107,'Standards Crosswalk'!$A:$H,5,FALSE)</f>
        <v>10.1.2</v>
      </c>
      <c r="P107" s="72">
        <f>VLOOKUP($B107,'Standards Crosswalk'!$A:$H,6,FALSE)</f>
        <v>0</v>
      </c>
      <c r="Q107" s="72" t="str">
        <f>VLOOKUP($B107,'Standards Crosswalk'!$A:$H,7,FALSE)</f>
        <v>3.13.10</v>
      </c>
      <c r="R107" s="72" t="str">
        <f>VLOOKUP($B107,'Standards Crosswalk'!$A:$H,8,FALSE)</f>
        <v>SC-28, SC-13, FIPS PUB 140-2</v>
      </c>
      <c r="S107" s="72">
        <f>VLOOKUP($B107,'Standards Crosswalk'!$A:$I,9,FALSE)</f>
        <v>0</v>
      </c>
    </row>
    <row r="108" spans="1:19" ht="43.5" thickBot="1" x14ac:dyDescent="0.25">
      <c r="A108" s="71">
        <f t="shared" si="4"/>
        <v>106</v>
      </c>
      <c r="B108" s="77" t="s">
        <v>273</v>
      </c>
      <c r="C108" s="78" t="str">
        <f>VLOOKUP(B108,'HECVAT - Full'!A:E,2,FALSE)</f>
        <v>Are you performing off site backups? (i.e. digitally moved off site)</v>
      </c>
      <c r="D108" s="71">
        <f>VLOOKUP(B108,'HECVAT - Full'!A:E,4,FALSE)</f>
        <v>0</v>
      </c>
      <c r="E108" s="79" t="b">
        <f>IF(Table1[[#This Row],[Column11]]&gt;20,TRUE,FALSE)</f>
        <v>0</v>
      </c>
      <c r="F108" s="79" t="s">
        <v>2033</v>
      </c>
      <c r="G108" s="98" t="s">
        <v>17</v>
      </c>
      <c r="H108" s="81">
        <v>1</v>
      </c>
      <c r="I108" s="71">
        <f>VLOOKUP(B108,'HECVAT - Full'!A:E,3,FALSE)</f>
        <v>0</v>
      </c>
      <c r="J108" s="71">
        <f>IF(Table1[[#This Row],[Column7]]=Table1[[#This Row],[Column9]],1,0)</f>
        <v>0</v>
      </c>
      <c r="K108" s="71">
        <f>IF(Table1[[#This Row],[Column8]]=1,10,"")</f>
        <v>10</v>
      </c>
      <c r="L108" s="71">
        <f>IF(Table1[[#This Row],[Column8]]=1,J108*K108,"")</f>
        <v>0</v>
      </c>
      <c r="M108" s="72" t="str">
        <f>VLOOKUP($B108,'Standards Crosswalk'!$A:$H,3,FALSE)</f>
        <v>CSC 10</v>
      </c>
      <c r="N108" s="72">
        <f>VLOOKUP($B108,'Standards Crosswalk'!$A:$H,4,FALSE)</f>
        <v>0</v>
      </c>
      <c r="O108" s="72" t="str">
        <f>VLOOKUP($B108,'Standards Crosswalk'!$A:$H,5,FALSE)</f>
        <v>12.3.1</v>
      </c>
      <c r="P108" s="72" t="str">
        <f>VLOOKUP($B108,'Standards Crosswalk'!$A:$H,6,FALSE)</f>
        <v>PR.IP-4</v>
      </c>
      <c r="Q108" s="72" t="str">
        <f>VLOOKUP($B108,'Standards Crosswalk'!$A:$H,7,FALSE)</f>
        <v>3.8.1, 3.8.9</v>
      </c>
      <c r="R108" s="72" t="str">
        <f>VLOOKUP($B108,'Standards Crosswalk'!$A:$H,8,FALSE)</f>
        <v>CP-9</v>
      </c>
      <c r="S108" s="72" t="str">
        <f>VLOOKUP($B108,'Standards Crosswalk'!$A:$I,9,FALSE)</f>
        <v>9.x</v>
      </c>
    </row>
    <row r="109" spans="1:19" ht="29.25" thickBot="1" x14ac:dyDescent="0.25">
      <c r="A109" s="71">
        <f t="shared" si="4"/>
        <v>107</v>
      </c>
      <c r="B109" s="77" t="s">
        <v>274</v>
      </c>
      <c r="C109" s="78" t="str">
        <f>VLOOKUP(B109,'HECVAT - Full'!A:E,2,FALSE)</f>
        <v>Are physical backups taken off site? (i.e. physically moved off site)</v>
      </c>
      <c r="D109" s="71">
        <f>VLOOKUP(B109,'HECVAT - Full'!A:E,4,FALSE)</f>
        <v>0</v>
      </c>
      <c r="E109" s="79" t="b">
        <f>IF(Table1[[#This Row],[Column11]]&gt;20,TRUE,FALSE)</f>
        <v>0</v>
      </c>
      <c r="F109" s="79" t="s">
        <v>2033</v>
      </c>
      <c r="G109" s="98" t="s">
        <v>17</v>
      </c>
      <c r="H109" s="81">
        <v>1</v>
      </c>
      <c r="I109" s="71">
        <f>VLOOKUP(B109,'HECVAT - Full'!A:E,3,FALSE)</f>
        <v>0</v>
      </c>
      <c r="J109" s="71">
        <f>IF(Table1[[#This Row],[Column7]]=Table1[[#This Row],[Column9]],1,0)</f>
        <v>0</v>
      </c>
      <c r="K109" s="71">
        <f>IF(Table1[[#This Row],[Column8]]=1,20,"")</f>
        <v>20</v>
      </c>
      <c r="L109" s="71">
        <f>IF(Table1[[#This Row],[Column8]]=1,J109*K109,"")</f>
        <v>0</v>
      </c>
      <c r="M109" s="72" t="str">
        <f>VLOOKUP($B109,'Standards Crosswalk'!$A:$H,3,FALSE)</f>
        <v>CSC 10</v>
      </c>
      <c r="N109" s="72">
        <f>VLOOKUP($B109,'Standards Crosswalk'!$A:$H,4,FALSE)</f>
        <v>0</v>
      </c>
      <c r="O109" s="72" t="str">
        <f>VLOOKUP($B109,'Standards Crosswalk'!$A:$H,5,FALSE)</f>
        <v>12.3.1</v>
      </c>
      <c r="P109" s="72" t="str">
        <f>VLOOKUP($B109,'Standards Crosswalk'!$A:$H,6,FALSE)</f>
        <v>PR.IP-4</v>
      </c>
      <c r="Q109" s="72" t="str">
        <f>VLOOKUP($B109,'Standards Crosswalk'!$A:$H,7,FALSE)</f>
        <v>3.8.1, 3.8.5, 3.8.9</v>
      </c>
      <c r="R109" s="72" t="str">
        <f>VLOOKUP($B109,'Standards Crosswalk'!$A:$H,8,FALSE)</f>
        <v>CP-9, MP-5</v>
      </c>
      <c r="S109" s="72" t="str">
        <f>VLOOKUP($B109,'Standards Crosswalk'!$A:$I,9,FALSE)</f>
        <v>9.x</v>
      </c>
    </row>
    <row r="110" spans="1:19" ht="57.75" thickBot="1" x14ac:dyDescent="0.25">
      <c r="A110" s="71">
        <f t="shared" si="4"/>
        <v>108</v>
      </c>
      <c r="B110" s="77" t="s">
        <v>275</v>
      </c>
      <c r="C110" s="78" t="str">
        <f>VLOOKUP(B110,'HECVAT - Full'!A:E,2,FALSE)</f>
        <v>Do backups containing the institution's data ever leave the Institution's Data Zone either physically or via network routing?</v>
      </c>
      <c r="D110" s="71">
        <f>VLOOKUP(B110,'HECVAT - Full'!A:E,4,FALSE)</f>
        <v>0</v>
      </c>
      <c r="E110" s="79" t="b">
        <f>IF(Table1[[#This Row],[Column11]]&gt;20,TRUE,FALSE)</f>
        <v>0</v>
      </c>
      <c r="F110" s="79" t="s">
        <v>2033</v>
      </c>
      <c r="G110" s="98" t="s">
        <v>20</v>
      </c>
      <c r="H110" s="81">
        <v>1</v>
      </c>
      <c r="I110" s="71">
        <f>VLOOKUP(B110,'HECVAT - Full'!A:E,3,FALSE)</f>
        <v>0</v>
      </c>
      <c r="J110" s="71">
        <f>IF(Table1[[#This Row],[Column7]]=Table1[[#This Row],[Column9]],1,0)</f>
        <v>0</v>
      </c>
      <c r="K110" s="71">
        <f>IF(Table1[[#This Row],[Column8]]=1,20,"")</f>
        <v>20</v>
      </c>
      <c r="L110" s="71">
        <f>IF(Table1[[#This Row],[Column8]]=1,J110*K110,"")</f>
        <v>0</v>
      </c>
      <c r="M110" s="72" t="str">
        <f>VLOOKUP($B110,'Standards Crosswalk'!$A:$H,3,FALSE)</f>
        <v>CSC 13</v>
      </c>
      <c r="N110" s="72">
        <f>VLOOKUP($B110,'Standards Crosswalk'!$A:$H,4,FALSE)</f>
        <v>0</v>
      </c>
      <c r="O110" s="72" t="str">
        <f>VLOOKUP($B110,'Standards Crosswalk'!$A:$H,5,FALSE)</f>
        <v>12.3.1</v>
      </c>
      <c r="P110" s="72">
        <f>VLOOKUP($B110,'Standards Crosswalk'!$A:$H,6,FALSE)</f>
        <v>0</v>
      </c>
      <c r="Q110" s="72" t="str">
        <f>VLOOKUP($B110,'Standards Crosswalk'!$A:$H,7,FALSE)</f>
        <v>3.8.9</v>
      </c>
      <c r="R110" s="72" t="str">
        <f>VLOOKUP($B110,'Standards Crosswalk'!$A:$H,8,FALSE)</f>
        <v>CP-9, MP-5</v>
      </c>
      <c r="S110" s="72">
        <f>VLOOKUP($B110,'Standards Crosswalk'!$A:$I,9,FALSE)</f>
        <v>12.8</v>
      </c>
    </row>
    <row r="111" spans="1:19" ht="114.75" thickBot="1" x14ac:dyDescent="0.25">
      <c r="A111" s="71">
        <f t="shared" si="4"/>
        <v>109</v>
      </c>
      <c r="B111" s="77" t="s">
        <v>276</v>
      </c>
      <c r="C111" s="78" t="str">
        <f>VLOOKUP(B111,'HECVAT - Full'!A:E,2,FALSE)</f>
        <v>Do you have a media handling process, that is documented and currently implemented, including end-of-life, repurposing, and data sanitization procedures?</v>
      </c>
      <c r="D111" s="71">
        <f>VLOOKUP(B111,'HECVAT - Full'!A:E,4,FALSE)</f>
        <v>0</v>
      </c>
      <c r="E111" s="79" t="b">
        <f>IF(Table1[[#This Row],[Column11]]&gt;20,TRUE,FALSE)</f>
        <v>1</v>
      </c>
      <c r="F111" s="79" t="s">
        <v>2033</v>
      </c>
      <c r="G111" s="98" t="s">
        <v>17</v>
      </c>
      <c r="H111" s="81">
        <v>1</v>
      </c>
      <c r="I111" s="71">
        <f>VLOOKUP(B111,'HECVAT - Full'!A:E,3,FALSE)</f>
        <v>0</v>
      </c>
      <c r="J111" s="71">
        <f>IF(Table1[[#This Row],[Column7]]=Table1[[#This Row],[Column9]],1,0)</f>
        <v>0</v>
      </c>
      <c r="K111" s="71">
        <f>IF(Table1[[#This Row],[Column8]]=1,25,"")</f>
        <v>25</v>
      </c>
      <c r="L111" s="71">
        <f>IF(Table1[[#This Row],[Column8]]=1,J111*K111,"")</f>
        <v>0</v>
      </c>
      <c r="M111" s="72" t="str">
        <f>VLOOKUP($B111,'Standards Crosswalk'!$A:$H,3,FALSE)</f>
        <v>CSC 13</v>
      </c>
      <c r="N111" s="72">
        <f>VLOOKUP($B111,'Standards Crosswalk'!$A:$H,4,FALSE)</f>
        <v>0</v>
      </c>
      <c r="O111" s="72" t="str">
        <f>VLOOKUP($B111,'Standards Crosswalk'!$A:$H,5,FALSE)</f>
        <v>8.3.1</v>
      </c>
      <c r="P111" s="72" t="str">
        <f>VLOOKUP($B111,'Standards Crosswalk'!$A:$H,6,FALSE)</f>
        <v>PR.DS-3</v>
      </c>
      <c r="Q111" s="72" t="str">
        <f>VLOOKUP($B111,'Standards Crosswalk'!$A:$H,7,FALSE)</f>
        <v>3.7.1, 3.7.2, 3.8.3</v>
      </c>
      <c r="R111" s="72" t="str">
        <f>VLOOKUP($B111,'Standards Crosswalk'!$A:$H,8,FALSE)</f>
        <v>CP-9 MP-6, NIST SP 800-60, NIST SP 800-88, AC-2, AC-6, IA-4, PM-2, PM-10, SI-5, MA-2, MA-3, MP-6</v>
      </c>
      <c r="S111" s="72" t="str">
        <f>VLOOKUP($B111,'Standards Crosswalk'!$A:$I,9,FALSE)</f>
        <v>9.x</v>
      </c>
    </row>
    <row r="112" spans="1:19" ht="43.5" thickBot="1" x14ac:dyDescent="0.25">
      <c r="A112" s="71">
        <f t="shared" si="4"/>
        <v>110</v>
      </c>
      <c r="B112" s="77" t="s">
        <v>277</v>
      </c>
      <c r="C112" s="78" t="str">
        <f>VLOOKUP(B112,'HECVAT - Full'!A:E,2,FALSE)</f>
        <v>Does the process described in DATA-23 adhere to DoD 5220.22-M and/or NIST SP 800-88 standards?</v>
      </c>
      <c r="D112" s="71">
        <f>VLOOKUP(B112,'HECVAT - Full'!A:E,4,FALSE)</f>
        <v>0</v>
      </c>
      <c r="E112" s="79" t="b">
        <f>IF(Table1[[#This Row],[Column11]]&gt;20,TRUE,FALSE)</f>
        <v>0</v>
      </c>
      <c r="F112" s="79" t="s">
        <v>2033</v>
      </c>
      <c r="G112" s="98" t="s">
        <v>17</v>
      </c>
      <c r="H112" s="81">
        <v>1</v>
      </c>
      <c r="I112" s="71">
        <f>VLOOKUP(B112,'HECVAT - Full'!A:E,3,FALSE)</f>
        <v>0</v>
      </c>
      <c r="J112" s="71">
        <f>IF(Table1[[#This Row],[Column7]]=Table1[[#This Row],[Column9]],1,0)</f>
        <v>0</v>
      </c>
      <c r="K112" s="71">
        <f>IF(Table1[[#This Row],[Column8]]=1,15,"")</f>
        <v>15</v>
      </c>
      <c r="L112" s="71">
        <f>IF(Table1[[#This Row],[Column8]]=1,J112*K112,"")</f>
        <v>0</v>
      </c>
      <c r="M112" s="72" t="str">
        <f>VLOOKUP($B112,'Standards Crosswalk'!$A:$H,3,FALSE)</f>
        <v>CSC 13</v>
      </c>
      <c r="N112" s="72">
        <f>VLOOKUP($B112,'Standards Crosswalk'!$A:$H,4,FALSE)</f>
        <v>0</v>
      </c>
      <c r="O112" s="72" t="str">
        <f>VLOOKUP($B112,'Standards Crosswalk'!$A:$H,5,FALSE)</f>
        <v>8.3.1, 18.1.1</v>
      </c>
      <c r="P112" s="72" t="str">
        <f>VLOOKUP($B112,'Standards Crosswalk'!$A:$H,6,FALSE)</f>
        <v>PR.DS-3</v>
      </c>
      <c r="Q112" s="72" t="str">
        <f>VLOOKUP($B112,'Standards Crosswalk'!$A:$H,7,FALSE)</f>
        <v>3.7.3, 3.8.3,</v>
      </c>
      <c r="R112" s="72" t="str">
        <f>VLOOKUP($B112,'Standards Crosswalk'!$A:$H,8,FALSE)</f>
        <v>AC-2, AC-6, IA-4, PM-2, PM-10, SI-5, MA-2</v>
      </c>
      <c r="S112" s="72">
        <f>VLOOKUP($B112,'Standards Crosswalk'!$A:$I,9,FALSE)</f>
        <v>0</v>
      </c>
    </row>
    <row r="113" spans="1:19" ht="57.75" thickBot="1" x14ac:dyDescent="0.25">
      <c r="A113" s="71">
        <f t="shared" si="4"/>
        <v>111</v>
      </c>
      <c r="B113" s="77" t="s">
        <v>278</v>
      </c>
      <c r="C113" s="78" t="str">
        <f>VLOOKUP(B113,'HECVAT - Full'!A:E,2,FALSE)</f>
        <v>Do procedures exist to ensure that retention and destruction of data meets established business and regulatory requirements?</v>
      </c>
      <c r="D113" s="71">
        <f>VLOOKUP(B113,'HECVAT - Full'!A:E,4,FALSE)</f>
        <v>0</v>
      </c>
      <c r="E113" s="79" t="b">
        <f>IF(Table1[[#This Row],[Column11]]&gt;20,TRUE,FALSE)</f>
        <v>0</v>
      </c>
      <c r="F113" s="79" t="s">
        <v>2033</v>
      </c>
      <c r="G113" s="98" t="s">
        <v>17</v>
      </c>
      <c r="H113" s="81">
        <v>1</v>
      </c>
      <c r="I113" s="71">
        <f>VLOOKUP(B113,'HECVAT - Full'!A:E,3,FALSE)</f>
        <v>0</v>
      </c>
      <c r="J113" s="71">
        <f>IF(Table1[[#This Row],[Column7]]=Table1[[#This Row],[Column9]],1,0)</f>
        <v>0</v>
      </c>
      <c r="K113" s="71">
        <f>IF(Table1[[#This Row],[Column8]]=1,20,"")</f>
        <v>20</v>
      </c>
      <c r="L113" s="71">
        <f>IF(Table1[[#This Row],[Column8]]=1,J113*K113,"")</f>
        <v>0</v>
      </c>
      <c r="M113" s="72" t="str">
        <f>VLOOKUP($B113,'Standards Crosswalk'!$A:$H,3,FALSE)</f>
        <v>CSC 13</v>
      </c>
      <c r="N113" s="72">
        <f>VLOOKUP($B113,'Standards Crosswalk'!$A:$H,4,FALSE)</f>
        <v>0</v>
      </c>
      <c r="O113" s="72" t="str">
        <f>VLOOKUP($B113,'Standards Crosswalk'!$A:$H,5,FALSE)</f>
        <v>8.3.1, 18.1.1</v>
      </c>
      <c r="P113" s="72" t="str">
        <f>VLOOKUP($B113,'Standards Crosswalk'!$A:$H,6,FALSE)</f>
        <v>PR.DS-3, ID.GV-3</v>
      </c>
      <c r="Q113" s="72" t="str">
        <f>VLOOKUP($B113,'Standards Crosswalk'!$A:$H,7,FALSE)</f>
        <v>3.7.3, 3.8.3,</v>
      </c>
      <c r="R113" s="72" t="str">
        <f>VLOOKUP($B113,'Standards Crosswalk'!$A:$H,8,FALSE)</f>
        <v>SI-12, AC-2, AC-6, IA-4, PM-2, PM-10, SI-5, MA-2</v>
      </c>
      <c r="S113" s="72">
        <f>VLOOKUP($B113,'Standards Crosswalk'!$A:$I,9,FALSE)</f>
        <v>0</v>
      </c>
    </row>
    <row r="114" spans="1:19" ht="72" thickBot="1" x14ac:dyDescent="0.25">
      <c r="A114" s="71">
        <f t="shared" si="4"/>
        <v>112</v>
      </c>
      <c r="B114" s="77" t="s">
        <v>279</v>
      </c>
      <c r="C114" s="78" t="str">
        <f>VLOOKUP(B114,'HECVAT - Full'!A:E,2,FALSE)</f>
        <v>Is media used for long-term retention of business data and archival purposes stored in a secure, environmentally protected area?</v>
      </c>
      <c r="D114" s="71">
        <f>VLOOKUP(B114,'HECVAT - Full'!A:E,4,FALSE)</f>
        <v>0</v>
      </c>
      <c r="E114" s="79" t="b">
        <f>IF(Table1[[#This Row],[Column11]]&gt;20,TRUE,FALSE)</f>
        <v>0</v>
      </c>
      <c r="F114" s="79" t="s">
        <v>2033</v>
      </c>
      <c r="G114" s="98" t="s">
        <v>17</v>
      </c>
      <c r="H114" s="81">
        <v>1</v>
      </c>
      <c r="I114" s="71">
        <f>VLOOKUP(B114,'HECVAT - Full'!A:E,3,FALSE)</f>
        <v>0</v>
      </c>
      <c r="J114" s="71">
        <f>IF(Table1[[#This Row],[Column7]]=Table1[[#This Row],[Column9]],1,0)</f>
        <v>0</v>
      </c>
      <c r="K114" s="71">
        <f>IF(Table1[[#This Row],[Column8]]=1,20,"")</f>
        <v>20</v>
      </c>
      <c r="L114" s="71">
        <f>IF(Table1[[#This Row],[Column8]]=1,J114*K114,"")</f>
        <v>0</v>
      </c>
      <c r="M114" s="72" t="str">
        <f>VLOOKUP($B114,'Standards Crosswalk'!$A:$H,3,FALSE)</f>
        <v>CSC 13</v>
      </c>
      <c r="N114" s="72">
        <f>VLOOKUP($B114,'Standards Crosswalk'!$A:$H,4,FALSE)</f>
        <v>0</v>
      </c>
      <c r="O114" s="72" t="str">
        <f>VLOOKUP($B114,'Standards Crosswalk'!$A:$H,5,FALSE)</f>
        <v>8.3.1, 18.1.1</v>
      </c>
      <c r="P114" s="72" t="str">
        <f>VLOOKUP($B114,'Standards Crosswalk'!$A:$H,6,FALSE)</f>
        <v>PR.DS-3</v>
      </c>
      <c r="Q114" s="72" t="str">
        <f>VLOOKUP($B114,'Standards Crosswalk'!$A:$H,7,FALSE)</f>
        <v>3.8.1, 3.8.2</v>
      </c>
      <c r="R114" s="72" t="str">
        <f>VLOOKUP($B114,'Standards Crosswalk'!$A:$H,8,FALSE)</f>
        <v>AC-2, AC-6, IA-4, PM-2, PM-10, SI-5</v>
      </c>
      <c r="S114" s="72" t="str">
        <f>VLOOKUP($B114,'Standards Crosswalk'!$A:$I,9,FALSE)</f>
        <v>12.8, 9.x</v>
      </c>
    </row>
    <row r="115" spans="1:19" ht="29.25" thickBot="1" x14ac:dyDescent="0.25">
      <c r="A115" s="71">
        <f t="shared" si="4"/>
        <v>113</v>
      </c>
      <c r="B115" s="77" t="s">
        <v>280</v>
      </c>
      <c r="C115" s="78" t="str">
        <f>VLOOKUP(B115,'HECVAT - Full'!A:E,2,FALSE)</f>
        <v>Will you handle data in a FERPA compliant manner?</v>
      </c>
      <c r="D115" s="71">
        <f>VLOOKUP(B115,'HECVAT - Full'!A:E,4,FALSE)</f>
        <v>0</v>
      </c>
      <c r="E115" s="79" t="b">
        <f>IF(Table1[[#This Row],[Column11]]&gt;20,TRUE,FALSE)</f>
        <v>0</v>
      </c>
      <c r="F115" s="79" t="s">
        <v>2033</v>
      </c>
      <c r="G115" s="98" t="s">
        <v>17</v>
      </c>
      <c r="H115" s="81">
        <v>1</v>
      </c>
      <c r="I115" s="71">
        <f>VLOOKUP(B115,'HECVAT - Full'!A:E,3,FALSE)</f>
        <v>0</v>
      </c>
      <c r="J115" s="71">
        <f>IF(Table1[[#This Row],[Column7]]=Table1[[#This Row],[Column9]],1,0)</f>
        <v>0</v>
      </c>
      <c r="K115" s="71">
        <f>IF(Table1[[#This Row],[Column8]]=1,20,"")</f>
        <v>20</v>
      </c>
      <c r="L115" s="71">
        <f>IF(Table1[[#This Row],[Column8]]=1,J115*K115,"")</f>
        <v>0</v>
      </c>
      <c r="M115" s="72" t="str">
        <f>VLOOKUP($B115,'Standards Crosswalk'!$A:$H,3,FALSE)</f>
        <v>CSC 13</v>
      </c>
      <c r="N115" s="72">
        <f>VLOOKUP($B115,'Standards Crosswalk'!$A:$H,4,FALSE)</f>
        <v>0</v>
      </c>
      <c r="O115" s="72" t="str">
        <f>VLOOKUP($B115,'Standards Crosswalk'!$A:$H,5,FALSE)</f>
        <v>18.1.1</v>
      </c>
      <c r="P115" s="72" t="str">
        <f>VLOOKUP($B115,'Standards Crosswalk'!$A:$H,6,FALSE)</f>
        <v>ID.GV-3</v>
      </c>
      <c r="Q115" s="72">
        <f>VLOOKUP($B115,'Standards Crosswalk'!$A:$H,7,FALSE)</f>
        <v>0</v>
      </c>
      <c r="R115" s="72">
        <f>VLOOKUP($B115,'Standards Crosswalk'!$A:$H,8,FALSE)</f>
        <v>0</v>
      </c>
      <c r="S115" s="72">
        <f>VLOOKUP($B115,'Standards Crosswalk'!$A:$I,9,FALSE)</f>
        <v>0</v>
      </c>
    </row>
    <row r="116" spans="1:19" ht="43.5" thickBot="1" x14ac:dyDescent="0.25">
      <c r="A116" s="71">
        <f t="shared" si="4"/>
        <v>114</v>
      </c>
      <c r="B116" s="77" t="s">
        <v>281</v>
      </c>
      <c r="C116" s="78" t="str">
        <f>VLOOKUP(B116,'HECVAT - Full'!A:E,2,FALSE)</f>
        <v>Is any institution data visible in system administration modules/tools?</v>
      </c>
      <c r="D116" s="71">
        <f>VLOOKUP(B116,'HECVAT - Full'!A:E,4,FALSE)</f>
        <v>0</v>
      </c>
      <c r="E116" s="79" t="b">
        <f>IF(Table1[[#This Row],[Column11]]&gt;20,TRUE,FALSE)</f>
        <v>1</v>
      </c>
      <c r="F116" s="79" t="s">
        <v>2033</v>
      </c>
      <c r="G116" s="98" t="s">
        <v>20</v>
      </c>
      <c r="H116" s="81">
        <v>1</v>
      </c>
      <c r="I116" s="71">
        <f>VLOOKUP(B116,'HECVAT - Full'!A:E,3,FALSE)</f>
        <v>0</v>
      </c>
      <c r="J116" s="71">
        <f>IF(Table1[[#This Row],[Column7]]=Table1[[#This Row],[Column9]],1,0)</f>
        <v>0</v>
      </c>
      <c r="K116" s="71">
        <f>IF(Table1[[#This Row],[Column8]]=1,25,"")</f>
        <v>25</v>
      </c>
      <c r="L116" s="71">
        <f>IF(Table1[[#This Row],[Column8]]=1,J116*K116,"")</f>
        <v>0</v>
      </c>
      <c r="M116" s="72" t="str">
        <f>VLOOKUP($B116,'Standards Crosswalk'!$A:$H,3,FALSE)</f>
        <v>CSC 13, CSC 14</v>
      </c>
      <c r="N116" s="72">
        <f>VLOOKUP($B116,'Standards Crosswalk'!$A:$H,4,FALSE)</f>
        <v>0</v>
      </c>
      <c r="O116" s="72" t="str">
        <f>VLOOKUP($B116,'Standards Crosswalk'!$A:$H,5,FALSE)</f>
        <v>14.2.5</v>
      </c>
      <c r="P116" s="72" t="str">
        <f>VLOOKUP($B116,'Standards Crosswalk'!$A:$H,6,FALSE)</f>
        <v>PR.AC-4</v>
      </c>
      <c r="Q116" s="72">
        <f>VLOOKUP($B116,'Standards Crosswalk'!$A:$H,7,FALSE)</f>
        <v>0</v>
      </c>
      <c r="R116" s="72">
        <f>VLOOKUP($B116,'Standards Crosswalk'!$A:$H,8,FALSE)</f>
        <v>0</v>
      </c>
      <c r="S116" s="72">
        <f>VLOOKUP($B116,'Standards Crosswalk'!$A:$I,9,FALSE)</f>
        <v>0</v>
      </c>
    </row>
    <row r="117" spans="1:19" ht="43.5" thickBot="1" x14ac:dyDescent="0.25">
      <c r="A117" s="71">
        <f t="shared" si="4"/>
        <v>115</v>
      </c>
      <c r="B117" s="77" t="s">
        <v>282</v>
      </c>
      <c r="C117" s="78" t="str">
        <f>VLOOKUP(B117,'HECVAT - Full'!A:E,2,FALSE)</f>
        <v>Does the database support encryption of specified data elements in storage?</v>
      </c>
      <c r="D117" s="71">
        <f>VLOOKUP(B117,'HECVAT - Full'!A:E,4,FALSE)</f>
        <v>0</v>
      </c>
      <c r="E117" s="79" t="b">
        <f>IF(Table1[[#This Row],[Column11]]&gt;20,TRUE,FALSE)</f>
        <v>1</v>
      </c>
      <c r="F117" s="79" t="s">
        <v>2034</v>
      </c>
      <c r="G117" s="80" t="s">
        <v>17</v>
      </c>
      <c r="H117" s="81">
        <v>1</v>
      </c>
      <c r="I117" s="71">
        <f>VLOOKUP(B117,'HECVAT - Full'!A:E,3,FALSE)</f>
        <v>0</v>
      </c>
      <c r="J117" s="71">
        <f>IF(Table1[[#This Row],[Column7]]=Table1[[#This Row],[Column9]],1,0)</f>
        <v>0</v>
      </c>
      <c r="K117" s="71">
        <f>IF(Table1[[#This Row],[Column8]]=1,25,"")</f>
        <v>25</v>
      </c>
      <c r="L117" s="71">
        <f>IF(Table1[[#This Row],[Column8]]=1,J117*K117,"")</f>
        <v>0</v>
      </c>
      <c r="M117" s="72" t="str">
        <f>VLOOKUP($B117,'Standards Crosswalk'!$A:$H,3,FALSE)</f>
        <v>CSC 13</v>
      </c>
      <c r="N117" s="72">
        <f>VLOOKUP($B117,'Standards Crosswalk'!$A:$H,4,FALSE)</f>
        <v>0</v>
      </c>
      <c r="O117" s="72" t="str">
        <f>VLOOKUP($B117,'Standards Crosswalk'!$A:$H,5,FALSE)</f>
        <v>10.1.1</v>
      </c>
      <c r="P117" s="72" t="str">
        <f>VLOOKUP($B117,'Standards Crosswalk'!$A:$H,6,FALSE)</f>
        <v>PR.DS-1</v>
      </c>
      <c r="Q117" s="72">
        <f>VLOOKUP($B117,'Standards Crosswalk'!$A:$H,7,FALSE)</f>
        <v>0</v>
      </c>
      <c r="R117" s="72">
        <f>VLOOKUP($B117,'Standards Crosswalk'!$A:$H,8,FALSE)</f>
        <v>0</v>
      </c>
      <c r="S117" s="72">
        <f>VLOOKUP($B117,'Standards Crosswalk'!$A:$I,9,FALSE)</f>
        <v>0</v>
      </c>
    </row>
    <row r="118" spans="1:19" ht="29.25" thickBot="1" x14ac:dyDescent="0.25">
      <c r="A118" s="71">
        <f t="shared" si="4"/>
        <v>116</v>
      </c>
      <c r="B118" s="77" t="s">
        <v>283</v>
      </c>
      <c r="C118" s="78" t="str">
        <f>VLOOKUP(B118,'HECVAT - Full'!A:E,2,FALSE)</f>
        <v>Do you currently use encryption in your database(s)?</v>
      </c>
      <c r="D118" s="71">
        <f>VLOOKUP(B118,'HECVAT - Full'!A:E,4,FALSE)</f>
        <v>0</v>
      </c>
      <c r="E118" s="79" t="b">
        <f>IF(Table1[[#This Row],[Column11]]&gt;20,TRUE,FALSE)</f>
        <v>1</v>
      </c>
      <c r="F118" s="79" t="s">
        <v>2034</v>
      </c>
      <c r="G118" s="80" t="s">
        <v>17</v>
      </c>
      <c r="H118" s="81">
        <v>1</v>
      </c>
      <c r="I118" s="71">
        <f>VLOOKUP(B118,'HECVAT - Full'!A:E,3,FALSE)</f>
        <v>0</v>
      </c>
      <c r="J118" s="71">
        <f>IF(Table1[[#This Row],[Column7]]=Table1[[#This Row],[Column9]],1,0)</f>
        <v>0</v>
      </c>
      <c r="K118" s="71">
        <f>IF(Table1[[#This Row],[Column8]]=1,25,"")</f>
        <v>25</v>
      </c>
      <c r="L118" s="71">
        <f>IF(Table1[[#This Row],[Column8]]=1,J118*K118,"")</f>
        <v>0</v>
      </c>
      <c r="M118" s="72" t="str">
        <f>VLOOKUP($B118,'Standards Crosswalk'!$A:$H,3,FALSE)</f>
        <v>CSC 13</v>
      </c>
      <c r="N118" s="72">
        <f>VLOOKUP($B118,'Standards Crosswalk'!$A:$H,4,FALSE)</f>
        <v>0</v>
      </c>
      <c r="O118" s="72" t="str">
        <f>VLOOKUP($B118,'Standards Crosswalk'!$A:$H,5,FALSE)</f>
        <v>10.1.1</v>
      </c>
      <c r="P118" s="72" t="str">
        <f>VLOOKUP($B118,'Standards Crosswalk'!$A:$H,6,FALSE)</f>
        <v>PR.DS-1, PR.DS-2</v>
      </c>
      <c r="Q118" s="72">
        <f>VLOOKUP($B118,'Standards Crosswalk'!$A:$H,7,FALSE)</f>
        <v>0</v>
      </c>
      <c r="R118" s="72">
        <f>VLOOKUP($B118,'Standards Crosswalk'!$A:$H,8,FALSE)</f>
        <v>0</v>
      </c>
      <c r="S118" s="72">
        <f>VLOOKUP($B118,'Standards Crosswalk'!$A:$I,9,FALSE)</f>
        <v>0</v>
      </c>
    </row>
    <row r="119" spans="1:19" ht="43.5" thickBot="1" x14ac:dyDescent="0.25">
      <c r="A119" s="71">
        <f t="shared" si="4"/>
        <v>117</v>
      </c>
      <c r="B119" s="77" t="s">
        <v>284</v>
      </c>
      <c r="C119" s="78" t="str">
        <f>VLOOKUP(B119,'HECVAT - Full'!A:E,2,FALSE)</f>
        <v>Does your company own the physical data center where the Institution's data will reside?</v>
      </c>
      <c r="D119" s="71">
        <f>VLOOKUP(B119,'HECVAT - Full'!A:E,4,FALSE)</f>
        <v>0</v>
      </c>
      <c r="E119" s="79" t="b">
        <f>IF(Table1[[#This Row],[Column11]]&gt;20,TRUE,FALSE)</f>
        <v>0</v>
      </c>
      <c r="F119" s="79" t="s">
        <v>2035</v>
      </c>
      <c r="G119" s="80" t="s">
        <v>17</v>
      </c>
      <c r="H119" s="81">
        <v>1</v>
      </c>
      <c r="I119" s="71">
        <f>VLOOKUP(B119,'HECVAT - Full'!A:E,3,FALSE)</f>
        <v>0</v>
      </c>
      <c r="J119" s="71">
        <f>IF(Table1[[#This Row],[Column7]]=Table1[[#This Row],[Column9]],1,0)</f>
        <v>0</v>
      </c>
      <c r="K119" s="71">
        <f>IF(Table1[[#This Row],[Column8]]=1,15,"")</f>
        <v>15</v>
      </c>
      <c r="L119" s="71">
        <f>IF(Table1[[#This Row],[Column8]]=1,J119*K119,"")</f>
        <v>0</v>
      </c>
      <c r="M119" s="72" t="str">
        <f>VLOOKUP($B119,'Standards Crosswalk'!$A:$H,3,FALSE)</f>
        <v>CSC 14</v>
      </c>
      <c r="N119" s="72">
        <f>VLOOKUP($B119,'Standards Crosswalk'!$A:$H,4,FALSE)</f>
        <v>0</v>
      </c>
      <c r="O119" s="72" t="str">
        <f>VLOOKUP($B119,'Standards Crosswalk'!$A:$H,5,FALSE)</f>
        <v>11.1.1</v>
      </c>
      <c r="P119" s="72" t="str">
        <f>VLOOKUP($B119,'Standards Crosswalk'!$A:$H,6,FALSE)</f>
        <v>PR.AC-2, PR.IP-5</v>
      </c>
      <c r="Q119" s="72">
        <f>VLOOKUP($B119,'Standards Crosswalk'!$A:$H,7,FALSE)</f>
        <v>0</v>
      </c>
      <c r="R119" s="72">
        <f>VLOOKUP($B119,'Standards Crosswalk'!$A:$H,8,FALSE)</f>
        <v>0</v>
      </c>
      <c r="S119" s="72" t="str">
        <f>VLOOKUP($B119,'Standards Crosswalk'!$A:$I,9,FALSE)</f>
        <v>12.8, 9.x</v>
      </c>
    </row>
    <row r="120" spans="1:19" ht="29.25" thickBot="1" x14ac:dyDescent="0.25">
      <c r="A120" s="71">
        <f t="shared" si="4"/>
        <v>118</v>
      </c>
      <c r="B120" s="77" t="s">
        <v>285</v>
      </c>
      <c r="C120" s="78" t="str">
        <f>VLOOKUP(B120,'HECVAT - Full'!A:E,2,FALSE)</f>
        <v>Does the hosting provider have a SOC 2 Type 2 report available?</v>
      </c>
      <c r="D120" s="71">
        <f>VLOOKUP(B120,'HECVAT - Full'!A:E,4,FALSE)</f>
        <v>0</v>
      </c>
      <c r="E120" s="79" t="b">
        <f>IF(Table1[[#This Row],[Column11]]&gt;20,TRUE,FALSE)</f>
        <v>0</v>
      </c>
      <c r="F120" s="79" t="s">
        <v>2035</v>
      </c>
      <c r="G120" s="80" t="s">
        <v>17</v>
      </c>
      <c r="H120" s="81">
        <v>1</v>
      </c>
      <c r="I120" s="71">
        <f>VLOOKUP(B120,'HECVAT - Full'!A:E,3,FALSE)</f>
        <v>0</v>
      </c>
      <c r="J120" s="71">
        <f>IF(Table1[[#This Row],[Column7]]=Table1[[#This Row],[Column9]],1,0)</f>
        <v>0</v>
      </c>
      <c r="K120" s="71">
        <f>IF(Table1[[#This Row],[Column8]]=1,15,"")</f>
        <v>15</v>
      </c>
      <c r="L120" s="71">
        <f>IF(Table1[[#This Row],[Column8]]=1,J120*K120,"")</f>
        <v>0</v>
      </c>
      <c r="M120" s="72" t="str">
        <f>VLOOKUP($B120,'Standards Crosswalk'!$A:$H,3,FALSE)</f>
        <v>CSC 13</v>
      </c>
      <c r="N120" s="72">
        <f>VLOOKUP($B120,'Standards Crosswalk'!$A:$H,4,FALSE)</f>
        <v>0</v>
      </c>
      <c r="O120" s="72" t="str">
        <f>VLOOKUP($B120,'Standards Crosswalk'!$A:$H,5,FALSE)</f>
        <v>11.1.1</v>
      </c>
      <c r="P120" s="72">
        <f>VLOOKUP($B120,'Standards Crosswalk'!$A:$H,6,FALSE)</f>
        <v>0</v>
      </c>
      <c r="Q120" s="72">
        <f>VLOOKUP($B120,'Standards Crosswalk'!$A:$H,7,FALSE)</f>
        <v>0</v>
      </c>
      <c r="R120" s="72">
        <f>VLOOKUP($B120,'Standards Crosswalk'!$A:$H,8,FALSE)</f>
        <v>0</v>
      </c>
      <c r="S120" s="72">
        <f>VLOOKUP($B120,'Standards Crosswalk'!$A:$I,9,FALSE)</f>
        <v>0</v>
      </c>
    </row>
    <row r="121" spans="1:19" ht="43.5" thickBot="1" x14ac:dyDescent="0.25">
      <c r="A121" s="71">
        <f t="shared" si="4"/>
        <v>119</v>
      </c>
      <c r="B121" s="77" t="s">
        <v>286</v>
      </c>
      <c r="C121" s="78" t="str">
        <f>VLOOKUP(B121,'HECVAT - Full'!A:E,2,FALSE)</f>
        <v>Are the data centers staffed 24 hours a day, seven days a week (i.e., 24x7x365)?</v>
      </c>
      <c r="D121" s="71">
        <f>VLOOKUP(B121,'HECVAT - Full'!A:E,4,FALSE)</f>
        <v>0</v>
      </c>
      <c r="E121" s="79" t="b">
        <f>IF(Table1[[#This Row],[Column11]]&gt;20,TRUE,FALSE)</f>
        <v>0</v>
      </c>
      <c r="F121" s="79" t="s">
        <v>2035</v>
      </c>
      <c r="G121" s="80" t="s">
        <v>17</v>
      </c>
      <c r="H121" s="81">
        <v>1</v>
      </c>
      <c r="I121" s="71">
        <f>VLOOKUP(B121,'HECVAT - Full'!A:E,3,FALSE)</f>
        <v>0</v>
      </c>
      <c r="J121" s="71">
        <f>IF(Table1[[#This Row],[Column7]]=Table1[[#This Row],[Column9]],1,0)</f>
        <v>0</v>
      </c>
      <c r="K121" s="71">
        <f>IF(Table1[[#This Row],[Column8]]=1,15,"")</f>
        <v>15</v>
      </c>
      <c r="L121" s="71">
        <f>IF(Table1[[#This Row],[Column8]]=1,J121*K121,"")</f>
        <v>0</v>
      </c>
      <c r="M121" s="72" t="str">
        <f>VLOOKUP($B121,'Standards Crosswalk'!$A:$H,3,FALSE)</f>
        <v>CSC 3</v>
      </c>
      <c r="N121" s="72">
        <f>VLOOKUP($B121,'Standards Crosswalk'!$A:$H,4,FALSE)</f>
        <v>0</v>
      </c>
      <c r="O121" s="72" t="str">
        <f>VLOOKUP($B121,'Standards Crosswalk'!$A:$H,5,FALSE)</f>
        <v>17.2.1</v>
      </c>
      <c r="P121" s="72">
        <f>VLOOKUP($B121,'Standards Crosswalk'!$A:$H,6,FALSE)</f>
        <v>0</v>
      </c>
      <c r="Q121" s="72">
        <f>VLOOKUP($B121,'Standards Crosswalk'!$A:$H,7,FALSE)</f>
        <v>0</v>
      </c>
      <c r="R121" s="72">
        <f>VLOOKUP($B121,'Standards Crosswalk'!$A:$H,8,FALSE)</f>
        <v>0</v>
      </c>
      <c r="S121" s="72">
        <f>VLOOKUP($B121,'Standards Crosswalk'!$A:$I,9,FALSE)</f>
        <v>0</v>
      </c>
    </row>
    <row r="122" spans="1:19" ht="29.25" thickBot="1" x14ac:dyDescent="0.25">
      <c r="A122" s="71">
        <f t="shared" si="4"/>
        <v>120</v>
      </c>
      <c r="B122" s="77" t="s">
        <v>287</v>
      </c>
      <c r="C122" s="78" t="str">
        <f>VLOOKUP(B122,'HECVAT - Full'!A:E,2,FALSE)</f>
        <v>Do any of your servers reside in a co-located data center?</v>
      </c>
      <c r="D122" s="71">
        <f>VLOOKUP(B122,'HECVAT - Full'!A:E,4,FALSE)</f>
        <v>0</v>
      </c>
      <c r="E122" s="79" t="b">
        <f>IF(Table1[[#This Row],[Column11]]&gt;20,TRUE,FALSE)</f>
        <v>1</v>
      </c>
      <c r="F122" s="79" t="s">
        <v>2035</v>
      </c>
      <c r="G122" s="80" t="s">
        <v>20</v>
      </c>
      <c r="H122" s="81">
        <v>1</v>
      </c>
      <c r="I122" s="71">
        <f>VLOOKUP(B122,'HECVAT - Full'!A:E,3,FALSE)</f>
        <v>0</v>
      </c>
      <c r="J122" s="71">
        <f>IF(Table1[[#This Row],[Column7]]=Table1[[#This Row],[Column9]],1,0)</f>
        <v>0</v>
      </c>
      <c r="K122" s="71">
        <v>25</v>
      </c>
      <c r="L122" s="71">
        <f>IF(Table1[[#This Row],[Column8]]=1,J122*K122,"")</f>
        <v>0</v>
      </c>
      <c r="M122" s="72" t="str">
        <f>VLOOKUP($B122,'Standards Crosswalk'!$A:$H,3,FALSE)</f>
        <v>CSC 3, CSC 14</v>
      </c>
      <c r="N122" s="72">
        <f>VLOOKUP($B122,'Standards Crosswalk'!$A:$H,4,FALSE)</f>
        <v>0</v>
      </c>
      <c r="O122" s="72">
        <f>VLOOKUP($B122,'Standards Crosswalk'!$A:$H,5,FALSE)</f>
        <v>0</v>
      </c>
      <c r="P122" s="72">
        <f>VLOOKUP($B122,'Standards Crosswalk'!$A:$H,6,FALSE)</f>
        <v>0</v>
      </c>
      <c r="Q122" s="72">
        <f>VLOOKUP($B122,'Standards Crosswalk'!$A:$H,7,FALSE)</f>
        <v>0</v>
      </c>
      <c r="R122" s="72" t="str">
        <f>VLOOKUP($B122,'Standards Crosswalk'!$A:$H,8,FALSE)</f>
        <v>AC-4</v>
      </c>
      <c r="S122" s="72">
        <f>VLOOKUP($B122,'Standards Crosswalk'!$A:$I,9,FALSE)</f>
        <v>12.8</v>
      </c>
    </row>
    <row r="123" spans="1:19" ht="57.75" thickBot="1" x14ac:dyDescent="0.25">
      <c r="A123" s="71">
        <f t="shared" si="4"/>
        <v>121</v>
      </c>
      <c r="B123" s="95" t="s">
        <v>288</v>
      </c>
      <c r="C123" s="78" t="str">
        <f>VLOOKUP(B123,'HECVAT - Full'!A:E,2,FALSE)</f>
        <v>Are your servers separated from other companies via a physical barrier, such as a cage or hardened walls?</v>
      </c>
      <c r="D123" s="71">
        <f>VLOOKUP(B123,'HECVAT - Full'!A:E,4,FALSE)</f>
        <v>0</v>
      </c>
      <c r="E123" s="79" t="b">
        <f>IF(Table1[[#This Row],[Column11]]&gt;20,TRUE,FALSE)</f>
        <v>1</v>
      </c>
      <c r="F123" s="79" t="s">
        <v>2035</v>
      </c>
      <c r="G123" s="80" t="s">
        <v>17</v>
      </c>
      <c r="H123" s="81">
        <f>IF(I122="Yes",1,0)</f>
        <v>0</v>
      </c>
      <c r="I123" s="71">
        <f>VLOOKUP(B123,'HECVAT - Full'!A:E,3,FALSE)</f>
        <v>0</v>
      </c>
      <c r="J123" s="71">
        <f>IF(Table1[[#This Row],[Column7]]=Table1[[#This Row],[Column9]],1,0)</f>
        <v>0</v>
      </c>
      <c r="K123" s="71" t="str">
        <f>IF(Table1[[#This Row],[Column8]]=1,20,"")</f>
        <v/>
      </c>
      <c r="L123" s="71" t="str">
        <f>IF(Table1[[#This Row],[Column8]]=1,J123*K123,"")</f>
        <v/>
      </c>
      <c r="M123" s="72" t="str">
        <f>VLOOKUP($B123,'Standards Crosswalk'!$A:$H,3,FALSE)</f>
        <v>CSC 3, CSC 14</v>
      </c>
      <c r="N123" s="72">
        <f>VLOOKUP($B123,'Standards Crosswalk'!$A:$H,4,FALSE)</f>
        <v>0</v>
      </c>
      <c r="O123" s="72" t="str">
        <f>VLOOKUP($B123,'Standards Crosswalk'!$A:$H,5,FALSE)</f>
        <v>13.1.2</v>
      </c>
      <c r="P123" s="72" t="str">
        <f>VLOOKUP($B123,'Standards Crosswalk'!$A:$H,6,FALSE)</f>
        <v>PR.AC-2</v>
      </c>
      <c r="Q123" s="72">
        <f>VLOOKUP($B123,'Standards Crosswalk'!$A:$H,7,FALSE)</f>
        <v>0</v>
      </c>
      <c r="R123" s="72">
        <f>VLOOKUP($B123,'Standards Crosswalk'!$A:$H,8,FALSE)</f>
        <v>0</v>
      </c>
      <c r="S123" s="72" t="str">
        <f>VLOOKUP($B123,'Standards Crosswalk'!$A:$I,9,FALSE)</f>
        <v>9.x</v>
      </c>
    </row>
    <row r="124" spans="1:19" ht="57.75" thickBot="1" x14ac:dyDescent="0.25">
      <c r="A124" s="71">
        <f t="shared" si="4"/>
        <v>122</v>
      </c>
      <c r="B124" s="95" t="s">
        <v>289</v>
      </c>
      <c r="C124" s="78" t="str">
        <f>VLOOKUP(B124,'HECVAT - Full'!A:E,2,FALSE)</f>
        <v>Does a physical barrier fully enclose the physical space preventing unauthorized physical contact with any of your devices?</v>
      </c>
      <c r="D124" s="71">
        <f>VLOOKUP(B124,'HECVAT - Full'!A:E,4,FALSE)</f>
        <v>0</v>
      </c>
      <c r="E124" s="79" t="b">
        <f>IF(Table1[[#This Row],[Column11]]&gt;20,TRUE,FALSE)</f>
        <v>1</v>
      </c>
      <c r="F124" s="79" t="s">
        <v>2035</v>
      </c>
      <c r="G124" s="80" t="s">
        <v>17</v>
      </c>
      <c r="H124" s="81">
        <f>IF(I122="Yes",1,0)</f>
        <v>0</v>
      </c>
      <c r="I124" s="71">
        <f>VLOOKUP(B124,'HECVAT - Full'!A:E,3,FALSE)</f>
        <v>0</v>
      </c>
      <c r="J124" s="71">
        <f>IF(Table1[[#This Row],[Column7]]=Table1[[#This Row],[Column9]],1,0)</f>
        <v>0</v>
      </c>
      <c r="K124" s="71" t="str">
        <f>IF(Table1[[#This Row],[Column8]]=1,20,"")</f>
        <v/>
      </c>
      <c r="L124" s="71" t="str">
        <f>IF(Table1[[#This Row],[Column8]]=1,J124*K124,"")</f>
        <v/>
      </c>
      <c r="M124" s="72" t="str">
        <f>VLOOKUP($B124,'Standards Crosswalk'!$A:$H,3,FALSE)</f>
        <v>CSC 14</v>
      </c>
      <c r="N124" s="72">
        <f>VLOOKUP($B124,'Standards Crosswalk'!$A:$H,4,FALSE)</f>
        <v>0</v>
      </c>
      <c r="O124" s="72" t="str">
        <f>VLOOKUP($B124,'Standards Crosswalk'!$A:$H,5,FALSE)</f>
        <v>11.1.1, 11.1.2</v>
      </c>
      <c r="P124" s="72" t="str">
        <f>VLOOKUP($B124,'Standards Crosswalk'!$A:$H,6,FALSE)</f>
        <v>PR.AC-2</v>
      </c>
      <c r="Q124" s="72" t="str">
        <f>VLOOKUP($B124,'Standards Crosswalk'!$A:$H,7,FALSE)</f>
        <v>3.8.1, 3.8.2</v>
      </c>
      <c r="R124" s="72">
        <f>VLOOKUP($B124,'Standards Crosswalk'!$A:$H,8,FALSE)</f>
        <v>0</v>
      </c>
      <c r="S124" s="72" t="str">
        <f>VLOOKUP($B124,'Standards Crosswalk'!$A:$I,9,FALSE)</f>
        <v>9.x</v>
      </c>
    </row>
    <row r="125" spans="1:19" ht="43.5" thickBot="1" x14ac:dyDescent="0.25">
      <c r="A125" s="71">
        <f t="shared" si="4"/>
        <v>123</v>
      </c>
      <c r="B125" s="77" t="s">
        <v>290</v>
      </c>
      <c r="C125" s="78" t="str">
        <f>VLOOKUP(B125,'HECVAT - Full'!A:E,2,FALSE)</f>
        <v>Select the option that best describes the network segment that servers are connected to.</v>
      </c>
      <c r="D125" s="71">
        <f>VLOOKUP(B125,'HECVAT - Full'!A:E,4,FALSE)</f>
        <v>0</v>
      </c>
      <c r="E125" s="79" t="b">
        <f>IF(Table1[[#This Row],[Column11]]&gt;20,TRUE,FALSE)</f>
        <v>0</v>
      </c>
      <c r="F125" s="79" t="s">
        <v>2035</v>
      </c>
      <c r="G125" s="80" t="s">
        <v>17</v>
      </c>
      <c r="H125" s="81">
        <v>1</v>
      </c>
      <c r="I125" s="71">
        <f>VLOOKUP(B125,'HECVAT - Full'!A:E,3,FALSE)</f>
        <v>0</v>
      </c>
      <c r="J125" s="71">
        <f>IF(VLOOKUP(Table1[[#This Row],[Column2]],'Analyst Report'!$A$41:$G$88,7,FALSE)="Yes",1,0)</f>
        <v>0</v>
      </c>
      <c r="K125" s="71">
        <f>IF(Table1[[#This Row],[Column8]]=1,20,"")</f>
        <v>20</v>
      </c>
      <c r="L125" s="71">
        <f>IF(Table1[[#This Row],[Column8]]=1,J125*K125,"")</f>
        <v>0</v>
      </c>
      <c r="M125" s="72" t="str">
        <f>VLOOKUP($B125,'Standards Crosswalk'!$A:$H,3,FALSE)</f>
        <v>CSC 9</v>
      </c>
      <c r="N125" s="72">
        <f>VLOOKUP($B125,'Standards Crosswalk'!$A:$H,4,FALSE)</f>
        <v>0</v>
      </c>
      <c r="O125" s="72">
        <f>VLOOKUP($B125,'Standards Crosswalk'!$A:$H,5,FALSE)</f>
        <v>0</v>
      </c>
      <c r="P125" s="72" t="str">
        <f>VLOOKUP($B125,'Standards Crosswalk'!$A:$H,6,FALSE)</f>
        <v>PR.AC-5</v>
      </c>
      <c r="Q125" s="72" t="str">
        <f>VLOOKUP($B125,'Standards Crosswalk'!$A:$H,7,FALSE)</f>
        <v>3.1.3</v>
      </c>
      <c r="R125" s="72">
        <f>VLOOKUP($B125,'Standards Crosswalk'!$A:$H,8,FALSE)</f>
        <v>0</v>
      </c>
      <c r="S125" s="72">
        <f>VLOOKUP($B125,'Standards Crosswalk'!$A:$I,9,FALSE)</f>
        <v>0</v>
      </c>
    </row>
    <row r="126" spans="1:19" ht="43.5" thickBot="1" x14ac:dyDescent="0.25">
      <c r="A126" s="71">
        <f t="shared" si="4"/>
        <v>124</v>
      </c>
      <c r="B126" s="77" t="s">
        <v>291</v>
      </c>
      <c r="C126" s="78" t="str">
        <f>VLOOKUP(B126,'HECVAT - Full'!A:E,2,FALSE)</f>
        <v>Does this data center operate outside of the Institution's Data Zone?</v>
      </c>
      <c r="D126" s="71">
        <f>VLOOKUP(B126,'HECVAT - Full'!A:E,4,FALSE)</f>
        <v>0</v>
      </c>
      <c r="E126" s="79" t="b">
        <f>IF(Table1[[#This Row],[Column11]]&gt;20,TRUE,FALSE)</f>
        <v>0</v>
      </c>
      <c r="F126" s="79" t="s">
        <v>2035</v>
      </c>
      <c r="G126" s="80" t="s">
        <v>20</v>
      </c>
      <c r="H126" s="81">
        <v>1</v>
      </c>
      <c r="I126" s="71">
        <f>VLOOKUP(B126,'HECVAT - Full'!A:E,3,FALSE)</f>
        <v>0</v>
      </c>
      <c r="J126" s="71">
        <f>IF(Table1[[#This Row],[Column7]]=Table1[[#This Row],[Column9]],1,0)</f>
        <v>0</v>
      </c>
      <c r="K126" s="71">
        <f>IF(Table1[[#This Row],[Column8]]=1,20,"")</f>
        <v>20</v>
      </c>
      <c r="L126" s="71">
        <f>IF(Table1[[#This Row],[Column8]]=1,J126*K126,"")</f>
        <v>0</v>
      </c>
      <c r="M126" s="72" t="str">
        <f>VLOOKUP($B126,'Standards Crosswalk'!$A:$H,3,FALSE)</f>
        <v>CSC 12</v>
      </c>
      <c r="N126" s="72">
        <f>VLOOKUP($B126,'Standards Crosswalk'!$A:$H,4,FALSE)</f>
        <v>0</v>
      </c>
      <c r="O126" s="72" t="str">
        <f>VLOOKUP($B126,'Standards Crosswalk'!$A:$H,5,FALSE)</f>
        <v>18.1.1</v>
      </c>
      <c r="P126" s="72">
        <f>VLOOKUP($B126,'Standards Crosswalk'!$A:$H,6,FALSE)</f>
        <v>0</v>
      </c>
      <c r="Q126" s="72">
        <f>VLOOKUP($B126,'Standards Crosswalk'!$A:$H,7,FALSE)</f>
        <v>0</v>
      </c>
      <c r="R126" s="72">
        <f>VLOOKUP($B126,'Standards Crosswalk'!$A:$H,8,FALSE)</f>
        <v>0</v>
      </c>
      <c r="S126" s="72">
        <f>VLOOKUP($B126,'Standards Crosswalk'!$A:$I,9,FALSE)</f>
        <v>12.8</v>
      </c>
    </row>
    <row r="127" spans="1:19" ht="29.25" thickBot="1" x14ac:dyDescent="0.25">
      <c r="A127" s="71">
        <f t="shared" si="4"/>
        <v>125</v>
      </c>
      <c r="B127" s="77" t="s">
        <v>292</v>
      </c>
      <c r="C127" s="78" t="str">
        <f>VLOOKUP(B127,'HECVAT - Full'!A:E,2,FALSE)</f>
        <v>Will any institution data leave the Institution's Data Zone?</v>
      </c>
      <c r="D127" s="71">
        <f>VLOOKUP(B127,'HECVAT - Full'!A:E,4,FALSE)</f>
        <v>0</v>
      </c>
      <c r="E127" s="79" t="b">
        <f>IF(Table1[[#This Row],[Column11]]&gt;20,TRUE,FALSE)</f>
        <v>1</v>
      </c>
      <c r="F127" s="79" t="s">
        <v>2035</v>
      </c>
      <c r="G127" s="80" t="s">
        <v>20</v>
      </c>
      <c r="H127" s="81">
        <v>1</v>
      </c>
      <c r="I127" s="71">
        <f>VLOOKUP(B127,'HECVAT - Full'!A:E,3,FALSE)</f>
        <v>0</v>
      </c>
      <c r="J127" s="71">
        <f>IF(Table1[[#This Row],[Column7]]=Table1[[#This Row],[Column9]],1,0)</f>
        <v>0</v>
      </c>
      <c r="K127" s="71">
        <v>25</v>
      </c>
      <c r="L127" s="71">
        <f>IF(Table1[[#This Row],[Column8]]=1,J127*K127,"")</f>
        <v>0</v>
      </c>
      <c r="M127" s="72" t="str">
        <f>VLOOKUP($B127,'Standards Crosswalk'!$A:$H,3,FALSE)</f>
        <v>CSC 12</v>
      </c>
      <c r="N127" s="72">
        <f>VLOOKUP($B127,'Standards Crosswalk'!$A:$H,4,FALSE)</f>
        <v>0</v>
      </c>
      <c r="O127" s="72" t="str">
        <f>VLOOKUP($B127,'Standards Crosswalk'!$A:$H,5,FALSE)</f>
        <v>18.1.1</v>
      </c>
      <c r="P127" s="72">
        <f>VLOOKUP($B127,'Standards Crosswalk'!$A:$H,6,FALSE)</f>
        <v>0</v>
      </c>
      <c r="Q127" s="72">
        <f>VLOOKUP($B127,'Standards Crosswalk'!$A:$H,7,FALSE)</f>
        <v>0</v>
      </c>
      <c r="R127" s="72">
        <f>VLOOKUP($B127,'Standards Crosswalk'!$A:$H,8,FALSE)</f>
        <v>0</v>
      </c>
      <c r="S127" s="72">
        <f>VLOOKUP($B127,'Standards Crosswalk'!$A:$I,9,FALSE)</f>
        <v>12.9</v>
      </c>
    </row>
    <row r="128" spans="1:19" ht="29.25" thickBot="1" x14ac:dyDescent="0.25">
      <c r="A128" s="71">
        <f t="shared" si="4"/>
        <v>126</v>
      </c>
      <c r="B128" s="77" t="str">
        <f>IF(I127="Yes","DCTR-10","")</f>
        <v/>
      </c>
      <c r="C128" s="78" t="e">
        <f>VLOOKUP(B128,'HECVAT - Full'!A:E,2,FALSE)</f>
        <v>#N/A</v>
      </c>
      <c r="D128" s="71" t="e">
        <f>VLOOKUP(B128,'HECVAT - Full'!A:E,4,FALSE)</f>
        <v>#N/A</v>
      </c>
      <c r="E128" s="79" t="b">
        <f>IF(Table1[[#This Row],[Column11]]&gt;20,TRUE,FALSE)</f>
        <v>1</v>
      </c>
      <c r="F128" s="79" t="s">
        <v>2035</v>
      </c>
      <c r="G128" s="80" t="s">
        <v>20</v>
      </c>
      <c r="H128" s="81">
        <f>IF(I127="Yes",1,0)</f>
        <v>0</v>
      </c>
      <c r="I128" s="71" t="e">
        <f>VLOOKUP(B128,'HECVAT - Full'!A:E,3,FALSE)</f>
        <v>#N/A</v>
      </c>
      <c r="J128" s="71" t="e">
        <f>IF(VLOOKUP(Table1[[#This Row],[Column2]],'Analyst Report'!$A$41:$G$88,7,FALSE)="Yes",1,0)</f>
        <v>#N/A</v>
      </c>
      <c r="K128" s="71" t="str">
        <f>IF(Table1[[#This Row],[Column8]]=1,20,"")</f>
        <v/>
      </c>
      <c r="L128" s="71" t="str">
        <f>IF(Table1[[#This Row],[Column8]]=1,J128*K128,"")</f>
        <v/>
      </c>
      <c r="M128" s="72" t="e">
        <f>VLOOKUP($B128,'Standards Crosswalk'!$A:$H,3,FALSE)</f>
        <v>#N/A</v>
      </c>
      <c r="N128" s="72" t="e">
        <f>VLOOKUP($B128,'Standards Crosswalk'!$A:$H,4,FALSE)</f>
        <v>#N/A</v>
      </c>
      <c r="O128" s="72" t="e">
        <f>VLOOKUP($B128,'Standards Crosswalk'!$A:$H,5,FALSE)</f>
        <v>#N/A</v>
      </c>
      <c r="P128" s="72" t="e">
        <f>VLOOKUP($B128,'Standards Crosswalk'!$A:$H,6,FALSE)</f>
        <v>#N/A</v>
      </c>
      <c r="Q128" s="72" t="e">
        <f>VLOOKUP($B128,'Standards Crosswalk'!$A:$H,7,FALSE)</f>
        <v>#N/A</v>
      </c>
      <c r="R128" s="72" t="e">
        <f>VLOOKUP($B128,'Standards Crosswalk'!$A:$H,8,FALSE)</f>
        <v>#N/A</v>
      </c>
      <c r="S128" s="72" t="e">
        <f>VLOOKUP($B128,'Standards Crosswalk'!$A:$I,9,FALSE)</f>
        <v>#N/A</v>
      </c>
    </row>
    <row r="129" spans="1:19" ht="29.25" thickBot="1" x14ac:dyDescent="0.25">
      <c r="A129" s="71">
        <f t="shared" si="4"/>
        <v>127</v>
      </c>
      <c r="B129" s="77" t="s">
        <v>294</v>
      </c>
      <c r="C129" s="78" t="str">
        <f>VLOOKUP(B129,'HECVAT - Full'!A:E,2,FALSE)</f>
        <v>Are your primary and secondary data centers geographically diverse?</v>
      </c>
      <c r="D129" s="71">
        <f>VLOOKUP(B129,'HECVAT - Full'!A:E,4,FALSE)</f>
        <v>0</v>
      </c>
      <c r="E129" s="79" t="b">
        <f>IF(Table1[[#This Row],[Column11]]&gt;20,TRUE,FALSE)</f>
        <v>0</v>
      </c>
      <c r="F129" s="79" t="s">
        <v>2035</v>
      </c>
      <c r="G129" s="80" t="s">
        <v>17</v>
      </c>
      <c r="H129" s="81">
        <v>1</v>
      </c>
      <c r="I129" s="71">
        <f>VLOOKUP(B129,'HECVAT - Full'!A:E,3,FALSE)</f>
        <v>0</v>
      </c>
      <c r="J129" s="71">
        <f>IF(Table1[[#This Row],[Column7]]=Table1[[#This Row],[Column9]],1,0)</f>
        <v>0</v>
      </c>
      <c r="K129" s="71">
        <f>IF(Table1[[#This Row],[Column8]]=1,20,"")</f>
        <v>20</v>
      </c>
      <c r="L129" s="71">
        <f>IF(Table1[[#This Row],[Column8]]=1,J129*K129,"")</f>
        <v>0</v>
      </c>
      <c r="M129" s="72" t="str">
        <f>VLOOKUP($B129,'Standards Crosswalk'!$A:$H,3,FALSE)</f>
        <v>CSC 10</v>
      </c>
      <c r="N129" s="72">
        <f>VLOOKUP($B129,'Standards Crosswalk'!$A:$H,4,FALSE)</f>
        <v>0</v>
      </c>
      <c r="O129" s="72" t="str">
        <f>VLOOKUP($B129,'Standards Crosswalk'!$A:$H,5,FALSE)</f>
        <v>11.1.4</v>
      </c>
      <c r="P129" s="72">
        <f>VLOOKUP($B129,'Standards Crosswalk'!$A:$H,6,FALSE)</f>
        <v>0</v>
      </c>
      <c r="Q129" s="72">
        <f>VLOOKUP($B129,'Standards Crosswalk'!$A:$H,7,FALSE)</f>
        <v>0</v>
      </c>
      <c r="R129" s="72">
        <f>VLOOKUP($B129,'Standards Crosswalk'!$A:$H,8,FALSE)</f>
        <v>0</v>
      </c>
      <c r="S129" s="72">
        <f>VLOOKUP($B129,'Standards Crosswalk'!$A:$I,9,FALSE)</f>
        <v>12.8</v>
      </c>
    </row>
    <row r="130" spans="1:19" ht="57.75" thickBot="1" x14ac:dyDescent="0.25">
      <c r="A130" s="71">
        <f t="shared" si="4"/>
        <v>128</v>
      </c>
      <c r="B130" s="77" t="s">
        <v>295</v>
      </c>
      <c r="C130" s="78" t="str">
        <f>VLOOKUP(B130,'HECVAT - Full'!A:E,2,FALSE)</f>
        <v>If outsourced or co-located, is there a contract in place to prevent data from leaving the Institution's Data Zone?</v>
      </c>
      <c r="D130" s="71">
        <f>VLOOKUP(B130,'HECVAT - Full'!A:E,4,FALSE)</f>
        <v>0</v>
      </c>
      <c r="E130" s="79" t="b">
        <f>IF(Table1[[#This Row],[Column11]]&gt;20,TRUE,FALSE)</f>
        <v>0</v>
      </c>
      <c r="F130" s="79" t="s">
        <v>2035</v>
      </c>
      <c r="G130" s="80" t="s">
        <v>17</v>
      </c>
      <c r="H130" s="81">
        <v>1</v>
      </c>
      <c r="I130" s="71">
        <f>VLOOKUP(B130,'HECVAT - Full'!A:E,3,FALSE)</f>
        <v>0</v>
      </c>
      <c r="J130" s="71">
        <f>IF(Table1[[#This Row],[Column7]]=Table1[[#This Row],[Column9]],1,0)</f>
        <v>0</v>
      </c>
      <c r="K130" s="71">
        <f>IF(Table1[[#This Row],[Column8]]=1,20,"")</f>
        <v>20</v>
      </c>
      <c r="L130" s="71">
        <f>IF(Table1[[#This Row],[Column8]]=1,J130*K130,"")</f>
        <v>0</v>
      </c>
      <c r="M130" s="72" t="str">
        <f>VLOOKUP($B130,'Standards Crosswalk'!$A:$H,3,FALSE)</f>
        <v>CSC 12</v>
      </c>
      <c r="N130" s="72">
        <f>VLOOKUP($B130,'Standards Crosswalk'!$A:$H,4,FALSE)</f>
        <v>0</v>
      </c>
      <c r="O130" s="72" t="str">
        <f>VLOOKUP($B130,'Standards Crosswalk'!$A:$H,5,FALSE)</f>
        <v>18.1.1</v>
      </c>
      <c r="P130" s="72">
        <f>VLOOKUP($B130,'Standards Crosswalk'!$A:$H,6,FALSE)</f>
        <v>0</v>
      </c>
      <c r="Q130" s="72">
        <f>VLOOKUP($B130,'Standards Crosswalk'!$A:$H,7,FALSE)</f>
        <v>0</v>
      </c>
      <c r="R130" s="72">
        <f>VLOOKUP($B130,'Standards Crosswalk'!$A:$H,8,FALSE)</f>
        <v>0</v>
      </c>
      <c r="S130" s="72">
        <f>VLOOKUP($B130,'Standards Crosswalk'!$A:$I,9,FALSE)</f>
        <v>12.8</v>
      </c>
    </row>
    <row r="131" spans="1:19" ht="43.5" thickBot="1" x14ac:dyDescent="0.25">
      <c r="A131" s="71">
        <f t="shared" si="4"/>
        <v>129</v>
      </c>
      <c r="B131" s="77" t="s">
        <v>296</v>
      </c>
      <c r="C131" s="78" t="str">
        <f>VLOOKUP(B131,'HECVAT - Full'!A:E,2,FALSE)</f>
        <v>What Tier Level is your data center (per levels defined by the Uptime Institute)?</v>
      </c>
      <c r="D131" s="71">
        <f>VLOOKUP(B131,'HECVAT - Full'!A:E,4,FALSE)</f>
        <v>0</v>
      </c>
      <c r="E131" s="79" t="b">
        <f>IF(Table1[[#This Row],[Column11]]&gt;20,TRUE,FALSE)</f>
        <v>0</v>
      </c>
      <c r="F131" s="79" t="s">
        <v>2035</v>
      </c>
      <c r="G131" s="80" t="s">
        <v>17</v>
      </c>
      <c r="H131" s="81">
        <v>1</v>
      </c>
      <c r="I131" s="71">
        <f>VLOOKUP(B131,'HECVAT - Full'!A:E,3,FALSE)</f>
        <v>0</v>
      </c>
      <c r="J131" s="71">
        <f>IF(VLOOKUP(Table1[[#This Row],[Column2]],'Analyst Report'!$A$41:$G$88,7,FALSE)="Yes",1,0)</f>
        <v>0</v>
      </c>
      <c r="K131" s="71">
        <f>IF(Table1[[#This Row],[Column8]]=1,15,"")</f>
        <v>15</v>
      </c>
      <c r="L131" s="71">
        <f>IF(Table1[[#This Row],[Column8]]=1,J131*K131,"")</f>
        <v>0</v>
      </c>
      <c r="M131" s="72">
        <f>VLOOKUP($B131,'Standards Crosswalk'!$A:$H,3,FALSE)</f>
        <v>0</v>
      </c>
      <c r="N131" s="72">
        <f>VLOOKUP($B131,'Standards Crosswalk'!$A:$H,4,FALSE)</f>
        <v>0</v>
      </c>
      <c r="O131" s="72" t="str">
        <f>VLOOKUP($B131,'Standards Crosswalk'!$A:$H,5,FALSE)</f>
        <v>17.1.1</v>
      </c>
      <c r="P131" s="72">
        <f>VLOOKUP($B131,'Standards Crosswalk'!$A:$H,6,FALSE)</f>
        <v>0</v>
      </c>
      <c r="Q131" s="72">
        <f>VLOOKUP($B131,'Standards Crosswalk'!$A:$H,7,FALSE)</f>
        <v>0</v>
      </c>
      <c r="R131" s="72">
        <f>VLOOKUP($B131,'Standards Crosswalk'!$A:$H,8,FALSE)</f>
        <v>0</v>
      </c>
      <c r="S131" s="72">
        <f>VLOOKUP($B131,'Standards Crosswalk'!$A:$I,9,FALSE)</f>
        <v>0</v>
      </c>
    </row>
    <row r="132" spans="1:19" ht="29.25" thickBot="1" x14ac:dyDescent="0.25">
      <c r="A132" s="71">
        <f t="shared" ref="A132:A195" si="5">A131+1</f>
        <v>130</v>
      </c>
      <c r="B132" s="77" t="s">
        <v>297</v>
      </c>
      <c r="C132" s="78" t="str">
        <f>VLOOKUP(B132,'HECVAT - Full'!A:E,2,FALSE)</f>
        <v>Is the service hosted in a high availability environment?</v>
      </c>
      <c r="D132" s="71">
        <f>VLOOKUP(B132,'HECVAT - Full'!A:E,4,FALSE)</f>
        <v>0</v>
      </c>
      <c r="E132" s="79" t="b">
        <f>IF(Table1[[#This Row],[Column11]]&gt;20,TRUE,FALSE)</f>
        <v>0</v>
      </c>
      <c r="F132" s="79" t="s">
        <v>2035</v>
      </c>
      <c r="G132" s="80" t="s">
        <v>17</v>
      </c>
      <c r="H132" s="81">
        <v>1</v>
      </c>
      <c r="I132" s="71">
        <f>VLOOKUP(B132,'HECVAT - Full'!A:E,3,FALSE)</f>
        <v>0</v>
      </c>
      <c r="J132" s="71">
        <f>IF(Table1[[#This Row],[Column7]]=Table1[[#This Row],[Column9]],1,0)</f>
        <v>0</v>
      </c>
      <c r="K132" s="71">
        <f>IF(Table1[[#This Row],[Column8]]=1,20,"")</f>
        <v>20</v>
      </c>
      <c r="L132" s="71">
        <f>IF(Table1[[#This Row],[Column8]]=1,J132*K132,"")</f>
        <v>0</v>
      </c>
      <c r="M132" s="72" t="str">
        <f>VLOOKUP($B132,'Standards Crosswalk'!$A:$H,3,FALSE)</f>
        <v>CSC 10</v>
      </c>
      <c r="N132" s="72">
        <f>VLOOKUP($B132,'Standards Crosswalk'!$A:$H,4,FALSE)</f>
        <v>0</v>
      </c>
      <c r="O132" s="72" t="str">
        <f>VLOOKUP($B132,'Standards Crosswalk'!$A:$H,5,FALSE)</f>
        <v>17.1.1</v>
      </c>
      <c r="P132" s="72" t="str">
        <f>VLOOKUP($B132,'Standards Crosswalk'!$A:$H,6,FALSE)</f>
        <v>PR.DS-4</v>
      </c>
      <c r="Q132" s="72">
        <f>VLOOKUP($B132,'Standards Crosswalk'!$A:$H,7,FALSE)</f>
        <v>0</v>
      </c>
      <c r="R132" s="72">
        <f>VLOOKUP($B132,'Standards Crosswalk'!$A:$H,8,FALSE)</f>
        <v>0</v>
      </c>
      <c r="S132" s="72">
        <f>VLOOKUP($B132,'Standards Crosswalk'!$A:$I,9,FALSE)</f>
        <v>0</v>
      </c>
    </row>
    <row r="133" spans="1:19" ht="43.5" thickBot="1" x14ac:dyDescent="0.25">
      <c r="A133" s="71">
        <f t="shared" si="5"/>
        <v>131</v>
      </c>
      <c r="B133" s="77" t="s">
        <v>298</v>
      </c>
      <c r="C133" s="78" t="str">
        <f>VLOOKUP(B133,'HECVAT - Full'!A:E,2,FALSE)</f>
        <v xml:space="preserve">Is redundant power available for all datacenters where institution data will reside? </v>
      </c>
      <c r="D133" s="71">
        <f>VLOOKUP(B133,'HECVAT - Full'!A:E,4,FALSE)</f>
        <v>0</v>
      </c>
      <c r="E133" s="79" t="b">
        <f>IF(Table1[[#This Row],[Column11]]&gt;20,TRUE,FALSE)</f>
        <v>0</v>
      </c>
      <c r="F133" s="79" t="s">
        <v>2035</v>
      </c>
      <c r="G133" s="80" t="s">
        <v>17</v>
      </c>
      <c r="H133" s="81">
        <v>1</v>
      </c>
      <c r="I133" s="71">
        <f>VLOOKUP(B133,'HECVAT - Full'!A:E,3,FALSE)</f>
        <v>0</v>
      </c>
      <c r="J133" s="71">
        <f>IF(Table1[[#This Row],[Column7]]=Table1[[#This Row],[Column9]],1,0)</f>
        <v>0</v>
      </c>
      <c r="K133" s="71">
        <f>IF(Table1[[#This Row],[Column8]]=1,20,"")</f>
        <v>20</v>
      </c>
      <c r="L133" s="71">
        <f>IF(Table1[[#This Row],[Column8]]=1,J133*K133,"")</f>
        <v>0</v>
      </c>
      <c r="M133" s="72">
        <f>VLOOKUP($B133,'Standards Crosswalk'!$A:$H,3,FALSE)</f>
        <v>0</v>
      </c>
      <c r="N133" s="72">
        <f>VLOOKUP($B133,'Standards Crosswalk'!$A:$H,4,FALSE)</f>
        <v>0</v>
      </c>
      <c r="O133" s="72" t="str">
        <f>VLOOKUP($B133,'Standards Crosswalk'!$A:$H,5,FALSE)</f>
        <v>17.2.1</v>
      </c>
      <c r="P133" s="72" t="str">
        <f>VLOOKUP($B133,'Standards Crosswalk'!$A:$H,6,FALSE)</f>
        <v>PR.DS-4</v>
      </c>
      <c r="Q133" s="72">
        <f>VLOOKUP($B133,'Standards Crosswalk'!$A:$H,7,FALSE)</f>
        <v>0</v>
      </c>
      <c r="R133" s="72">
        <f>VLOOKUP($B133,'Standards Crosswalk'!$A:$H,8,FALSE)</f>
        <v>0</v>
      </c>
      <c r="S133" s="72">
        <f>VLOOKUP($B133,'Standards Crosswalk'!$A:$I,9,FALSE)</f>
        <v>0</v>
      </c>
    </row>
    <row r="134" spans="1:19" ht="29.25" thickBot="1" x14ac:dyDescent="0.25">
      <c r="A134" s="71">
        <f t="shared" si="5"/>
        <v>132</v>
      </c>
      <c r="B134" s="95" t="s">
        <v>299</v>
      </c>
      <c r="C134" s="78" t="str">
        <f>VLOOKUP(B134,'HECVAT - Full'!A:E,2,FALSE)</f>
        <v>Are redundant power strategies tested?</v>
      </c>
      <c r="D134" s="71">
        <f>VLOOKUP(B134,'HECVAT - Full'!A:E,4,FALSE)</f>
        <v>0</v>
      </c>
      <c r="E134" s="79" t="b">
        <f>IF(Table1[[#This Row],[Column11]]&gt;20,TRUE,FALSE)</f>
        <v>1</v>
      </c>
      <c r="F134" s="79" t="s">
        <v>2035</v>
      </c>
      <c r="G134" s="80" t="s">
        <v>17</v>
      </c>
      <c r="H134" s="81">
        <f>IF(I133="Yes",1,0)</f>
        <v>0</v>
      </c>
      <c r="I134" s="71">
        <f>VLOOKUP(B134,'HECVAT - Full'!A:E,3,FALSE)</f>
        <v>0</v>
      </c>
      <c r="J134" s="71">
        <f>IF(Table1[[#This Row],[Column7]]=Table1[[#This Row],[Column9]],1,0)</f>
        <v>0</v>
      </c>
      <c r="K134" s="71" t="str">
        <f>IF(Table1[[#This Row],[Column8]]=1,20,"")</f>
        <v/>
      </c>
      <c r="L134" s="71" t="str">
        <f>IF(Table1[[#This Row],[Column8]]=1,J134*K134,"")</f>
        <v/>
      </c>
      <c r="M134" s="72">
        <f>VLOOKUP($B134,'Standards Crosswalk'!$A:$H,3,FALSE)</f>
        <v>0</v>
      </c>
      <c r="N134" s="72">
        <f>VLOOKUP($B134,'Standards Crosswalk'!$A:$H,4,FALSE)</f>
        <v>0</v>
      </c>
      <c r="O134" s="72" t="str">
        <f>VLOOKUP($B134,'Standards Crosswalk'!$A:$H,5,FALSE)</f>
        <v>17.1.3</v>
      </c>
      <c r="P134" s="72" t="str">
        <f>VLOOKUP($B134,'Standards Crosswalk'!$A:$H,6,FALSE)</f>
        <v>PR.DS-4</v>
      </c>
      <c r="Q134" s="72">
        <f>VLOOKUP($B134,'Standards Crosswalk'!$A:$H,7,FALSE)</f>
        <v>0</v>
      </c>
      <c r="R134" s="72">
        <f>VLOOKUP($B134,'Standards Crosswalk'!$A:$H,8,FALSE)</f>
        <v>0</v>
      </c>
      <c r="S134" s="72">
        <f>VLOOKUP($B134,'Standards Crosswalk'!$A:$I,9,FALSE)</f>
        <v>0</v>
      </c>
    </row>
    <row r="135" spans="1:19" ht="72" thickBot="1" x14ac:dyDescent="0.25">
      <c r="A135" s="71">
        <f t="shared" si="5"/>
        <v>133</v>
      </c>
      <c r="B135" s="77" t="s">
        <v>300</v>
      </c>
      <c r="C135" s="78" t="str">
        <f>VLOOKUP(B135,'HECVAT - Full'!A:E,2,FALSE)</f>
        <v>Describe or provide a reference to the availability of cooling and fire suppression systems in all datacenters where institution data will reside.</v>
      </c>
      <c r="D135" s="71">
        <f>VLOOKUP(B135,'HECVAT - Full'!A:E,4,FALSE)</f>
        <v>0</v>
      </c>
      <c r="E135" s="79" t="b">
        <f>IF(Table1[[#This Row],[Column11]]&gt;20,TRUE,FALSE)</f>
        <v>0</v>
      </c>
      <c r="F135" s="79" t="s">
        <v>2035</v>
      </c>
      <c r="G135" s="80" t="s">
        <v>17</v>
      </c>
      <c r="H135" s="81">
        <v>1</v>
      </c>
      <c r="I135" s="71">
        <f>VLOOKUP(B135,'HECVAT - Full'!A:E,3,FALSE)</f>
        <v>0</v>
      </c>
      <c r="J135" s="71">
        <f>IF(VLOOKUP(B135,'Analyst Report'!$A$41:$H$88,7,FALSE)="Yes",1,0)</f>
        <v>0</v>
      </c>
      <c r="K135" s="71">
        <f>IF(Table1[[#This Row],[Column8]]=1,20,"")</f>
        <v>20</v>
      </c>
      <c r="L135" s="71">
        <f>IF(Table1[[#This Row],[Column8]]=1,J135*K135,"")</f>
        <v>0</v>
      </c>
      <c r="M135" s="72">
        <f>VLOOKUP($B135,'Standards Crosswalk'!$A:$H,3,FALSE)</f>
        <v>0</v>
      </c>
      <c r="N135" s="72">
        <f>VLOOKUP($B135,'Standards Crosswalk'!$A:$H,4,FALSE)</f>
        <v>0</v>
      </c>
      <c r="O135" s="72" t="str">
        <f>VLOOKUP($B135,'Standards Crosswalk'!$A:$H,5,FALSE)</f>
        <v>17.2.1</v>
      </c>
      <c r="P135" s="72">
        <f>VLOOKUP($B135,'Standards Crosswalk'!$A:$H,6,FALSE)</f>
        <v>0</v>
      </c>
      <c r="Q135" s="72">
        <f>VLOOKUP($B135,'Standards Crosswalk'!$A:$H,7,FALSE)</f>
        <v>0</v>
      </c>
      <c r="R135" s="72" t="str">
        <f>VLOOKUP($B135,'Standards Crosswalk'!$A:$H,8,FALSE)</f>
        <v>PE-2, PE-3, PE-5, PE-11, PE-13, PE-14</v>
      </c>
      <c r="S135" s="72">
        <f>VLOOKUP($B135,'Standards Crosswalk'!$A:$I,9,FALSE)</f>
        <v>0</v>
      </c>
    </row>
    <row r="136" spans="1:19" ht="72" thickBot="1" x14ac:dyDescent="0.25">
      <c r="A136" s="71">
        <f t="shared" si="5"/>
        <v>134</v>
      </c>
      <c r="B136" s="77" t="s">
        <v>301</v>
      </c>
      <c r="C136" s="78" t="str">
        <f>VLOOKUP(B136,'HECVAT - Full'!A:E,2,FALSE)</f>
        <v xml:space="preserve">State how many Internet Service Providers (ISPs) provide connectivity to each datacenter where the institution's data will reside. </v>
      </c>
      <c r="D136" s="71">
        <f>VLOOKUP(B136,'HECVAT - Full'!A:E,4,FALSE)</f>
        <v>0</v>
      </c>
      <c r="E136" s="79" t="b">
        <f>IF(Table1[[#This Row],[Column11]]&gt;20,TRUE,FALSE)</f>
        <v>0</v>
      </c>
      <c r="F136" s="79" t="s">
        <v>2035</v>
      </c>
      <c r="G136" s="80" t="s">
        <v>17</v>
      </c>
      <c r="H136" s="81">
        <v>1</v>
      </c>
      <c r="I136" s="71">
        <f>VLOOKUP(B136,'HECVAT - Full'!A:E,3,FALSE)</f>
        <v>0</v>
      </c>
      <c r="J136" s="71">
        <f>IF(VLOOKUP(B136,'Analyst Report'!$A$41:$H$88,7,FALSE)="Yes",1,0)</f>
        <v>0</v>
      </c>
      <c r="K136" s="71">
        <f>IF(Table1[[#This Row],[Column8]]=1,20,"")</f>
        <v>20</v>
      </c>
      <c r="L136" s="71">
        <f>IF(Table1[[#This Row],[Column8]]=1,J136*K136,"")</f>
        <v>0</v>
      </c>
      <c r="M136" s="72" t="str">
        <f>VLOOKUP($B136,'Standards Crosswalk'!$A:$H,3,FALSE)</f>
        <v>CSC 10</v>
      </c>
      <c r="N136" s="72">
        <f>VLOOKUP($B136,'Standards Crosswalk'!$A:$H,4,FALSE)</f>
        <v>0</v>
      </c>
      <c r="O136" s="72" t="str">
        <f>VLOOKUP($B136,'Standards Crosswalk'!$A:$H,5,FALSE)</f>
        <v>17.2.1</v>
      </c>
      <c r="P136" s="72" t="str">
        <f>VLOOKUP($B136,'Standards Crosswalk'!$A:$H,6,FALSE)</f>
        <v>PR.DS-4</v>
      </c>
      <c r="Q136" s="72">
        <f>VLOOKUP($B136,'Standards Crosswalk'!$A:$H,7,FALSE)</f>
        <v>0</v>
      </c>
      <c r="R136" s="72" t="str">
        <f>VLOOKUP($B136,'Standards Crosswalk'!$A:$H,8,FALSE)</f>
        <v>PE-2, PE-3, PE-5, PE-11, PE-13, PE-14</v>
      </c>
      <c r="S136" s="72">
        <f>VLOOKUP($B136,'Standards Crosswalk'!$A:$I,9,FALSE)</f>
        <v>12.8</v>
      </c>
    </row>
    <row r="137" spans="1:19" ht="72" thickBot="1" x14ac:dyDescent="0.25">
      <c r="A137" s="71">
        <f t="shared" si="5"/>
        <v>135</v>
      </c>
      <c r="B137" s="77" t="s">
        <v>302</v>
      </c>
      <c r="C137" s="78" t="str">
        <f>VLOOKUP(B137,'HECVAT - Full'!A:E,2,FALSE)</f>
        <v>Does every datacenter where the Institution's data will reside have multiple telephone company or network provider entrances to the facility?</v>
      </c>
      <c r="D137" s="71">
        <f>VLOOKUP(B137,'HECVAT - Full'!A:E,4,FALSE)</f>
        <v>0</v>
      </c>
      <c r="E137" s="79" t="b">
        <f>IF(Table1[[#This Row],[Column11]]&gt;20,TRUE,FALSE)</f>
        <v>0</v>
      </c>
      <c r="F137" s="79" t="s">
        <v>2035</v>
      </c>
      <c r="G137" s="80" t="s">
        <v>17</v>
      </c>
      <c r="H137" s="81">
        <v>1</v>
      </c>
      <c r="I137" s="71">
        <f>VLOOKUP(B137,'HECVAT - Full'!A:E,3,FALSE)</f>
        <v>0</v>
      </c>
      <c r="J137" s="71">
        <f>IF(Table1[[#This Row],[Column7]]=Table1[[#This Row],[Column9]],1,0)</f>
        <v>0</v>
      </c>
      <c r="K137" s="71">
        <f>IF(Table1[[#This Row],[Column8]]=1,20,"")</f>
        <v>20</v>
      </c>
      <c r="L137" s="71">
        <f>IF(Table1[[#This Row],[Column8]]=1,J137*K137,"")</f>
        <v>0</v>
      </c>
      <c r="M137" s="72" t="str">
        <f>VLOOKUP($B137,'Standards Crosswalk'!$A:$H,3,FALSE)</f>
        <v>CSC 13</v>
      </c>
      <c r="N137" s="72">
        <f>VLOOKUP($B137,'Standards Crosswalk'!$A:$H,4,FALSE)</f>
        <v>0</v>
      </c>
      <c r="O137" s="72" t="str">
        <f>VLOOKUP($B137,'Standards Crosswalk'!$A:$H,5,FALSE)</f>
        <v>17.2.1</v>
      </c>
      <c r="P137" s="72" t="str">
        <f>VLOOKUP($B137,'Standards Crosswalk'!$A:$H,6,FALSE)</f>
        <v>PR.DS-4</v>
      </c>
      <c r="Q137" s="72">
        <f>VLOOKUP($B137,'Standards Crosswalk'!$A:$H,7,FALSE)</f>
        <v>0</v>
      </c>
      <c r="R137" s="72" t="str">
        <f>VLOOKUP($B137,'Standards Crosswalk'!$A:$H,8,FALSE)</f>
        <v>PE-2, PE-3, PE-5, PE-11, PE-13, PE-14</v>
      </c>
      <c r="S137" s="72">
        <f>VLOOKUP($B137,'Standards Crosswalk'!$A:$I,9,FALSE)</f>
        <v>12.8</v>
      </c>
    </row>
    <row r="138" spans="1:19" ht="43.5" thickBot="1" x14ac:dyDescent="0.25">
      <c r="A138" s="71">
        <f t="shared" si="5"/>
        <v>136</v>
      </c>
      <c r="B138" s="77" t="s">
        <v>303</v>
      </c>
      <c r="C138" s="78" t="str">
        <f>VLOOKUP(B138,'HECVAT - Full'!A:E,2,FALSE)</f>
        <v>Describe or provide a reference to your Disaster Recovery Plan (DRP).</v>
      </c>
      <c r="D138" s="71">
        <f>VLOOKUP(B138,'HECVAT - Full'!A:E,4,FALSE)</f>
        <v>0</v>
      </c>
      <c r="E138" s="79" t="b">
        <f>IF(Table1[[#This Row],[Column11]]&gt;20,TRUE,FALSE)</f>
        <v>1</v>
      </c>
      <c r="F138" s="79" t="s">
        <v>2036</v>
      </c>
      <c r="G138" s="80" t="s">
        <v>17</v>
      </c>
      <c r="H138" s="81">
        <v>1</v>
      </c>
      <c r="I138" s="71">
        <f>VLOOKUP(B138,'HECVAT - Full'!A:E,3,FALSE)</f>
        <v>0</v>
      </c>
      <c r="J138" s="71">
        <f>IF(VLOOKUP(B138,'Analyst Report'!$A$41:$H$88,7,FALSE)="Yes",1,0)</f>
        <v>0</v>
      </c>
      <c r="K138" s="71">
        <f>IF(Table1[[#This Row],[Column8]]=1,25,"")</f>
        <v>25</v>
      </c>
      <c r="L138" s="71">
        <f>IF(Table1[[#This Row],[Column8]]=1,J138*K138,"")</f>
        <v>0</v>
      </c>
      <c r="M138" s="72" t="str">
        <f>VLOOKUP($B138,'Standards Crosswalk'!$A:$H,3,FALSE)</f>
        <v>CSC 10</v>
      </c>
      <c r="N138" s="72">
        <f>VLOOKUP($B138,'Standards Crosswalk'!$A:$H,4,FALSE)</f>
        <v>0</v>
      </c>
      <c r="O138" s="72" t="str">
        <f>VLOOKUP($B138,'Standards Crosswalk'!$A:$H,5,FALSE)</f>
        <v>17.1.1</v>
      </c>
      <c r="P138" s="72" t="str">
        <f>VLOOKUP($B138,'Standards Crosswalk'!$A:$H,6,FALSE)</f>
        <v>PR.IP-9</v>
      </c>
      <c r="Q138" s="72" t="str">
        <f>VLOOKUP($B138,'Standards Crosswalk'!$A:$H,7,FALSE)</f>
        <v>3.12.2</v>
      </c>
      <c r="R138" s="72" t="str">
        <f>VLOOKUP($B138,'Standards Crosswalk'!$A:$H,8,FALSE)</f>
        <v>AC-5, CP-4, CP-10; NIST SP 800-34</v>
      </c>
      <c r="S138" s="72">
        <f>VLOOKUP($B138,'Standards Crosswalk'!$A:$I,9,FALSE)</f>
        <v>12.8</v>
      </c>
    </row>
    <row r="139" spans="1:19" ht="43.5" thickBot="1" x14ac:dyDescent="0.25">
      <c r="A139" s="71">
        <f t="shared" si="5"/>
        <v>137</v>
      </c>
      <c r="B139" s="77" t="s">
        <v>304</v>
      </c>
      <c r="C139" s="78" t="str">
        <f>VLOOKUP(B139,'HECVAT - Full'!A:E,2,FALSE)</f>
        <v>Is an owner assigned who is responsible for the maintenance and review of the DRP?</v>
      </c>
      <c r="D139" s="71">
        <f>VLOOKUP(B139,'HECVAT - Full'!A:E,4,FALSE)</f>
        <v>0</v>
      </c>
      <c r="E139" s="79" t="b">
        <f>IF(Table1[[#This Row],[Column11]]&gt;20,TRUE,FALSE)</f>
        <v>0</v>
      </c>
      <c r="F139" s="79" t="s">
        <v>2036</v>
      </c>
      <c r="G139" s="80" t="s">
        <v>17</v>
      </c>
      <c r="H139" s="81">
        <v>1</v>
      </c>
      <c r="I139" s="71">
        <f>VLOOKUP(B139,'HECVAT - Full'!A:E,3,FALSE)</f>
        <v>0</v>
      </c>
      <c r="J139" s="71">
        <f>IF(Table1[[#This Row],[Column7]]=Table1[[#This Row],[Column9]],1,0)</f>
        <v>0</v>
      </c>
      <c r="K139" s="71">
        <f>IF(Table1[[#This Row],[Column8]]=1,20,"")</f>
        <v>20</v>
      </c>
      <c r="L139" s="71">
        <f>IF(Table1[[#This Row],[Column8]]=1,J139*K139,"")</f>
        <v>0</v>
      </c>
      <c r="M139" s="72" t="str">
        <f>VLOOKUP($B139,'Standards Crosswalk'!$A:$H,3,FALSE)</f>
        <v>CSC 10</v>
      </c>
      <c r="N139" s="72">
        <f>VLOOKUP($B139,'Standards Crosswalk'!$A:$H,4,FALSE)</f>
        <v>0</v>
      </c>
      <c r="O139" s="72" t="str">
        <f>VLOOKUP($B139,'Standards Crosswalk'!$A:$H,5,FALSE)</f>
        <v>16.1.1, 17.1.1</v>
      </c>
      <c r="P139" s="72" t="str">
        <f>VLOOKUP($B139,'Standards Crosswalk'!$A:$H,6,FALSE)</f>
        <v>PR.IP-9</v>
      </c>
      <c r="Q139" s="72" t="str">
        <f>VLOOKUP($B139,'Standards Crosswalk'!$A:$H,7,FALSE)</f>
        <v>3.12.2</v>
      </c>
      <c r="R139" s="72" t="str">
        <f>VLOOKUP($B139,'Standards Crosswalk'!$A:$H,8,FALSE)</f>
        <v>AC-5, CP-4, CP-10; NIST SP 800-34</v>
      </c>
      <c r="S139" s="72">
        <f>VLOOKUP($B139,'Standards Crosswalk'!$A:$I,9,FALSE)</f>
        <v>12.8</v>
      </c>
    </row>
    <row r="140" spans="1:19" ht="43.5" thickBot="1" x14ac:dyDescent="0.25">
      <c r="A140" s="71">
        <f t="shared" si="5"/>
        <v>138</v>
      </c>
      <c r="B140" s="77" t="s">
        <v>305</v>
      </c>
      <c r="C140" s="78" t="str">
        <f>VLOOKUP(B140,'HECVAT - Full'!A:E,2,FALSE)</f>
        <v>Can the Institution review your DRP and supporting documentation?</v>
      </c>
      <c r="D140" s="71">
        <f>VLOOKUP(B140,'HECVAT - Full'!A:E,4,FALSE)</f>
        <v>0</v>
      </c>
      <c r="E140" s="79" t="b">
        <f>IF(Table1[[#This Row],[Column11]]&gt;20,TRUE,FALSE)</f>
        <v>0</v>
      </c>
      <c r="F140" s="79" t="s">
        <v>2036</v>
      </c>
      <c r="G140" s="80" t="s">
        <v>17</v>
      </c>
      <c r="H140" s="81">
        <v>1</v>
      </c>
      <c r="I140" s="71">
        <f>VLOOKUP(B140,'HECVAT - Full'!A:E,3,FALSE)</f>
        <v>0</v>
      </c>
      <c r="J140" s="71">
        <f>IF(Table1[[#This Row],[Column7]]=Table1[[#This Row],[Column9]],1,0)</f>
        <v>0</v>
      </c>
      <c r="K140" s="71">
        <f>IF(Table1[[#This Row],[Column8]]=1,20,"")</f>
        <v>20</v>
      </c>
      <c r="L140" s="71">
        <f>IF(Table1[[#This Row],[Column8]]=1,J140*K140,"")</f>
        <v>0</v>
      </c>
      <c r="M140" s="72" t="str">
        <f>VLOOKUP($B140,'Standards Crosswalk'!$A:$H,3,FALSE)</f>
        <v>CSC 10</v>
      </c>
      <c r="N140" s="72">
        <f>VLOOKUP($B140,'Standards Crosswalk'!$A:$H,4,FALSE)</f>
        <v>0</v>
      </c>
      <c r="O140" s="72">
        <f>VLOOKUP($B140,'Standards Crosswalk'!$A:$H,5,FALSE)</f>
        <v>0</v>
      </c>
      <c r="P140" s="72" t="str">
        <f>VLOOKUP($B140,'Standards Crosswalk'!$A:$H,6,FALSE)</f>
        <v>PR.IP-9</v>
      </c>
      <c r="Q140" s="72" t="str">
        <f>VLOOKUP($B140,'Standards Crosswalk'!$A:$H,7,FALSE)</f>
        <v>3.12.2</v>
      </c>
      <c r="R140" s="72" t="str">
        <f>VLOOKUP($B140,'Standards Crosswalk'!$A:$H,8,FALSE)</f>
        <v>AC-5, CP-4, CP-10; NIST SP 800-34</v>
      </c>
      <c r="S140" s="72">
        <f>VLOOKUP($B140,'Standards Crosswalk'!$A:$I,9,FALSE)</f>
        <v>12.8</v>
      </c>
    </row>
    <row r="141" spans="1:19" ht="43.5" thickBot="1" x14ac:dyDescent="0.25">
      <c r="A141" s="71">
        <f t="shared" si="5"/>
        <v>139</v>
      </c>
      <c r="B141" s="77" t="s">
        <v>306</v>
      </c>
      <c r="C141" s="78" t="str">
        <f>VLOOKUP(B141,'HECVAT - Full'!A:E,2,FALSE)</f>
        <v>Are any disaster recovery locations outside the Institution's Data Zone?</v>
      </c>
      <c r="D141" s="71">
        <f>VLOOKUP(B141,'HECVAT - Full'!A:E,4,FALSE)</f>
        <v>0</v>
      </c>
      <c r="E141" s="79" t="b">
        <f>IF(Table1[[#This Row],[Column11]]&gt;20,TRUE,FALSE)</f>
        <v>0</v>
      </c>
      <c r="F141" s="79" t="s">
        <v>2036</v>
      </c>
      <c r="G141" s="80" t="s">
        <v>20</v>
      </c>
      <c r="H141" s="81">
        <v>1</v>
      </c>
      <c r="I141" s="71">
        <f>VLOOKUP(B141,'HECVAT - Full'!A:E,3,FALSE)</f>
        <v>0</v>
      </c>
      <c r="J141" s="71">
        <f>IF(Table1[[#This Row],[Column7]]=Table1[[#This Row],[Column9]],1,0)</f>
        <v>0</v>
      </c>
      <c r="K141" s="71">
        <f>IF(Table1[[#This Row],[Column8]]=1,20,"")</f>
        <v>20</v>
      </c>
      <c r="L141" s="71">
        <f>IF(Table1[[#This Row],[Column8]]=1,J141*K141,"")</f>
        <v>0</v>
      </c>
      <c r="M141" s="72" t="str">
        <f>VLOOKUP($B141,'Standards Crosswalk'!$A:$H,3,FALSE)</f>
        <v>CSC 10, CSC 12</v>
      </c>
      <c r="N141" s="72">
        <f>VLOOKUP($B141,'Standards Crosswalk'!$A:$H,4,FALSE)</f>
        <v>0</v>
      </c>
      <c r="O141" s="72" t="str">
        <f>VLOOKUP($B141,'Standards Crosswalk'!$A:$H,5,FALSE)</f>
        <v>17.1.1</v>
      </c>
      <c r="P141" s="72" t="str">
        <f>VLOOKUP($B141,'Standards Crosswalk'!$A:$H,6,FALSE)</f>
        <v>PR.IP-9</v>
      </c>
      <c r="Q141" s="72">
        <f>VLOOKUP($B141,'Standards Crosswalk'!$A:$H,7,FALSE)</f>
        <v>0</v>
      </c>
      <c r="R141" s="72" t="str">
        <f>VLOOKUP($B141,'Standards Crosswalk'!$A:$H,8,FALSE)</f>
        <v>AC-5, CP-4, CP-10; NIST SP 800-34</v>
      </c>
      <c r="S141" s="72">
        <f>VLOOKUP($B141,'Standards Crosswalk'!$A:$I,9,FALSE)</f>
        <v>12.8</v>
      </c>
    </row>
    <row r="142" spans="1:19" ht="57.75" thickBot="1" x14ac:dyDescent="0.25">
      <c r="A142" s="71">
        <f t="shared" si="5"/>
        <v>140</v>
      </c>
      <c r="B142" s="77" t="s">
        <v>307</v>
      </c>
      <c r="C142" s="78" t="str">
        <f>VLOOKUP(B142,'HECVAT - Full'!A:E,2,FALSE)</f>
        <v>Does your organization have a disaster recovery site or a contracted Disaster Recovery provider?</v>
      </c>
      <c r="D142" s="71">
        <f>VLOOKUP(B142,'HECVAT - Full'!A:E,4,FALSE)</f>
        <v>0</v>
      </c>
      <c r="E142" s="79" t="b">
        <f>IF(Table1[[#This Row],[Column11]]&gt;20,TRUE,FALSE)</f>
        <v>0</v>
      </c>
      <c r="F142" s="79" t="s">
        <v>2036</v>
      </c>
      <c r="G142" s="80" t="s">
        <v>17</v>
      </c>
      <c r="H142" s="81">
        <v>1</v>
      </c>
      <c r="I142" s="71">
        <f>VLOOKUP(B142,'HECVAT - Full'!A:E,3,FALSE)</f>
        <v>0</v>
      </c>
      <c r="J142" s="71">
        <f>IF(Table1[[#This Row],[Column7]]=Table1[[#This Row],[Column9]],1,0)</f>
        <v>0</v>
      </c>
      <c r="K142" s="71">
        <f>IF(Table1[[#This Row],[Column8]]=1,20,"")</f>
        <v>20</v>
      </c>
      <c r="L142" s="71">
        <f>IF(Table1[[#This Row],[Column8]]=1,J142*K142,"")</f>
        <v>0</v>
      </c>
      <c r="M142" s="72" t="str">
        <f>VLOOKUP($B142,'Standards Crosswalk'!$A:$H,3,FALSE)</f>
        <v>CSC 10</v>
      </c>
      <c r="N142" s="72">
        <f>VLOOKUP($B142,'Standards Crosswalk'!$A:$H,4,FALSE)</f>
        <v>0</v>
      </c>
      <c r="O142" s="72" t="str">
        <f>VLOOKUP($B142,'Standards Crosswalk'!$A:$H,5,FALSE)</f>
        <v>17.2.1</v>
      </c>
      <c r="P142" s="72" t="str">
        <f>VLOOKUP($B142,'Standards Crosswalk'!$A:$H,6,FALSE)</f>
        <v>PR.IP-9</v>
      </c>
      <c r="Q142" s="72">
        <f>VLOOKUP($B142,'Standards Crosswalk'!$A:$H,7,FALSE)</f>
        <v>0</v>
      </c>
      <c r="R142" s="72" t="str">
        <f>VLOOKUP($B142,'Standards Crosswalk'!$A:$H,8,FALSE)</f>
        <v>AC-5, CP-4, CP-10; NIST SP 800-34</v>
      </c>
      <c r="S142" s="72">
        <f>VLOOKUP($B142,'Standards Crosswalk'!$A:$I,9,FALSE)</f>
        <v>0</v>
      </c>
    </row>
    <row r="143" spans="1:19" ht="43.5" thickBot="1" x14ac:dyDescent="0.25">
      <c r="A143" s="71">
        <f t="shared" si="5"/>
        <v>141</v>
      </c>
      <c r="B143" s="95" t="s">
        <v>308</v>
      </c>
      <c r="C143" s="78" t="str">
        <f>VLOOKUP(B143,'HECVAT - Full'!A:E,2,FALSE)</f>
        <v>Does your organization conduct an annual test of relocating to this site for disaster recovery purposes?</v>
      </c>
      <c r="D143" s="71">
        <f>VLOOKUP(B143,'HECVAT - Full'!A:E,4,FALSE)</f>
        <v>0</v>
      </c>
      <c r="E143" s="79" t="b">
        <f>IF(Table1[[#This Row],[Column11]]&gt;20,TRUE,FALSE)</f>
        <v>1</v>
      </c>
      <c r="F143" s="79" t="s">
        <v>2036</v>
      </c>
      <c r="G143" s="80" t="s">
        <v>17</v>
      </c>
      <c r="H143" s="81">
        <f>IF(I142="Yes",1,0)</f>
        <v>0</v>
      </c>
      <c r="I143" s="71">
        <f>VLOOKUP(B143,'HECVAT - Full'!A:E,3,FALSE)</f>
        <v>0</v>
      </c>
      <c r="J143" s="71">
        <f>IF(Table1[[#This Row],[Column7]]=Table1[[#This Row],[Column9]],1,0)</f>
        <v>0</v>
      </c>
      <c r="K143" s="71" t="str">
        <f>IF(Table1[[#This Row],[Column8]]=1,20,"")</f>
        <v/>
      </c>
      <c r="L143" s="71" t="str">
        <f>IF(Table1[[#This Row],[Column8]]=1,J143*K143,"")</f>
        <v/>
      </c>
      <c r="M143" s="72" t="str">
        <f>VLOOKUP($B143,'Standards Crosswalk'!$A:$H,3,FALSE)</f>
        <v>CSC 10</v>
      </c>
      <c r="N143" s="72">
        <f>VLOOKUP($B143,'Standards Crosswalk'!$A:$H,4,FALSE)</f>
        <v>0</v>
      </c>
      <c r="O143" s="72" t="str">
        <f>VLOOKUP($B143,'Standards Crosswalk'!$A:$H,5,FALSE)</f>
        <v>17.1.3</v>
      </c>
      <c r="P143" s="72" t="str">
        <f>VLOOKUP($B143,'Standards Crosswalk'!$A:$H,6,FALSE)</f>
        <v>PR.IP-9</v>
      </c>
      <c r="Q143" s="72">
        <f>VLOOKUP($B143,'Standards Crosswalk'!$A:$H,7,FALSE)</f>
        <v>0</v>
      </c>
      <c r="R143" s="72" t="str">
        <f>VLOOKUP($B143,'Standards Crosswalk'!$A:$H,8,FALSE)</f>
        <v>AC-5, CP-4, CP-10; NIST SP 800-34</v>
      </c>
      <c r="S143" s="72">
        <f>VLOOKUP($B143,'Standards Crosswalk'!$A:$I,9,FALSE)</f>
        <v>0</v>
      </c>
    </row>
    <row r="144" spans="1:19" ht="43.5" thickBot="1" x14ac:dyDescent="0.25">
      <c r="A144" s="71">
        <f t="shared" si="5"/>
        <v>142</v>
      </c>
      <c r="B144" s="77" t="s">
        <v>309</v>
      </c>
      <c r="C144" s="78" t="str">
        <f>VLOOKUP(B144,'HECVAT - Full'!A:E,2,FALSE)</f>
        <v>Is there a defined problem/issue escalation plan in your DRP for impacted clients?</v>
      </c>
      <c r="D144" s="71">
        <f>VLOOKUP(B144,'HECVAT - Full'!A:E,4,FALSE)</f>
        <v>0</v>
      </c>
      <c r="E144" s="79" t="b">
        <f>IF(Table1[[#This Row],[Column11]]&gt;20,TRUE,FALSE)</f>
        <v>1</v>
      </c>
      <c r="F144" s="79" t="s">
        <v>2036</v>
      </c>
      <c r="G144" s="80" t="s">
        <v>17</v>
      </c>
      <c r="H144" s="81">
        <v>1</v>
      </c>
      <c r="I144" s="71">
        <f>VLOOKUP(B144,'HECVAT - Full'!A:E,3,FALSE)</f>
        <v>0</v>
      </c>
      <c r="J144" s="71">
        <f>IF(Table1[[#This Row],[Column7]]=Table1[[#This Row],[Column9]],1,0)</f>
        <v>0</v>
      </c>
      <c r="K144" s="71">
        <v>25</v>
      </c>
      <c r="L144" s="71">
        <f>IF(Table1[[#This Row],[Column8]]=1,J144*K144,"")</f>
        <v>0</v>
      </c>
      <c r="M144" s="72" t="str">
        <f>VLOOKUP($B144,'Standards Crosswalk'!$A:$H,3,FALSE)</f>
        <v>CSC 10</v>
      </c>
      <c r="N144" s="72">
        <f>VLOOKUP($B144,'Standards Crosswalk'!$A:$H,4,FALSE)</f>
        <v>0</v>
      </c>
      <c r="O144" s="72">
        <f>VLOOKUP($B144,'Standards Crosswalk'!$A:$H,5,FALSE)</f>
        <v>0</v>
      </c>
      <c r="P144" s="72" t="str">
        <f>VLOOKUP($B144,'Standards Crosswalk'!$A:$H,6,FALSE)</f>
        <v>PR.IP-9</v>
      </c>
      <c r="Q144" s="72" t="str">
        <f>VLOOKUP($B144,'Standards Crosswalk'!$A:$H,7,FALSE)</f>
        <v>3.12.2</v>
      </c>
      <c r="R144" s="72" t="str">
        <f>VLOOKUP($B144,'Standards Crosswalk'!$A:$H,8,FALSE)</f>
        <v>AC-5, CP-4, CP-10; NIST SP 800-34</v>
      </c>
      <c r="S144" s="72">
        <f>VLOOKUP($B144,'Standards Crosswalk'!$A:$I,9,FALSE)</f>
        <v>12.8</v>
      </c>
    </row>
    <row r="145" spans="1:19" ht="43.5" thickBot="1" x14ac:dyDescent="0.25">
      <c r="A145" s="71">
        <f t="shared" si="5"/>
        <v>143</v>
      </c>
      <c r="B145" s="77" t="s">
        <v>310</v>
      </c>
      <c r="C145" s="78" t="str">
        <f>VLOOKUP(B145,'HECVAT - Full'!A:E,2,FALSE)</f>
        <v>Is there a documented communication plan in your DRP for impacted clients?</v>
      </c>
      <c r="D145" s="71">
        <f>VLOOKUP(B145,'HECVAT - Full'!A:E,4,FALSE)</f>
        <v>0</v>
      </c>
      <c r="E145" s="79" t="b">
        <f>IF(Table1[[#This Row],[Column11]]&gt;20,TRUE,FALSE)</f>
        <v>0</v>
      </c>
      <c r="F145" s="79" t="s">
        <v>2036</v>
      </c>
      <c r="G145" s="80" t="s">
        <v>17</v>
      </c>
      <c r="H145" s="81">
        <v>1</v>
      </c>
      <c r="I145" s="71">
        <f>VLOOKUP(B145,'HECVAT - Full'!A:E,3,FALSE)</f>
        <v>0</v>
      </c>
      <c r="J145" s="71">
        <f>IF(Table1[[#This Row],[Column7]]=Table1[[#This Row],[Column9]],1,0)</f>
        <v>0</v>
      </c>
      <c r="K145" s="71">
        <f>IF(Table1[[#This Row],[Column8]]=1,20,"")</f>
        <v>20</v>
      </c>
      <c r="L145" s="71">
        <f>IF(Table1[[#This Row],[Column8]]=1,J145*K145,"")</f>
        <v>0</v>
      </c>
      <c r="M145" s="72" t="str">
        <f>VLOOKUP($B145,'Standards Crosswalk'!$A:$H,3,FALSE)</f>
        <v>CSC 10</v>
      </c>
      <c r="N145" s="72">
        <f>VLOOKUP($B145,'Standards Crosswalk'!$A:$H,4,FALSE)</f>
        <v>0</v>
      </c>
      <c r="O145" s="72" t="str">
        <f>VLOOKUP($B145,'Standards Crosswalk'!$A:$H,5,FALSE)</f>
        <v>17.1.2</v>
      </c>
      <c r="P145" s="72" t="str">
        <f>VLOOKUP($B145,'Standards Crosswalk'!$A:$H,6,FALSE)</f>
        <v>PR.IP-9</v>
      </c>
      <c r="Q145" s="72" t="str">
        <f>VLOOKUP($B145,'Standards Crosswalk'!$A:$H,7,FALSE)</f>
        <v>3.12.2</v>
      </c>
      <c r="R145" s="72" t="str">
        <f>VLOOKUP($B145,'Standards Crosswalk'!$A:$H,8,FALSE)</f>
        <v>AC-5, CP-4, CP-10; NIST SP 800-34</v>
      </c>
      <c r="S145" s="72">
        <f>VLOOKUP($B145,'Standards Crosswalk'!$A:$I,9,FALSE)</f>
        <v>12.8</v>
      </c>
    </row>
    <row r="146" spans="1:19" ht="57.75" thickBot="1" x14ac:dyDescent="0.25">
      <c r="A146" s="71">
        <f t="shared" si="5"/>
        <v>144</v>
      </c>
      <c r="B146" s="77" t="s">
        <v>311</v>
      </c>
      <c r="C146" s="78" t="str">
        <f>VLOOKUP(B146,'HECVAT - Full'!A:E,2,FALSE)</f>
        <v>Describe or provide a reference to how your disaster recovery plan is tested? (i.e. scope of DR tests, end-to-end testing, etc.)</v>
      </c>
      <c r="D146" s="71">
        <f>VLOOKUP(B146,'HECVAT - Full'!A:E,4,FALSE)</f>
        <v>0</v>
      </c>
      <c r="E146" s="79" t="b">
        <f>IF(Table1[[#This Row],[Column11]]&gt;20,TRUE,FALSE)</f>
        <v>0</v>
      </c>
      <c r="F146" s="79" t="s">
        <v>2036</v>
      </c>
      <c r="G146" s="80" t="s">
        <v>17</v>
      </c>
      <c r="H146" s="81">
        <v>1</v>
      </c>
      <c r="I146" s="71">
        <f>VLOOKUP(B146,'HECVAT - Full'!A:E,3,FALSE)</f>
        <v>0</v>
      </c>
      <c r="J146" s="71">
        <f>IF(VLOOKUP(B146,'Analyst Report'!$A$41:$H$88,7,FALSE)="Yes",1,0)</f>
        <v>0</v>
      </c>
      <c r="K146" s="71">
        <f>IF(Table1[[#This Row],[Column8]]=1,20,"")</f>
        <v>20</v>
      </c>
      <c r="L146" s="71">
        <f>IF(Table1[[#This Row],[Column8]]=1,J146*K146,"")</f>
        <v>0</v>
      </c>
      <c r="M146" s="72" t="str">
        <f>VLOOKUP($B146,'Standards Crosswalk'!$A:$H,3,FALSE)</f>
        <v>CSC 10</v>
      </c>
      <c r="N146" s="72">
        <f>VLOOKUP($B146,'Standards Crosswalk'!$A:$H,4,FALSE)</f>
        <v>0</v>
      </c>
      <c r="O146" s="72" t="str">
        <f>VLOOKUP($B146,'Standards Crosswalk'!$A:$H,5,FALSE)</f>
        <v>17.1.3</v>
      </c>
      <c r="P146" s="72" t="str">
        <f>VLOOKUP($B146,'Standards Crosswalk'!$A:$H,6,FALSE)</f>
        <v>PR.IP-9</v>
      </c>
      <c r="Q146" s="72" t="str">
        <f>VLOOKUP($B146,'Standards Crosswalk'!$A:$H,7,FALSE)</f>
        <v>3.12.2</v>
      </c>
      <c r="R146" s="72" t="str">
        <f>VLOOKUP($B146,'Standards Crosswalk'!$A:$H,8,FALSE)</f>
        <v>AC-5, CP-4, CP-10; NIST SP 800-34</v>
      </c>
      <c r="S146" s="72">
        <f>VLOOKUP($B146,'Standards Crosswalk'!$A:$I,9,FALSE)</f>
        <v>0</v>
      </c>
    </row>
    <row r="147" spans="1:19" ht="72" thickBot="1" x14ac:dyDescent="0.25">
      <c r="A147" s="71">
        <f t="shared" si="5"/>
        <v>145</v>
      </c>
      <c r="B147" s="77" t="s">
        <v>312</v>
      </c>
      <c r="C147" s="78" t="str">
        <f>VLOOKUP(B147,'HECVAT - Full'!A:E,2,FALSE)</f>
        <v>Has the Disaster Recovery Plan been tested in the last year?  Please provide a summary of the results in Additional Information (including actual recovery time).</v>
      </c>
      <c r="D147" s="71">
        <f>VLOOKUP(B147,'HECVAT - Full'!A:E,4,FALSE)</f>
        <v>0</v>
      </c>
      <c r="E147" s="79" t="b">
        <f>IF(Table1[[#This Row],[Column11]]&gt;20,TRUE,FALSE)</f>
        <v>0</v>
      </c>
      <c r="F147" s="79" t="s">
        <v>2036</v>
      </c>
      <c r="G147" s="80" t="s">
        <v>17</v>
      </c>
      <c r="H147" s="81">
        <v>1</v>
      </c>
      <c r="I147" s="71">
        <f>VLOOKUP(B147,'HECVAT - Full'!A:E,3,FALSE)</f>
        <v>0</v>
      </c>
      <c r="J147" s="71">
        <f>IF(Table1[[#This Row],[Column7]]=Table1[[#This Row],[Column9]],1,0)</f>
        <v>0</v>
      </c>
      <c r="K147" s="71">
        <f>IF(Table1[[#This Row],[Column8]]=1,20,"")</f>
        <v>20</v>
      </c>
      <c r="L147" s="71">
        <f>IF(Table1[[#This Row],[Column8]]=1,J147*K147,"")</f>
        <v>0</v>
      </c>
      <c r="M147" s="72" t="str">
        <f>VLOOKUP($B147,'Standards Crosswalk'!$A:$H,3,FALSE)</f>
        <v>CSC 10</v>
      </c>
      <c r="N147" s="72">
        <f>VLOOKUP($B147,'Standards Crosswalk'!$A:$H,4,FALSE)</f>
        <v>0</v>
      </c>
      <c r="O147" s="72" t="str">
        <f>VLOOKUP($B147,'Standards Crosswalk'!$A:$H,5,FALSE)</f>
        <v>17.1.3</v>
      </c>
      <c r="P147" s="72" t="str">
        <f>VLOOKUP($B147,'Standards Crosswalk'!$A:$H,6,FALSE)</f>
        <v>PR.IP-9</v>
      </c>
      <c r="Q147" s="72" t="str">
        <f>VLOOKUP($B147,'Standards Crosswalk'!$A:$H,7,FALSE)</f>
        <v>3.12.2</v>
      </c>
      <c r="R147" s="72" t="str">
        <f>VLOOKUP($B147,'Standards Crosswalk'!$A:$H,8,FALSE)</f>
        <v>AC-5, CP-4, CP-10; NIST SP 800-34</v>
      </c>
      <c r="S147" s="72">
        <f>VLOOKUP($B147,'Standards Crosswalk'!$A:$I,9,FALSE)</f>
        <v>0</v>
      </c>
    </row>
    <row r="148" spans="1:19" ht="57.75" thickBot="1" x14ac:dyDescent="0.25">
      <c r="A148" s="71">
        <f t="shared" si="5"/>
        <v>146</v>
      </c>
      <c r="B148" s="95" t="s">
        <v>313</v>
      </c>
      <c r="C148" s="78" t="str">
        <f>VLOOKUP(B148,'HECVAT - Full'!A:E,2,FALSE)</f>
        <v>Do the documented test results identify your organizations actual recovery time capabilities for technology and facilities?</v>
      </c>
      <c r="D148" s="71">
        <f>VLOOKUP(B148,'HECVAT - Full'!A:E,4,FALSE)</f>
        <v>0</v>
      </c>
      <c r="E148" s="79" t="b">
        <f>IF(Table1[[#This Row],[Column11]]&gt;20,TRUE,FALSE)</f>
        <v>1</v>
      </c>
      <c r="F148" s="79" t="s">
        <v>2036</v>
      </c>
      <c r="G148" s="80" t="s">
        <v>17</v>
      </c>
      <c r="H148" s="81">
        <f>IF(I147="Yes",1,0)</f>
        <v>0</v>
      </c>
      <c r="I148" s="71">
        <f>VLOOKUP(B148,'HECVAT - Full'!A:E,3,FALSE)</f>
        <v>0</v>
      </c>
      <c r="J148" s="71">
        <f>IF(Table1[[#This Row],[Column7]]=Table1[[#This Row],[Column9]],1,0)</f>
        <v>0</v>
      </c>
      <c r="K148" s="71" t="str">
        <f>IF(Table1[[#This Row],[Column8]]=1,20,"")</f>
        <v/>
      </c>
      <c r="L148" s="71" t="str">
        <f>IF(Table1[[#This Row],[Column8]]=1,J148*K148,"")</f>
        <v/>
      </c>
      <c r="M148" s="72" t="str">
        <f>VLOOKUP($B148,'Standards Crosswalk'!$A:$H,3,FALSE)</f>
        <v>CSC 10</v>
      </c>
      <c r="N148" s="72">
        <f>VLOOKUP($B148,'Standards Crosswalk'!$A:$H,4,FALSE)</f>
        <v>0</v>
      </c>
      <c r="O148" s="72" t="str">
        <f>VLOOKUP($B148,'Standards Crosswalk'!$A:$H,5,FALSE)</f>
        <v>7.1.3</v>
      </c>
      <c r="P148" s="72" t="str">
        <f>VLOOKUP($B148,'Standards Crosswalk'!$A:$H,6,FALSE)</f>
        <v>PR.IP-9</v>
      </c>
      <c r="Q148" s="72">
        <f>VLOOKUP($B148,'Standards Crosswalk'!$A:$H,7,FALSE)</f>
        <v>0</v>
      </c>
      <c r="R148" s="72" t="str">
        <f>VLOOKUP($B148,'Standards Crosswalk'!$A:$H,8,FALSE)</f>
        <v>AC-5, CP-4, CP-10; NIST SP 800-34</v>
      </c>
      <c r="S148" s="72">
        <f>VLOOKUP($B148,'Standards Crosswalk'!$A:$I,9,FALSE)</f>
        <v>12.8</v>
      </c>
    </row>
    <row r="149" spans="1:19" ht="57.75" thickBot="1" x14ac:dyDescent="0.25">
      <c r="A149" s="71">
        <f t="shared" si="5"/>
        <v>147</v>
      </c>
      <c r="B149" s="77" t="s">
        <v>314</v>
      </c>
      <c r="C149" s="78" t="str">
        <f>VLOOKUP(B149,'HECVAT - Full'!A:E,2,FALSE)</f>
        <v xml:space="preserve">Are all components of the DRP reviewed at least annually and updated as needed to reflect change? </v>
      </c>
      <c r="D149" s="71">
        <f>VLOOKUP(B149,'HECVAT - Full'!A:E,4,FALSE)</f>
        <v>0</v>
      </c>
      <c r="E149" s="79" t="b">
        <f>IF(Table1[[#This Row],[Column11]]&gt;20,TRUE,FALSE)</f>
        <v>0</v>
      </c>
      <c r="F149" s="79" t="s">
        <v>2036</v>
      </c>
      <c r="G149" s="80" t="s">
        <v>17</v>
      </c>
      <c r="H149" s="81">
        <v>1</v>
      </c>
      <c r="I149" s="71">
        <f>VLOOKUP(B149,'HECVAT - Full'!A:E,3,FALSE)</f>
        <v>0</v>
      </c>
      <c r="J149" s="71">
        <f>IF(Table1[[#This Row],[Column7]]=Table1[[#This Row],[Column9]],1,0)</f>
        <v>0</v>
      </c>
      <c r="K149" s="71">
        <f>IF(Table1[[#This Row],[Column8]]=1,20,"")</f>
        <v>20</v>
      </c>
      <c r="L149" s="71">
        <f>IF(Table1[[#This Row],[Column8]]=1,J149*K149,"")</f>
        <v>0</v>
      </c>
      <c r="M149" s="72" t="str">
        <f>VLOOKUP($B149,'Standards Crosswalk'!$A:$H,3,FALSE)</f>
        <v>CSC 10</v>
      </c>
      <c r="N149" s="72">
        <f>VLOOKUP($B149,'Standards Crosswalk'!$A:$H,4,FALSE)</f>
        <v>0</v>
      </c>
      <c r="O149" s="72" t="str">
        <f>VLOOKUP($B149,'Standards Crosswalk'!$A:$H,5,FALSE)</f>
        <v>17.1.1</v>
      </c>
      <c r="P149" s="72" t="str">
        <f>VLOOKUP($B149,'Standards Crosswalk'!$A:$H,6,FALSE)</f>
        <v>PR.IP-9</v>
      </c>
      <c r="Q149" s="72" t="str">
        <f>VLOOKUP($B149,'Standards Crosswalk'!$A:$H,7,FALSE)</f>
        <v>3.12.2</v>
      </c>
      <c r="R149" s="72" t="str">
        <f>VLOOKUP($B149,'Standards Crosswalk'!$A:$H,8,FALSE)</f>
        <v>AC-5, CP-4, CP-10; NIST SP 800-34</v>
      </c>
      <c r="S149" s="72">
        <f>VLOOKUP($B149,'Standards Crosswalk'!$A:$I,9,FALSE)</f>
        <v>0</v>
      </c>
    </row>
    <row r="150" spans="1:19" ht="57.75" thickBot="1" x14ac:dyDescent="0.25">
      <c r="A150" s="71">
        <f t="shared" si="5"/>
        <v>148</v>
      </c>
      <c r="B150" s="77" t="s">
        <v>315</v>
      </c>
      <c r="C150" s="78" t="str">
        <f>VLOOKUP(B150,'HECVAT - Full'!A:E,2,FALSE)</f>
        <v>Do you carry cyber-risk insurance to protect against unforeseen service outages, data that is lost or stolen, and security incidents?</v>
      </c>
      <c r="D150" s="71">
        <f>VLOOKUP(B150,'HECVAT - Full'!A:E,4,FALSE)</f>
        <v>0</v>
      </c>
      <c r="E150" s="79" t="b">
        <f>IF(Table1[[#This Row],[Column11]]&gt;20,TRUE,FALSE)</f>
        <v>0</v>
      </c>
      <c r="F150" s="79" t="s">
        <v>2036</v>
      </c>
      <c r="G150" s="80" t="s">
        <v>17</v>
      </c>
      <c r="H150" s="81">
        <v>1</v>
      </c>
      <c r="I150" s="71">
        <f>VLOOKUP(B150,'HECVAT - Full'!A:E,3,FALSE)</f>
        <v>0</v>
      </c>
      <c r="J150" s="71">
        <f>IF(Table1[[#This Row],[Column7]]=Table1[[#This Row],[Column9]],1,0)</f>
        <v>0</v>
      </c>
      <c r="K150" s="71">
        <f>IF(Table1[[#This Row],[Column8]]=1,20,"")</f>
        <v>20</v>
      </c>
      <c r="L150" s="71">
        <f>IF(Table1[[#This Row],[Column8]]=1,J150*K150,"")</f>
        <v>0</v>
      </c>
      <c r="M150" s="72">
        <f>VLOOKUP($B150,'Standards Crosswalk'!$A:$H,3,FALSE)</f>
        <v>0</v>
      </c>
      <c r="N150" s="72">
        <f>VLOOKUP($B150,'Standards Crosswalk'!$A:$H,4,FALSE)</f>
        <v>0</v>
      </c>
      <c r="O150" s="72">
        <f>VLOOKUP($B150,'Standards Crosswalk'!$A:$H,5,FALSE)</f>
        <v>0</v>
      </c>
      <c r="P150" s="72">
        <f>VLOOKUP($B150,'Standards Crosswalk'!$A:$H,6,FALSE)</f>
        <v>0</v>
      </c>
      <c r="Q150" s="72" t="str">
        <f>VLOOKUP($B150,'Standards Crosswalk'!$A:$H,7,FALSE)</f>
        <v>3.6.2</v>
      </c>
      <c r="R150" s="72" t="str">
        <f>VLOOKUP($B150,'Standards Crosswalk'!$A:$H,8,FALSE)</f>
        <v>AC-5, CP-4, CP-10; NIST SP 800-34</v>
      </c>
      <c r="S150" s="72">
        <f>VLOOKUP($B150,'Standards Crosswalk'!$A:$I,9,FALSE)</f>
        <v>12.8</v>
      </c>
    </row>
    <row r="151" spans="1:19" ht="72" thickBot="1" x14ac:dyDescent="0.25">
      <c r="A151" s="71">
        <f t="shared" si="5"/>
        <v>149</v>
      </c>
      <c r="B151" s="77" t="s">
        <v>316</v>
      </c>
      <c r="C151" s="78" t="str">
        <f>VLOOKUP(B151,'HECVAT - Full'!A:E,2,FALSE)</f>
        <v>Are you utilizing a web application firewall (WAF)?</v>
      </c>
      <c r="D151" s="71">
        <f>VLOOKUP(B151,'HECVAT - Full'!A:E,4,FALSE)</f>
        <v>0</v>
      </c>
      <c r="E151" s="79" t="b">
        <f>IF(Table1[[#This Row],[Column11]]&gt;20,TRUE,FALSE)</f>
        <v>1</v>
      </c>
      <c r="F151" s="79" t="s">
        <v>2037</v>
      </c>
      <c r="G151" s="80" t="s">
        <v>17</v>
      </c>
      <c r="H151" s="81">
        <v>1</v>
      </c>
      <c r="I151" s="71">
        <f>VLOOKUP(B151,'HECVAT - Full'!A:E,3,FALSE)</f>
        <v>0</v>
      </c>
      <c r="J151" s="71">
        <f>IF(Table1[[#This Row],[Column7]]=Table1[[#This Row],[Column9]],1,0)</f>
        <v>0</v>
      </c>
      <c r="K151" s="71">
        <v>25</v>
      </c>
      <c r="L151" s="71">
        <f>IF(Table1[[#This Row],[Column8]]=1,J151*K151,"")</f>
        <v>0</v>
      </c>
      <c r="M151" s="72" t="str">
        <f>VLOOKUP($B151,'Standards Crosswalk'!$A:$H,3,FALSE)</f>
        <v>CSC 9</v>
      </c>
      <c r="N151" s="72">
        <f>VLOOKUP($B151,'Standards Crosswalk'!$A:$H,4,FALSE)</f>
        <v>0</v>
      </c>
      <c r="O151" s="72" t="str">
        <f>VLOOKUP($B151,'Standards Crosswalk'!$A:$H,5,FALSE)</f>
        <v>13.1.1</v>
      </c>
      <c r="P151" s="72" t="str">
        <f>VLOOKUP($B151,'Standards Crosswalk'!$A:$H,6,FALSE)</f>
        <v>PR.DS-5</v>
      </c>
      <c r="Q151" s="72">
        <f>VLOOKUP($B151,'Standards Crosswalk'!$A:$H,7,FALSE)</f>
        <v>0</v>
      </c>
      <c r="R151" s="72">
        <f>VLOOKUP($B151,'Standards Crosswalk'!$A:$H,8,FALSE)</f>
        <v>0</v>
      </c>
      <c r="S151" s="72">
        <f>VLOOKUP($B151,'Standards Crosswalk'!$A:$I,9,FALSE)</f>
        <v>1.1000000000000001</v>
      </c>
    </row>
    <row r="152" spans="1:19" ht="72" thickBot="1" x14ac:dyDescent="0.25">
      <c r="A152" s="71">
        <f t="shared" si="5"/>
        <v>150</v>
      </c>
      <c r="B152" s="77" t="s">
        <v>317</v>
      </c>
      <c r="C152" s="78" t="str">
        <f>VLOOKUP(B152,'HECVAT - Full'!A:E,2,FALSE)</f>
        <v>Are you utilizing a stateful packet inspection (SPI) firewall?</v>
      </c>
      <c r="D152" s="71">
        <f>VLOOKUP(B152,'HECVAT - Full'!A:E,4,FALSE)</f>
        <v>0</v>
      </c>
      <c r="E152" s="79" t="b">
        <f>IF(Table1[[#This Row],[Column11]]&gt;20,TRUE,FALSE)</f>
        <v>1</v>
      </c>
      <c r="F152" s="79" t="s">
        <v>2037</v>
      </c>
      <c r="G152" s="80" t="s">
        <v>17</v>
      </c>
      <c r="H152" s="81">
        <v>1</v>
      </c>
      <c r="I152" s="71">
        <f>VLOOKUP(B152,'HECVAT - Full'!A:E,3,FALSE)</f>
        <v>0</v>
      </c>
      <c r="J152" s="71">
        <f>IF(Table1[[#This Row],[Column7]]=Table1[[#This Row],[Column9]],1,0)</f>
        <v>0</v>
      </c>
      <c r="K152" s="71">
        <v>25</v>
      </c>
      <c r="L152" s="71">
        <f>IF(Table1[[#This Row],[Column8]]=1,J152*K152,"")</f>
        <v>0</v>
      </c>
      <c r="M152" s="72" t="str">
        <f>VLOOKUP($B152,'Standards Crosswalk'!$A:$H,3,FALSE)</f>
        <v>CSC 9</v>
      </c>
      <c r="N152" s="72">
        <f>VLOOKUP($B152,'Standards Crosswalk'!$A:$H,4,FALSE)</f>
        <v>0</v>
      </c>
      <c r="O152" s="72" t="str">
        <f>VLOOKUP($B152,'Standards Crosswalk'!$A:$H,5,FALSE)</f>
        <v>13.1.1</v>
      </c>
      <c r="P152" s="72" t="str">
        <f>VLOOKUP($B152,'Standards Crosswalk'!$A:$H,6,FALSE)</f>
        <v>PR.DS-5</v>
      </c>
      <c r="Q152" s="72">
        <f>VLOOKUP($B152,'Standards Crosswalk'!$A:$H,7,FALSE)</f>
        <v>0</v>
      </c>
      <c r="R152" s="72">
        <f>VLOOKUP($B152,'Standards Crosswalk'!$A:$H,8,FALSE)</f>
        <v>0</v>
      </c>
      <c r="S152" s="72">
        <f>VLOOKUP($B152,'Standards Crosswalk'!$A:$I,9,FALSE)</f>
        <v>1.1000000000000001</v>
      </c>
    </row>
    <row r="153" spans="1:19" ht="72" thickBot="1" x14ac:dyDescent="0.25">
      <c r="A153" s="71">
        <f t="shared" si="5"/>
        <v>151</v>
      </c>
      <c r="B153" s="77" t="s">
        <v>318</v>
      </c>
      <c r="C153" s="78" t="str">
        <f>VLOOKUP(B153,'HECVAT - Full'!A:E,2,FALSE)</f>
        <v>State and describe who has the authority to change firewall rules?</v>
      </c>
      <c r="D153" s="71">
        <f>VLOOKUP(B153,'HECVAT - Full'!A:E,4,FALSE)</f>
        <v>0</v>
      </c>
      <c r="E153" s="79" t="b">
        <f>IF(Table1[[#This Row],[Column11]]&gt;20,TRUE,FALSE)</f>
        <v>0</v>
      </c>
      <c r="F153" s="79" t="s">
        <v>2037</v>
      </c>
      <c r="G153" s="80" t="s">
        <v>17</v>
      </c>
      <c r="H153" s="81">
        <v>1</v>
      </c>
      <c r="I153" s="71">
        <f>VLOOKUP(B153,'HECVAT - Full'!A:E,3,FALSE)</f>
        <v>0</v>
      </c>
      <c r="J153" s="71">
        <f>IF(VLOOKUP(Table1[[#This Row],[Column2]],'Analyst Report'!$A$41:$G$88,7,FALSE)="Yes",1,0)</f>
        <v>0</v>
      </c>
      <c r="K153" s="71">
        <f>IF(Table1[[#This Row],[Column8]]=1,20,"")</f>
        <v>20</v>
      </c>
      <c r="L153" s="71">
        <f>IF(Table1[[#This Row],[Column8]]=1,J153*K153,"")</f>
        <v>0</v>
      </c>
      <c r="M153" s="72" t="str">
        <f>VLOOKUP($B153,'Standards Crosswalk'!$A:$H,3,FALSE)</f>
        <v>CSC 9</v>
      </c>
      <c r="N153" s="72">
        <f>VLOOKUP($B153,'Standards Crosswalk'!$A:$H,4,FALSE)</f>
        <v>0</v>
      </c>
      <c r="O153" s="72" t="str">
        <f>VLOOKUP($B153,'Standards Crosswalk'!$A:$H,5,FALSE)</f>
        <v>13</v>
      </c>
      <c r="P153" s="72" t="str">
        <f>VLOOKUP($B153,'Standards Crosswalk'!$A:$H,6,FALSE)</f>
        <v>PR.AC-5</v>
      </c>
      <c r="Q153" s="72">
        <f>VLOOKUP($B153,'Standards Crosswalk'!$A:$H,7,FALSE)</f>
        <v>0</v>
      </c>
      <c r="R153" s="72">
        <f>VLOOKUP($B153,'Standards Crosswalk'!$A:$H,8,FALSE)</f>
        <v>0</v>
      </c>
      <c r="S153" s="72">
        <f>VLOOKUP($B153,'Standards Crosswalk'!$A:$I,9,FALSE)</f>
        <v>1.1000000000000001</v>
      </c>
    </row>
    <row r="154" spans="1:19" ht="72" thickBot="1" x14ac:dyDescent="0.25">
      <c r="A154" s="71">
        <f t="shared" si="5"/>
        <v>152</v>
      </c>
      <c r="B154" s="77" t="s">
        <v>319</v>
      </c>
      <c r="C154" s="78" t="str">
        <f>VLOOKUP(B154,'HECVAT - Full'!A:E,2,FALSE)</f>
        <v>Do you have a documented policy for firewall change requests?</v>
      </c>
      <c r="D154" s="71">
        <f>VLOOKUP(B154,'HECVAT - Full'!A:E,4,FALSE)</f>
        <v>0</v>
      </c>
      <c r="E154" s="79" t="b">
        <f>IF(Table1[[#This Row],[Column11]]&gt;20,TRUE,FALSE)</f>
        <v>1</v>
      </c>
      <c r="F154" s="79" t="s">
        <v>2037</v>
      </c>
      <c r="G154" s="80" t="s">
        <v>17</v>
      </c>
      <c r="H154" s="81">
        <v>1</v>
      </c>
      <c r="I154" s="71">
        <f>VLOOKUP(B154,'HECVAT - Full'!A:E,3,FALSE)</f>
        <v>0</v>
      </c>
      <c r="J154" s="71">
        <f>IF(Table1[[#This Row],[Column7]]=Table1[[#This Row],[Column9]],1,0)</f>
        <v>0</v>
      </c>
      <c r="K154" s="71">
        <v>25</v>
      </c>
      <c r="L154" s="71">
        <f>IF(Table1[[#This Row],[Column8]]=1,J154*K154,"")</f>
        <v>0</v>
      </c>
      <c r="M154" s="72" t="str">
        <f>VLOOKUP($B154,'Standards Crosswalk'!$A:$H,3,FALSE)</f>
        <v>CSC 9</v>
      </c>
      <c r="N154" s="72">
        <f>VLOOKUP($B154,'Standards Crosswalk'!$A:$H,4,FALSE)</f>
        <v>0</v>
      </c>
      <c r="O154" s="72" t="str">
        <f>VLOOKUP($B154,'Standards Crosswalk'!$A:$H,5,FALSE)</f>
        <v>12.1.2</v>
      </c>
      <c r="P154" s="72" t="str">
        <f>VLOOKUP($B154,'Standards Crosswalk'!$A:$H,6,FALSE)</f>
        <v>PR.AC-5</v>
      </c>
      <c r="Q154" s="72">
        <f>VLOOKUP($B154,'Standards Crosswalk'!$A:$H,7,FALSE)</f>
        <v>0</v>
      </c>
      <c r="R154" s="72">
        <f>VLOOKUP($B154,'Standards Crosswalk'!$A:$H,8,FALSE)</f>
        <v>0</v>
      </c>
      <c r="S154" s="72">
        <f>VLOOKUP($B154,'Standards Crosswalk'!$A:$I,9,FALSE)</f>
        <v>1.1000000000000001</v>
      </c>
    </row>
    <row r="155" spans="1:19" ht="72" thickBot="1" x14ac:dyDescent="0.25">
      <c r="A155" s="71">
        <f t="shared" si="5"/>
        <v>153</v>
      </c>
      <c r="B155" s="77" t="s">
        <v>320</v>
      </c>
      <c r="C155" s="78" t="str">
        <f>VLOOKUP(B155,'HECVAT - Full'!A:E,2,FALSE)</f>
        <v>Have you implemented an Intrusion Detection System (network-based)?</v>
      </c>
      <c r="D155" s="71">
        <f>VLOOKUP(B155,'HECVAT - Full'!A:E,4,FALSE)</f>
        <v>0</v>
      </c>
      <c r="E155" s="79" t="b">
        <f>IF(Table1[[#This Row],[Column11]]&gt;20,TRUE,FALSE)</f>
        <v>1</v>
      </c>
      <c r="F155" s="79" t="s">
        <v>2037</v>
      </c>
      <c r="G155" s="80" t="s">
        <v>17</v>
      </c>
      <c r="H155" s="81">
        <v>1</v>
      </c>
      <c r="I155" s="71">
        <f>VLOOKUP(B155,'HECVAT - Full'!A:E,3,FALSE)</f>
        <v>0</v>
      </c>
      <c r="J155" s="71">
        <f>IF(Table1[[#This Row],[Column7]]=Table1[[#This Row],[Column9]],1,0)</f>
        <v>0</v>
      </c>
      <c r="K155" s="71">
        <v>25</v>
      </c>
      <c r="L155" s="71">
        <f>IF(Table1[[#This Row],[Column8]]=1,J155*K155,"")</f>
        <v>0</v>
      </c>
      <c r="M155" s="72" t="str">
        <f>VLOOKUP($B155,'Standards Crosswalk'!$A:$H,3,FALSE)</f>
        <v>CSC 19</v>
      </c>
      <c r="N155" s="72">
        <f>VLOOKUP($B155,'Standards Crosswalk'!$A:$H,4,FALSE)</f>
        <v>0</v>
      </c>
      <c r="O155" s="72" t="str">
        <f>VLOOKUP($B155,'Standards Crosswalk'!$A:$H,5,FALSE)</f>
        <v>13.1.2</v>
      </c>
      <c r="P155" s="72" t="str">
        <f>VLOOKUP($B155,'Standards Crosswalk'!$A:$H,6,FALSE)</f>
        <v>DE.CM-1</v>
      </c>
      <c r="Q155" s="72" t="str">
        <f>VLOOKUP($B155,'Standards Crosswalk'!$A:$H,7,FALSE)</f>
        <v>3.6.1, 3.14.6, 3.14.7</v>
      </c>
      <c r="R155" s="72" t="str">
        <f>VLOOKUP($B155,'Standards Crosswalk'!$A:$H,8,FALSE)</f>
        <v>IR-2, IR-4, IR-5</v>
      </c>
      <c r="S155" s="72">
        <f>VLOOKUP($B155,'Standards Crosswalk'!$A:$I,9,FALSE)</f>
        <v>11.4</v>
      </c>
    </row>
    <row r="156" spans="1:19" ht="72" thickBot="1" x14ac:dyDescent="0.25">
      <c r="A156" s="71">
        <f t="shared" si="5"/>
        <v>154</v>
      </c>
      <c r="B156" s="77" t="s">
        <v>321</v>
      </c>
      <c r="C156" s="78" t="str">
        <f>VLOOKUP(B156,'HECVAT - Full'!A:E,2,FALSE)</f>
        <v>Have you implemented an Intrusion Prevention System (network-based)?</v>
      </c>
      <c r="D156" s="71">
        <f>VLOOKUP(B156,'HECVAT - Full'!A:E,4,FALSE)</f>
        <v>0</v>
      </c>
      <c r="E156" s="79" t="b">
        <f>IF(Table1[[#This Row],[Column11]]&gt;20,TRUE,FALSE)</f>
        <v>0</v>
      </c>
      <c r="F156" s="79" t="s">
        <v>2037</v>
      </c>
      <c r="G156" s="80" t="s">
        <v>17</v>
      </c>
      <c r="H156" s="81">
        <v>1</v>
      </c>
      <c r="I156" s="71">
        <f>VLOOKUP(B156,'HECVAT - Full'!A:E,3,FALSE)</f>
        <v>0</v>
      </c>
      <c r="J156" s="71">
        <f>IF(Table1[[#This Row],[Column7]]=Table1[[#This Row],[Column9]],1,0)</f>
        <v>0</v>
      </c>
      <c r="K156" s="71">
        <f>IF(Table1[[#This Row],[Column8]]=1,20,"")</f>
        <v>20</v>
      </c>
      <c r="L156" s="71">
        <f>IF(Table1[[#This Row],[Column8]]=1,J156*K156,"")</f>
        <v>0</v>
      </c>
      <c r="M156" s="72" t="str">
        <f>VLOOKUP($B156,'Standards Crosswalk'!$A:$H,3,FALSE)</f>
        <v>CSC 19</v>
      </c>
      <c r="N156" s="72">
        <f>VLOOKUP($B156,'Standards Crosswalk'!$A:$H,4,FALSE)</f>
        <v>0</v>
      </c>
      <c r="O156" s="72" t="str">
        <f>VLOOKUP($B156,'Standards Crosswalk'!$A:$H,5,FALSE)</f>
        <v>13.1.2</v>
      </c>
      <c r="P156" s="72" t="str">
        <f>VLOOKUP($B156,'Standards Crosswalk'!$A:$H,6,FALSE)</f>
        <v>DE.CM-1</v>
      </c>
      <c r="Q156" s="72" t="str">
        <f>VLOOKUP($B156,'Standards Crosswalk'!$A:$H,7,FALSE)</f>
        <v>3.6.1, 3.14.6, 3.14.7</v>
      </c>
      <c r="R156" s="72" t="str">
        <f>VLOOKUP($B156,'Standards Crosswalk'!$A:$H,8,FALSE)</f>
        <v>IR-2, IR-4, IR-5</v>
      </c>
      <c r="S156" s="72">
        <f>VLOOKUP($B156,'Standards Crosswalk'!$A:$I,9,FALSE)</f>
        <v>11.4</v>
      </c>
    </row>
    <row r="157" spans="1:19" ht="72" thickBot="1" x14ac:dyDescent="0.25">
      <c r="A157" s="71">
        <f t="shared" si="5"/>
        <v>155</v>
      </c>
      <c r="B157" s="77" t="s">
        <v>322</v>
      </c>
      <c r="C157" s="78" t="str">
        <f>VLOOKUP(B157,'HECVAT - Full'!A:E,2,FALSE)</f>
        <v>Do you employ host-based intrusion detection?</v>
      </c>
      <c r="D157" s="71">
        <f>VLOOKUP(B157,'HECVAT - Full'!A:E,4,FALSE)</f>
        <v>0</v>
      </c>
      <c r="E157" s="79" t="b">
        <f>IF(Table1[[#This Row],[Column11]]&gt;20,TRUE,FALSE)</f>
        <v>1</v>
      </c>
      <c r="F157" s="79" t="s">
        <v>2037</v>
      </c>
      <c r="G157" s="80" t="s">
        <v>17</v>
      </c>
      <c r="H157" s="81">
        <v>1</v>
      </c>
      <c r="I157" s="71">
        <f>VLOOKUP(B157,'HECVAT - Full'!A:E,3,FALSE)</f>
        <v>0</v>
      </c>
      <c r="J157" s="71">
        <f>IF(Table1[[#This Row],[Column7]]=Table1[[#This Row],[Column9]],1,0)</f>
        <v>0</v>
      </c>
      <c r="K157" s="71">
        <v>25</v>
      </c>
      <c r="L157" s="71">
        <f>IF(Table1[[#This Row],[Column8]]=1,J157*K157,"")</f>
        <v>0</v>
      </c>
      <c r="M157" s="72" t="str">
        <f>VLOOKUP($B157,'Standards Crosswalk'!$A:$H,3,FALSE)</f>
        <v>CSC 19</v>
      </c>
      <c r="N157" s="72">
        <f>VLOOKUP($B157,'Standards Crosswalk'!$A:$H,4,FALSE)</f>
        <v>0</v>
      </c>
      <c r="O157" s="72" t="str">
        <f>VLOOKUP($B157,'Standards Crosswalk'!$A:$H,5,FALSE)</f>
        <v>13.1.2</v>
      </c>
      <c r="P157" s="72" t="str">
        <f>VLOOKUP($B157,'Standards Crosswalk'!$A:$H,6,FALSE)</f>
        <v>DE.CM-1</v>
      </c>
      <c r="Q157" s="72" t="str">
        <f>VLOOKUP($B157,'Standards Crosswalk'!$A:$H,7,FALSE)</f>
        <v>3.6.1, 3.14.6, 3.14.7</v>
      </c>
      <c r="R157" s="72" t="str">
        <f>VLOOKUP($B157,'Standards Crosswalk'!$A:$H,8,FALSE)</f>
        <v>IR-2, IR-4, IR-5</v>
      </c>
      <c r="S157" s="72">
        <f>VLOOKUP($B157,'Standards Crosswalk'!$A:$I,9,FALSE)</f>
        <v>11.4</v>
      </c>
    </row>
    <row r="158" spans="1:19" ht="72" thickBot="1" x14ac:dyDescent="0.25">
      <c r="A158" s="71">
        <f t="shared" si="5"/>
        <v>156</v>
      </c>
      <c r="B158" s="77" t="s">
        <v>323</v>
      </c>
      <c r="C158" s="78" t="str">
        <f>VLOOKUP(B158,'HECVAT - Full'!A:E,2,FALSE)</f>
        <v>Do you employ host-based intrusion prevention?</v>
      </c>
      <c r="D158" s="71">
        <f>VLOOKUP(B158,'HECVAT - Full'!A:E,4,FALSE)</f>
        <v>0</v>
      </c>
      <c r="E158" s="79" t="b">
        <f>IF(Table1[[#This Row],[Column11]]&gt;20,TRUE,FALSE)</f>
        <v>0</v>
      </c>
      <c r="F158" s="79" t="s">
        <v>2037</v>
      </c>
      <c r="G158" s="80" t="s">
        <v>17</v>
      </c>
      <c r="H158" s="81">
        <v>1</v>
      </c>
      <c r="I158" s="71">
        <f>VLOOKUP(B158,'HECVAT - Full'!A:E,3,FALSE)</f>
        <v>0</v>
      </c>
      <c r="J158" s="71">
        <f>IF(Table1[[#This Row],[Column7]]=Table1[[#This Row],[Column9]],1,0)</f>
        <v>0</v>
      </c>
      <c r="K158" s="71">
        <f>IF(Table1[[#This Row],[Column8]]=1,20,"")</f>
        <v>20</v>
      </c>
      <c r="L158" s="71">
        <f>IF(Table1[[#This Row],[Column8]]=1,J158*K158,"")</f>
        <v>0</v>
      </c>
      <c r="M158" s="72" t="str">
        <f>VLOOKUP($B158,'Standards Crosswalk'!$A:$H,3,FALSE)</f>
        <v>CSC 19</v>
      </c>
      <c r="N158" s="72">
        <f>VLOOKUP($B158,'Standards Crosswalk'!$A:$H,4,FALSE)</f>
        <v>0</v>
      </c>
      <c r="O158" s="72" t="str">
        <f>VLOOKUP($B158,'Standards Crosswalk'!$A:$H,5,FALSE)</f>
        <v>13.1.2</v>
      </c>
      <c r="P158" s="72" t="str">
        <f>VLOOKUP($B158,'Standards Crosswalk'!$A:$H,6,FALSE)</f>
        <v>DE.CM-1</v>
      </c>
      <c r="Q158" s="72" t="str">
        <f>VLOOKUP($B158,'Standards Crosswalk'!$A:$H,7,FALSE)</f>
        <v>3.6.1, 3.14.6, 3.14.7</v>
      </c>
      <c r="R158" s="72" t="str">
        <f>VLOOKUP($B158,'Standards Crosswalk'!$A:$H,8,FALSE)</f>
        <v>IR-2, IR-4, IR-5</v>
      </c>
      <c r="S158" s="72">
        <f>VLOOKUP($B158,'Standards Crosswalk'!$A:$I,9,FALSE)</f>
        <v>11.4</v>
      </c>
    </row>
    <row r="159" spans="1:19" ht="72" thickBot="1" x14ac:dyDescent="0.25">
      <c r="A159" s="71">
        <f t="shared" si="5"/>
        <v>157</v>
      </c>
      <c r="B159" s="77" t="s">
        <v>324</v>
      </c>
      <c r="C159" s="78" t="str">
        <f>VLOOKUP(B159,'HECVAT - Full'!A:E,2,FALSE)</f>
        <v>Are you employing any next-generation persistent threat (NGPT) monitoring?</v>
      </c>
      <c r="D159" s="71">
        <f>VLOOKUP(B159,'HECVAT - Full'!A:E,4,FALSE)</f>
        <v>0</v>
      </c>
      <c r="E159" s="79" t="b">
        <f>IF(Table1[[#This Row],[Column11]]&gt;20,TRUE,FALSE)</f>
        <v>0</v>
      </c>
      <c r="F159" s="79" t="s">
        <v>2037</v>
      </c>
      <c r="G159" s="80" t="s">
        <v>17</v>
      </c>
      <c r="H159" s="81">
        <v>1</v>
      </c>
      <c r="I159" s="71">
        <f>VLOOKUP(B159,'HECVAT - Full'!A:E,3,FALSE)</f>
        <v>0</v>
      </c>
      <c r="J159" s="71">
        <f>IF(Table1[[#This Row],[Column7]]=Table1[[#This Row],[Column9]],1,0)</f>
        <v>0</v>
      </c>
      <c r="K159" s="71">
        <f>IF(Table1[[#This Row],[Column8]]=1,20,"")</f>
        <v>20</v>
      </c>
      <c r="L159" s="71">
        <f>IF(Table1[[#This Row],[Column8]]=1,J159*K159,"")</f>
        <v>0</v>
      </c>
      <c r="M159" s="72" t="str">
        <f>VLOOKUP($B159,'Standards Crosswalk'!$A:$H,3,FALSE)</f>
        <v>CSC 19</v>
      </c>
      <c r="N159" s="72">
        <f>VLOOKUP($B159,'Standards Crosswalk'!$A:$H,4,FALSE)</f>
        <v>0</v>
      </c>
      <c r="O159" s="72" t="str">
        <f>VLOOKUP($B159,'Standards Crosswalk'!$A:$H,5,FALSE)</f>
        <v>12.4.1</v>
      </c>
      <c r="P159" s="72">
        <f>VLOOKUP($B159,'Standards Crosswalk'!$A:$H,6,FALSE)</f>
        <v>0</v>
      </c>
      <c r="Q159" s="72" t="str">
        <f>VLOOKUP($B159,'Standards Crosswalk'!$A:$H,7,FALSE)</f>
        <v>3.6.1, 3.14.6, 3.14.7</v>
      </c>
      <c r="R159" s="72" t="str">
        <f>VLOOKUP($B159,'Standards Crosswalk'!$A:$H,8,FALSE)</f>
        <v>IR-2, IR-4, IR-5</v>
      </c>
      <c r="S159" s="72">
        <f>VLOOKUP($B159,'Standards Crosswalk'!$A:$I,9,FALSE)</f>
        <v>11.5</v>
      </c>
    </row>
    <row r="160" spans="1:19" ht="72" thickBot="1" x14ac:dyDescent="0.25">
      <c r="A160" s="71">
        <f t="shared" si="5"/>
        <v>158</v>
      </c>
      <c r="B160" s="77" t="s">
        <v>325</v>
      </c>
      <c r="C160" s="78" t="str">
        <f>VLOOKUP(B160,'HECVAT - Full'!A:E,2,FALSE)</f>
        <v>Do you monitor for intrusions on a 24x7x365 basis?</v>
      </c>
      <c r="D160" s="71">
        <f>VLOOKUP(B160,'HECVAT - Full'!A:E,4,FALSE)</f>
        <v>0</v>
      </c>
      <c r="E160" s="79" t="b">
        <f>IF(Table1[[#This Row],[Column11]]&gt;20,TRUE,FALSE)</f>
        <v>0</v>
      </c>
      <c r="F160" s="79" t="s">
        <v>2037</v>
      </c>
      <c r="G160" s="80" t="s">
        <v>17</v>
      </c>
      <c r="H160" s="81">
        <v>1</v>
      </c>
      <c r="I160" s="71">
        <f>VLOOKUP(B160,'HECVAT - Full'!A:E,3,FALSE)</f>
        <v>0</v>
      </c>
      <c r="J160" s="71">
        <f>IF(Table1[[#This Row],[Column7]]=Table1[[#This Row],[Column9]],1,0)</f>
        <v>0</v>
      </c>
      <c r="K160" s="71">
        <f>IF(Table1[[#This Row],[Column8]]=1,15,"")</f>
        <v>15</v>
      </c>
      <c r="L160" s="71">
        <f>IF(Table1[[#This Row],[Column8]]=1,J160*K160,"")</f>
        <v>0</v>
      </c>
      <c r="M160" s="72" t="str">
        <f>VLOOKUP($B160,'Standards Crosswalk'!$A:$H,3,FALSE)</f>
        <v>CSC 19</v>
      </c>
      <c r="N160" s="72">
        <f>VLOOKUP($B160,'Standards Crosswalk'!$A:$H,4,FALSE)</f>
        <v>0</v>
      </c>
      <c r="O160" s="72" t="str">
        <f>VLOOKUP($B160,'Standards Crosswalk'!$A:$H,5,FALSE)</f>
        <v>12.4.1</v>
      </c>
      <c r="P160" s="72" t="str">
        <f>VLOOKUP($B160,'Standards Crosswalk'!$A:$H,6,FALSE)</f>
        <v>DE.CM-1, DE.CM-2, DE.CM-7</v>
      </c>
      <c r="Q160" s="72" t="str">
        <f>VLOOKUP($B160,'Standards Crosswalk'!$A:$H,7,FALSE)</f>
        <v>3.6.1, 3.14.6, 3.14.7</v>
      </c>
      <c r="R160" s="72" t="str">
        <f>VLOOKUP($B160,'Standards Crosswalk'!$A:$H,8,FALSE)</f>
        <v>IR-2, IR-4, IR-5</v>
      </c>
      <c r="S160" s="72">
        <f>VLOOKUP($B160,'Standards Crosswalk'!$A:$I,9,FALSE)</f>
        <v>11.4</v>
      </c>
    </row>
    <row r="161" spans="1:19" ht="72" thickBot="1" x14ac:dyDescent="0.25">
      <c r="A161" s="71">
        <f t="shared" si="5"/>
        <v>159</v>
      </c>
      <c r="B161" s="95" t="s">
        <v>326</v>
      </c>
      <c r="C161" s="78" t="str">
        <f>VLOOKUP(B161,'HECVAT - Full'!A:E,2,FALSE)</f>
        <v>Is intrusion monitoring performed internally or by a third-party service?</v>
      </c>
      <c r="D161" s="71">
        <f>VLOOKUP(B161,'HECVAT - Full'!A:E,4,FALSE)</f>
        <v>0</v>
      </c>
      <c r="E161" s="79" t="b">
        <f>IF(Table1[[#This Row],[Column11]]&gt;20,TRUE,FALSE)</f>
        <v>1</v>
      </c>
      <c r="F161" s="79" t="s">
        <v>2037</v>
      </c>
      <c r="G161" s="80" t="s">
        <v>17</v>
      </c>
      <c r="H161" s="81">
        <f>IF(I160="Yes",1,0)</f>
        <v>0</v>
      </c>
      <c r="I161" s="71">
        <f>VLOOKUP(B161,'HECVAT - Full'!A:E,3,FALSE)</f>
        <v>0</v>
      </c>
      <c r="J161" s="71">
        <f>IF(VLOOKUP(Table1[[#This Row],[Column2]],'Analyst Report'!$A$41:$G$88,7,FALSE)="Yes",1,0)</f>
        <v>0</v>
      </c>
      <c r="K161" s="71" t="str">
        <f>IF(Table1[[#This Row],[Column8]]=1,20,"")</f>
        <v/>
      </c>
      <c r="L161" s="71" t="str">
        <f>IF(Table1[[#This Row],[Column8]]=1,J161*K161,"")</f>
        <v/>
      </c>
      <c r="M161" s="72" t="str">
        <f>VLOOKUP($B161,'Standards Crosswalk'!$A:$H,3,FALSE)</f>
        <v>CSC 6, CSC 19</v>
      </c>
      <c r="N161" s="72">
        <f>VLOOKUP($B161,'Standards Crosswalk'!$A:$H,4,FALSE)</f>
        <v>0</v>
      </c>
      <c r="O161" s="72" t="str">
        <f>VLOOKUP($B161,'Standards Crosswalk'!$A:$H,5,FALSE)</f>
        <v>12.4.1</v>
      </c>
      <c r="P161" s="72" t="str">
        <f>VLOOKUP($B161,'Standards Crosswalk'!$A:$H,6,FALSE)</f>
        <v>DE.CM-1, DE.CM-2, DE.CM-7</v>
      </c>
      <c r="Q161" s="72" t="str">
        <f>VLOOKUP($B161,'Standards Crosswalk'!$A:$H,7,FALSE)</f>
        <v>3.6.1, 3.14.6, 3.14.7</v>
      </c>
      <c r="R161" s="72" t="str">
        <f>VLOOKUP($B161,'Standards Crosswalk'!$A:$H,8,FALSE)</f>
        <v>IR-2, IR-4, IR-5</v>
      </c>
      <c r="S161" s="72" t="str">
        <f>VLOOKUP($B161,'Standards Crosswalk'!$A:$I,9,FALSE)</f>
        <v>11.4, 12.8</v>
      </c>
    </row>
    <row r="162" spans="1:19" ht="72" thickBot="1" x14ac:dyDescent="0.25">
      <c r="A162" s="71">
        <f t="shared" si="5"/>
        <v>160</v>
      </c>
      <c r="B162" s="77" t="s">
        <v>327</v>
      </c>
      <c r="C162" s="78" t="str">
        <f>VLOOKUP(B162,'HECVAT - Full'!A:E,2,FALSE)</f>
        <v>Are audit logs available for all changes to the network, firewall, IDS, and IPS systems?</v>
      </c>
      <c r="D162" s="71">
        <f>VLOOKUP(B162,'HECVAT - Full'!A:E,4,FALSE)</f>
        <v>0</v>
      </c>
      <c r="E162" s="79" t="b">
        <f>IF(Table1[[#This Row],[Column11]]&gt;20,TRUE,FALSE)</f>
        <v>1</v>
      </c>
      <c r="F162" s="79" t="s">
        <v>2037</v>
      </c>
      <c r="G162" s="80" t="s">
        <v>17</v>
      </c>
      <c r="H162" s="81">
        <v>1</v>
      </c>
      <c r="I162" s="71">
        <f>VLOOKUP(B162,'HECVAT - Full'!A:E,3,FALSE)</f>
        <v>0</v>
      </c>
      <c r="J162" s="71">
        <f>IF(Table1[[#This Row],[Column7]]=Table1[[#This Row],[Column9]],1,0)</f>
        <v>0</v>
      </c>
      <c r="K162" s="71">
        <f>IF(Table1[[#This Row],[Column8]]=1,25,"")</f>
        <v>25</v>
      </c>
      <c r="L162" s="71">
        <f>IF(Table1[[#This Row],[Column8]]=1,J162*K162,"")</f>
        <v>0</v>
      </c>
      <c r="M162" s="72" t="str">
        <f>VLOOKUP($B162,'Standards Crosswalk'!$A:$H,3,FALSE)</f>
        <v>CSC 6</v>
      </c>
      <c r="N162" s="72">
        <f>VLOOKUP($B162,'Standards Crosswalk'!$A:$H,4,FALSE)</f>
        <v>0</v>
      </c>
      <c r="O162" s="72" t="str">
        <f>VLOOKUP($B162,'Standards Crosswalk'!$A:$H,5,FALSE)</f>
        <v>12.4.1</v>
      </c>
      <c r="P162" s="72" t="str">
        <f>VLOOKUP($B162,'Standards Crosswalk'!$A:$H,6,FALSE)</f>
        <v>DE.AE-1, DE.CM-1, PR.PT-4</v>
      </c>
      <c r="Q162" s="72" t="str">
        <f>VLOOKUP($B162,'Standards Crosswalk'!$A:$H,7,FALSE)</f>
        <v>3.3.1</v>
      </c>
      <c r="R162" s="72" t="str">
        <f>VLOOKUP($B162,'Standards Crosswalk'!$A:$H,8,FALSE)</f>
        <v>AU-2</v>
      </c>
      <c r="S162" s="72" t="str">
        <f>VLOOKUP($B162,'Standards Crosswalk'!$A:$I,9,FALSE)</f>
        <v>1.1, 10.8, 10.6, 10.3, 10.2, 11.4</v>
      </c>
    </row>
    <row r="163" spans="1:19" ht="43.5" thickBot="1" x14ac:dyDescent="0.25">
      <c r="A163" s="71">
        <f t="shared" si="5"/>
        <v>161</v>
      </c>
      <c r="B163" s="77" t="s">
        <v>328</v>
      </c>
      <c r="C163" s="78" t="str">
        <f>VLOOKUP(B163,'HECVAT - Full'!A:E,2,FALSE)</f>
        <v>On which mobile operating systems is your software or service supported?</v>
      </c>
      <c r="D163" s="71">
        <f>VLOOKUP(B163,'HECVAT - Full'!A:E,4,FALSE)</f>
        <v>0</v>
      </c>
      <c r="E163" s="79" t="b">
        <f>IF(Table1[[#This Row],[Column11]]&gt;20,TRUE,FALSE)</f>
        <v>0</v>
      </c>
      <c r="F163" s="79" t="s">
        <v>2038</v>
      </c>
      <c r="G163" s="80" t="s">
        <v>17</v>
      </c>
      <c r="H163" s="81">
        <v>1</v>
      </c>
      <c r="I163" s="71">
        <f>VLOOKUP(B163,'HECVAT - Full'!A:E,3,FALSE)</f>
        <v>0</v>
      </c>
      <c r="J163" s="71">
        <f>IF(VLOOKUP(Table1[[#This Row],[Column2]],'Analyst Report'!$A$41:$G$88,7,FALSE)="Yes",1,0)</f>
        <v>0</v>
      </c>
      <c r="K163" s="71">
        <f>IF(Table1[[#This Row],[Column8]]=1,15,"")</f>
        <v>15</v>
      </c>
      <c r="L163" s="71">
        <f>IF(Table1[[#This Row],[Column8]]=1,J163*K163,"")</f>
        <v>0</v>
      </c>
      <c r="M163" s="72" t="str">
        <f>VLOOKUP($B163,'Standards Crosswalk'!$A:$H,3,FALSE)</f>
        <v>CSC 18</v>
      </c>
      <c r="N163" s="72">
        <f>VLOOKUP($B163,'Standards Crosswalk'!$A:$H,4,FALSE)</f>
        <v>0</v>
      </c>
      <c r="O163" s="72">
        <f>VLOOKUP($B163,'Standards Crosswalk'!$A:$H,5,FALSE)</f>
        <v>0</v>
      </c>
      <c r="P163" s="72">
        <f>VLOOKUP($B163,'Standards Crosswalk'!$A:$H,6,FALSE)</f>
        <v>0</v>
      </c>
      <c r="Q163" s="72">
        <f>VLOOKUP($B163,'Standards Crosswalk'!$A:$H,7,FALSE)</f>
        <v>0</v>
      </c>
      <c r="R163" s="72">
        <f>VLOOKUP($B163,'Standards Crosswalk'!$A:$H,8,FALSE)</f>
        <v>0</v>
      </c>
      <c r="S163" s="72">
        <f>VLOOKUP($B163,'Standards Crosswalk'!$A:$I,9,FALSE)</f>
        <v>0</v>
      </c>
    </row>
    <row r="164" spans="1:19" ht="43.5" thickBot="1" x14ac:dyDescent="0.25">
      <c r="A164" s="71">
        <f t="shared" si="5"/>
        <v>162</v>
      </c>
      <c r="B164" s="77" t="s">
        <v>329</v>
      </c>
      <c r="C164" s="78" t="str">
        <f>VLOOKUP(B164,'HECVAT - Full'!A:E,2,FALSE)</f>
        <v>Describe or provide a reference to the application's architecture and functionality.</v>
      </c>
      <c r="D164" s="71">
        <f>VLOOKUP(B164,'HECVAT - Full'!A:E,4,FALSE)</f>
        <v>0</v>
      </c>
      <c r="E164" s="79" t="b">
        <f>IF(Table1[[#This Row],[Column11]]&gt;20,TRUE,FALSE)</f>
        <v>0</v>
      </c>
      <c r="F164" s="79" t="s">
        <v>2038</v>
      </c>
      <c r="G164" s="80" t="s">
        <v>17</v>
      </c>
      <c r="H164" s="81">
        <v>1</v>
      </c>
      <c r="I164" s="71">
        <f>VLOOKUP(B164,'HECVAT - Full'!A:E,3,FALSE)</f>
        <v>0</v>
      </c>
      <c r="J164" s="71">
        <f>IF(VLOOKUP(Table1[[#This Row],[Column2]],'Analyst Report'!$A$41:$G$88,7,FALSE)="Yes",1,0)</f>
        <v>0</v>
      </c>
      <c r="K164" s="71">
        <f>IF(Table1[[#This Row],[Column8]]=1,20,"")</f>
        <v>20</v>
      </c>
      <c r="L164" s="71">
        <f>IF(Table1[[#This Row],[Column8]]=1,J164*K164,"")</f>
        <v>0</v>
      </c>
      <c r="M164" s="72" t="str">
        <f>VLOOKUP($B164,'Standards Crosswalk'!$A:$H,3,FALSE)</f>
        <v>CSC 3</v>
      </c>
      <c r="N164" s="72">
        <f>VLOOKUP($B164,'Standards Crosswalk'!$A:$H,4,FALSE)</f>
        <v>0</v>
      </c>
      <c r="O164" s="72">
        <f>VLOOKUP($B164,'Standards Crosswalk'!$A:$H,5,FALSE)</f>
        <v>0</v>
      </c>
      <c r="P164" s="72" t="str">
        <f>VLOOKUP($B164,'Standards Crosswalk'!$A:$H,6,FALSE)</f>
        <v>DE.CM-7</v>
      </c>
      <c r="Q164" s="72">
        <f>VLOOKUP($B164,'Standards Crosswalk'!$A:$H,7,FALSE)</f>
        <v>0</v>
      </c>
      <c r="R164" s="72">
        <f>VLOOKUP($B164,'Standards Crosswalk'!$A:$H,8,FALSE)</f>
        <v>0</v>
      </c>
      <c r="S164" s="72">
        <f>VLOOKUP($B164,'Standards Crosswalk'!$A:$I,9,FALSE)</f>
        <v>0</v>
      </c>
    </row>
    <row r="165" spans="1:19" ht="43.5" thickBot="1" x14ac:dyDescent="0.25">
      <c r="A165" s="71">
        <f t="shared" si="5"/>
        <v>163</v>
      </c>
      <c r="B165" s="77" t="s">
        <v>330</v>
      </c>
      <c r="C165" s="78" t="str">
        <f>VLOOKUP(B165,'HECVAT - Full'!A:E,2,FALSE)</f>
        <v>Is the application available from a trusted source (e.g., iTunes App Store, Android Market, BB World)?</v>
      </c>
      <c r="D165" s="71">
        <f>VLOOKUP(B165,'HECVAT - Full'!A:E,4,FALSE)</f>
        <v>0</v>
      </c>
      <c r="E165" s="79" t="b">
        <f>IF(Table1[[#This Row],[Column11]]&gt;20,TRUE,FALSE)</f>
        <v>1</v>
      </c>
      <c r="F165" s="79" t="s">
        <v>2038</v>
      </c>
      <c r="G165" s="80" t="s">
        <v>17</v>
      </c>
      <c r="H165" s="81">
        <v>1</v>
      </c>
      <c r="I165" s="71">
        <f>VLOOKUP(B165,'HECVAT - Full'!A:E,3,FALSE)</f>
        <v>0</v>
      </c>
      <c r="J165" s="71">
        <f>IF(Table1[[#This Row],[Column7]]=Table1[[#This Row],[Column9]],1,0)</f>
        <v>0</v>
      </c>
      <c r="K165" s="71">
        <f>IF(Table1[[#This Row],[Column8]]=1,25,"")</f>
        <v>25</v>
      </c>
      <c r="L165" s="71">
        <f>IF(Table1[[#This Row],[Column8]]=1,J165*K165,"")</f>
        <v>0</v>
      </c>
      <c r="M165" s="72" t="str">
        <f>VLOOKUP($B165,'Standards Crosswalk'!$A:$H,3,FALSE)</f>
        <v>CSC 18</v>
      </c>
      <c r="N165" s="72">
        <f>VLOOKUP($B165,'Standards Crosswalk'!$A:$H,4,FALSE)</f>
        <v>0</v>
      </c>
      <c r="O165" s="72">
        <f>VLOOKUP($B165,'Standards Crosswalk'!$A:$H,5,FALSE)</f>
        <v>0</v>
      </c>
      <c r="P165" s="72" t="str">
        <f>VLOOKUP($B165,'Standards Crosswalk'!$A:$H,6,FALSE)</f>
        <v>DE.CM-7</v>
      </c>
      <c r="Q165" s="72">
        <f>VLOOKUP($B165,'Standards Crosswalk'!$A:$H,7,FALSE)</f>
        <v>0</v>
      </c>
      <c r="R165" s="72">
        <f>VLOOKUP($B165,'Standards Crosswalk'!$A:$H,8,FALSE)</f>
        <v>0</v>
      </c>
      <c r="S165" s="72">
        <f>VLOOKUP($B165,'Standards Crosswalk'!$A:$I,9,FALSE)</f>
        <v>0</v>
      </c>
    </row>
    <row r="166" spans="1:19" ht="43.5" thickBot="1" x14ac:dyDescent="0.25">
      <c r="A166" s="71">
        <f t="shared" si="5"/>
        <v>164</v>
      </c>
      <c r="B166" s="77" t="s">
        <v>331</v>
      </c>
      <c r="C166" s="78" t="str">
        <f>VLOOKUP(B166,'HECVAT - Full'!A:E,2,FALSE)</f>
        <v>Does the application store, process, or transmit critical data?</v>
      </c>
      <c r="D166" s="71">
        <f>VLOOKUP(B166,'HECVAT - Full'!A:E,4,FALSE)</f>
        <v>0</v>
      </c>
      <c r="E166" s="79" t="b">
        <f>IF(Table1[[#This Row],[Column11]]&gt;20,TRUE,FALSE)</f>
        <v>0</v>
      </c>
      <c r="F166" s="79" t="s">
        <v>2038</v>
      </c>
      <c r="G166" s="80" t="s">
        <v>20</v>
      </c>
      <c r="H166" s="81">
        <v>1</v>
      </c>
      <c r="I166" s="71">
        <f>VLOOKUP(B166,'HECVAT - Full'!A:E,3,FALSE)</f>
        <v>0</v>
      </c>
      <c r="J166" s="71">
        <f>IF(Table1[[#This Row],[Column7]]=Table1[[#This Row],[Column9]],1,0)</f>
        <v>0</v>
      </c>
      <c r="K166" s="71">
        <f>IF(Table1[[#This Row],[Column8]]=1,20,"")</f>
        <v>20</v>
      </c>
      <c r="L166" s="71">
        <f>IF(Table1[[#This Row],[Column8]]=1,J166*K166,"")</f>
        <v>0</v>
      </c>
      <c r="M166" s="72" t="str">
        <f>VLOOKUP($B166,'Standards Crosswalk'!$A:$H,3,FALSE)</f>
        <v>CSC 13, CSC 18</v>
      </c>
      <c r="N166" s="72">
        <f>VLOOKUP($B166,'Standards Crosswalk'!$A:$H,4,FALSE)</f>
        <v>0</v>
      </c>
      <c r="O166" s="72" t="str">
        <f>VLOOKUP($B166,'Standards Crosswalk'!$A:$H,5,FALSE)</f>
        <v>8.2.1; 8.2.3</v>
      </c>
      <c r="P166" s="72" t="str">
        <f>VLOOKUP($B166,'Standards Crosswalk'!$A:$H,6,FALSE)</f>
        <v>DE.CM-7, PR.DS-2</v>
      </c>
      <c r="Q166" s="72">
        <f>VLOOKUP($B166,'Standards Crosswalk'!$A:$H,7,FALSE)</f>
        <v>0</v>
      </c>
      <c r="R166" s="72">
        <f>VLOOKUP($B166,'Standards Crosswalk'!$A:$H,8,FALSE)</f>
        <v>0</v>
      </c>
      <c r="S166" s="72">
        <f>VLOOKUP($B166,'Standards Crosswalk'!$A:$I,9,FALSE)</f>
        <v>0</v>
      </c>
    </row>
    <row r="167" spans="1:19" ht="43.5" thickBot="1" x14ac:dyDescent="0.25">
      <c r="A167" s="71">
        <f t="shared" si="5"/>
        <v>165</v>
      </c>
      <c r="B167" s="77" t="s">
        <v>332</v>
      </c>
      <c r="C167" s="78" t="str">
        <f>VLOOKUP(B167,'HECVAT - Full'!A:E,2,FALSE)</f>
        <v>Is Institution's data encrypted in transport?</v>
      </c>
      <c r="D167" s="71">
        <f>VLOOKUP(B167,'HECVAT - Full'!A:E,4,FALSE)</f>
        <v>0</v>
      </c>
      <c r="E167" s="79" t="b">
        <f>IF(Table1[[#This Row],[Column11]]&gt;20,TRUE,FALSE)</f>
        <v>1</v>
      </c>
      <c r="F167" s="79" t="s">
        <v>2038</v>
      </c>
      <c r="G167" s="80" t="s">
        <v>17</v>
      </c>
      <c r="H167" s="81">
        <v>1</v>
      </c>
      <c r="I167" s="71">
        <f>VLOOKUP(B167,'HECVAT - Full'!A:E,3,FALSE)</f>
        <v>0</v>
      </c>
      <c r="J167" s="71">
        <f>IF(Table1[[#This Row],[Column7]]=Table1[[#This Row],[Column9]],1,0)</f>
        <v>0</v>
      </c>
      <c r="K167" s="71">
        <f>IF(Table1[[#This Row],[Column8]]=1,25,"")</f>
        <v>25</v>
      </c>
      <c r="L167" s="71">
        <f>IF(Table1[[#This Row],[Column8]]=1,J167*K167,"")</f>
        <v>0</v>
      </c>
      <c r="M167" s="72" t="str">
        <f>VLOOKUP($B167,'Standards Crosswalk'!$A:$H,3,FALSE)</f>
        <v>CSC 13</v>
      </c>
      <c r="N167" s="72">
        <f>VLOOKUP($B167,'Standards Crosswalk'!$A:$H,4,FALSE)</f>
        <v>0</v>
      </c>
      <c r="O167" s="72" t="str">
        <f>VLOOKUP($B167,'Standards Crosswalk'!$A:$H,5,FALSE)</f>
        <v>8.2.3</v>
      </c>
      <c r="P167" s="72" t="str">
        <f>VLOOKUP($B167,'Standards Crosswalk'!$A:$H,6,FALSE)</f>
        <v>DE.CM-7, PR.DS-2</v>
      </c>
      <c r="Q167" s="72" t="str">
        <f>VLOOKUP($B167,'Standards Crosswalk'!$A:$H,7,FALSE)</f>
        <v>3.1.19</v>
      </c>
      <c r="R167" s="72" t="str">
        <f>VLOOKUP($B167,'Standards Crosswalk'!$A:$H,8,FALSE)</f>
        <v>AC-19(5)</v>
      </c>
      <c r="S167" s="72">
        <f>VLOOKUP($B167,'Standards Crosswalk'!$A:$I,9,FALSE)</f>
        <v>4.0999999999999996</v>
      </c>
    </row>
    <row r="168" spans="1:19" ht="43.5" thickBot="1" x14ac:dyDescent="0.25">
      <c r="A168" s="71">
        <f t="shared" si="5"/>
        <v>166</v>
      </c>
      <c r="B168" s="77" t="s">
        <v>333</v>
      </c>
      <c r="C168" s="78" t="str">
        <f>VLOOKUP(B168,'HECVAT - Full'!A:E,2,FALSE)</f>
        <v>Is Institution's data encrypted in storage? (e.g. disk encryption, at-rest)</v>
      </c>
      <c r="D168" s="71">
        <f>VLOOKUP(B168,'HECVAT - Full'!A:E,4,FALSE)</f>
        <v>0</v>
      </c>
      <c r="E168" s="79" t="b">
        <f>IF(Table1[[#This Row],[Column11]]&gt;20,TRUE,FALSE)</f>
        <v>1</v>
      </c>
      <c r="F168" s="79" t="s">
        <v>2038</v>
      </c>
      <c r="G168" s="80" t="s">
        <v>17</v>
      </c>
      <c r="H168" s="81">
        <v>1</v>
      </c>
      <c r="I168" s="71">
        <f>VLOOKUP(B168,'HECVAT - Full'!A:E,3,FALSE)</f>
        <v>0</v>
      </c>
      <c r="J168" s="71">
        <f>IF(Table1[[#This Row],[Column7]]=Table1[[#This Row],[Column9]],1,0)</f>
        <v>0</v>
      </c>
      <c r="K168" s="71">
        <f>IF(Table1[[#This Row],[Column8]]=1,40,"")</f>
        <v>40</v>
      </c>
      <c r="L168" s="71">
        <f>IF(Table1[[#This Row],[Column8]]=1,J168*K168,"")</f>
        <v>0</v>
      </c>
      <c r="M168" s="72" t="str">
        <f>VLOOKUP($B168,'Standards Crosswalk'!$A:$H,3,FALSE)</f>
        <v>CSC 14</v>
      </c>
      <c r="N168" s="72">
        <f>VLOOKUP($B168,'Standards Crosswalk'!$A:$H,4,FALSE)</f>
        <v>0</v>
      </c>
      <c r="O168" s="72" t="str">
        <f>VLOOKUP($B168,'Standards Crosswalk'!$A:$H,5,FALSE)</f>
        <v>8.2.3</v>
      </c>
      <c r="P168" s="72" t="str">
        <f>VLOOKUP($B168,'Standards Crosswalk'!$A:$H,6,FALSE)</f>
        <v>DE.CM-7, PR.DS-1</v>
      </c>
      <c r="Q168" s="72">
        <f>VLOOKUP($B168,'Standards Crosswalk'!$A:$H,7,FALSE)</f>
        <v>0</v>
      </c>
      <c r="R168" s="72">
        <f>VLOOKUP($B168,'Standards Crosswalk'!$A:$H,8,FALSE)</f>
        <v>0</v>
      </c>
      <c r="S168" s="72">
        <f>VLOOKUP($B168,'Standards Crosswalk'!$A:$I,9,FALSE)</f>
        <v>0</v>
      </c>
    </row>
    <row r="169" spans="1:19" ht="43.5" thickBot="1" x14ac:dyDescent="0.25">
      <c r="A169" s="71">
        <f t="shared" si="5"/>
        <v>167</v>
      </c>
      <c r="B169" s="77" t="s">
        <v>334</v>
      </c>
      <c r="C169" s="78" t="str">
        <f>VLOOKUP(B169,'HECVAT - Full'!A:E,2,FALSE)</f>
        <v>Does the mobile application support Kerberos, CAS, or Active Directory authentication?</v>
      </c>
      <c r="D169" s="71">
        <f>VLOOKUP(B169,'HECVAT - Full'!A:E,4,FALSE)</f>
        <v>0</v>
      </c>
      <c r="E169" s="79" t="b">
        <f>IF(Table1[[#This Row],[Column11]]&gt;20,TRUE,FALSE)</f>
        <v>1</v>
      </c>
      <c r="F169" s="79" t="s">
        <v>2038</v>
      </c>
      <c r="G169" s="80" t="s">
        <v>17</v>
      </c>
      <c r="H169" s="81">
        <v>1</v>
      </c>
      <c r="I169" s="71">
        <f>VLOOKUP(B169,'HECVAT - Full'!A:E,3,FALSE)</f>
        <v>0</v>
      </c>
      <c r="J169" s="71">
        <f>IF(Table1[[#This Row],[Column7]]=Table1[[#This Row],[Column9]],1,0)</f>
        <v>0</v>
      </c>
      <c r="K169" s="71">
        <f>IF(Table1[[#This Row],[Column8]]=1,25,"")</f>
        <v>25</v>
      </c>
      <c r="L169" s="71">
        <f>IF(Table1[[#This Row],[Column8]]=1,J169*K169,"")</f>
        <v>0</v>
      </c>
      <c r="M169" s="72" t="str">
        <f>VLOOKUP($B169,'Standards Crosswalk'!$A:$H,3,FALSE)</f>
        <v>CSC 16</v>
      </c>
      <c r="N169" s="72">
        <f>VLOOKUP($B169,'Standards Crosswalk'!$A:$H,4,FALSE)</f>
        <v>0</v>
      </c>
      <c r="O169" s="72" t="str">
        <f>VLOOKUP($B169,'Standards Crosswalk'!$A:$H,5,FALSE)</f>
        <v>9.4.2</v>
      </c>
      <c r="P169" s="72">
        <f>VLOOKUP($B169,'Standards Crosswalk'!$A:$H,6,FALSE)</f>
        <v>0</v>
      </c>
      <c r="Q169" s="72">
        <f>VLOOKUP($B169,'Standards Crosswalk'!$A:$H,7,FALSE)</f>
        <v>0</v>
      </c>
      <c r="R169" s="72">
        <f>VLOOKUP($B169,'Standards Crosswalk'!$A:$H,8,FALSE)</f>
        <v>0</v>
      </c>
      <c r="S169" s="72">
        <f>VLOOKUP($B169,'Standards Crosswalk'!$A:$I,9,FALSE)</f>
        <v>0</v>
      </c>
    </row>
    <row r="170" spans="1:19" ht="43.5" thickBot="1" x14ac:dyDescent="0.25">
      <c r="A170" s="71">
        <f t="shared" si="5"/>
        <v>168</v>
      </c>
      <c r="B170" s="77" t="s">
        <v>335</v>
      </c>
      <c r="C170" s="78" t="str">
        <f>VLOOKUP(B170,'HECVAT - Full'!A:E,2,FALSE)</f>
        <v>Will any of these systems be implemented on systems hosting the Institution's data?</v>
      </c>
      <c r="D170" s="71">
        <f>VLOOKUP(B170,'HECVAT - Full'!A:E,4,FALSE)</f>
        <v>0</v>
      </c>
      <c r="E170" s="79" t="b">
        <f>IF(Table1[[#This Row],[Column11]]&gt;20,TRUE,FALSE)</f>
        <v>0</v>
      </c>
      <c r="F170" s="79" t="s">
        <v>2038</v>
      </c>
      <c r="G170" s="80" t="s">
        <v>17</v>
      </c>
      <c r="H170" s="81">
        <v>1</v>
      </c>
      <c r="I170" s="71">
        <f>VLOOKUP(B170,'HECVAT - Full'!A:E,3,FALSE)</f>
        <v>0</v>
      </c>
      <c r="J170" s="71">
        <f>IF(VLOOKUP(Table1[[#This Row],[Column2]],'Analyst Report'!$A$41:$G$88,7,FALSE)="Yes",1,0)</f>
        <v>0</v>
      </c>
      <c r="K170" s="71">
        <f>IF(Table1[[#This Row],[Column8]]=1,20,"")</f>
        <v>20</v>
      </c>
      <c r="L170" s="71">
        <f>IF(Table1[[#This Row],[Column8]]=1,J170*K170,"")</f>
        <v>0</v>
      </c>
      <c r="M170" s="72" t="str">
        <f>VLOOKUP($B170,'Standards Crosswalk'!$A:$H,3,FALSE)</f>
        <v>CSC 16</v>
      </c>
      <c r="N170" s="72">
        <f>VLOOKUP($B170,'Standards Crosswalk'!$A:$H,4,FALSE)</f>
        <v>0</v>
      </c>
      <c r="O170" s="72">
        <f>VLOOKUP($B170,'Standards Crosswalk'!$A:$H,5,FALSE)</f>
        <v>0</v>
      </c>
      <c r="P170" s="72">
        <f>VLOOKUP($B170,'Standards Crosswalk'!$A:$H,6,FALSE)</f>
        <v>0</v>
      </c>
      <c r="Q170" s="72">
        <f>VLOOKUP($B170,'Standards Crosswalk'!$A:$H,7,FALSE)</f>
        <v>0</v>
      </c>
      <c r="R170" s="72">
        <f>VLOOKUP($B170,'Standards Crosswalk'!$A:$H,8,FALSE)</f>
        <v>0</v>
      </c>
      <c r="S170" s="72">
        <f>VLOOKUP($B170,'Standards Crosswalk'!$A:$I,9,FALSE)</f>
        <v>0</v>
      </c>
    </row>
    <row r="171" spans="1:19" ht="43.5" thickBot="1" x14ac:dyDescent="0.25">
      <c r="A171" s="71">
        <f t="shared" si="5"/>
        <v>169</v>
      </c>
      <c r="B171" s="77" t="s">
        <v>336</v>
      </c>
      <c r="C171" s="78" t="str">
        <f>VLOOKUP(B171,'HECVAT - Full'!A:E,2,FALSE)</f>
        <v>Does the application adhere to secure coding practices (e.g. OWASP, etc.)?</v>
      </c>
      <c r="D171" s="71">
        <f>VLOOKUP(B171,'HECVAT - Full'!A:E,4,FALSE)</f>
        <v>0</v>
      </c>
      <c r="E171" s="79" t="b">
        <f>IF(Table1[[#This Row],[Column11]]&gt;20,TRUE,FALSE)</f>
        <v>1</v>
      </c>
      <c r="F171" s="79" t="s">
        <v>2038</v>
      </c>
      <c r="G171" s="80" t="s">
        <v>17</v>
      </c>
      <c r="H171" s="81">
        <v>1</v>
      </c>
      <c r="I171" s="71">
        <f>VLOOKUP(B171,'HECVAT - Full'!A:E,3,FALSE)</f>
        <v>0</v>
      </c>
      <c r="J171" s="71">
        <f>IF(Table1[[#This Row],[Column7]]=Table1[[#This Row],[Column9]],1,0)</f>
        <v>0</v>
      </c>
      <c r="K171" s="71">
        <f>IF(Table1[[#This Row],[Column8]]=1,25,"")</f>
        <v>25</v>
      </c>
      <c r="L171" s="71">
        <f>IF(Table1[[#This Row],[Column8]]=1,J171*K171,"")</f>
        <v>0</v>
      </c>
      <c r="M171" s="72" t="str">
        <f>VLOOKUP($B171,'Standards Crosswalk'!$A:$H,3,FALSE)</f>
        <v>CSC 18</v>
      </c>
      <c r="N171" s="72">
        <f>VLOOKUP($B171,'Standards Crosswalk'!$A:$H,4,FALSE)</f>
        <v>0</v>
      </c>
      <c r="O171" s="72" t="str">
        <f>VLOOKUP($B171,'Standards Crosswalk'!$A:$H,5,FALSE)</f>
        <v>14.2.1</v>
      </c>
      <c r="P171" s="72" t="str">
        <f>VLOOKUP($B171,'Standards Crosswalk'!$A:$H,6,FALSE)</f>
        <v>DE.CM-7</v>
      </c>
      <c r="Q171" s="72">
        <f>VLOOKUP($B171,'Standards Crosswalk'!$A:$H,7,FALSE)</f>
        <v>0</v>
      </c>
      <c r="R171" s="72">
        <f>VLOOKUP($B171,'Standards Crosswalk'!$A:$H,8,FALSE)</f>
        <v>0</v>
      </c>
      <c r="S171" s="72">
        <f>VLOOKUP($B171,'Standards Crosswalk'!$A:$I,9,FALSE)</f>
        <v>0</v>
      </c>
    </row>
    <row r="172" spans="1:19" ht="43.5" thickBot="1" x14ac:dyDescent="0.25">
      <c r="A172" s="71">
        <f t="shared" si="5"/>
        <v>170</v>
      </c>
      <c r="B172" s="77" t="s">
        <v>337</v>
      </c>
      <c r="C172" s="78" t="str">
        <f>VLOOKUP(B172,'HECVAT - Full'!A:E,2,FALSE)</f>
        <v>Has the application been tested for vulnerabilities by a third party?</v>
      </c>
      <c r="D172" s="71">
        <f>VLOOKUP(B172,'HECVAT - Full'!A:E,4,FALSE)</f>
        <v>0</v>
      </c>
      <c r="E172" s="79" t="b">
        <f>IF(Table1[[#This Row],[Column11]]&gt;20,TRUE,FALSE)</f>
        <v>1</v>
      </c>
      <c r="F172" s="79" t="s">
        <v>2038</v>
      </c>
      <c r="G172" s="80" t="s">
        <v>17</v>
      </c>
      <c r="H172" s="81">
        <v>1</v>
      </c>
      <c r="I172" s="71">
        <f>VLOOKUP(B172,'HECVAT - Full'!A:E,3,FALSE)</f>
        <v>0</v>
      </c>
      <c r="J172" s="71">
        <f>IF(Table1[[#This Row],[Column7]]=Table1[[#This Row],[Column9]],1,0)</f>
        <v>0</v>
      </c>
      <c r="K172" s="71">
        <f>IF(Table1[[#This Row],[Column8]]=1,25,"")</f>
        <v>25</v>
      </c>
      <c r="L172" s="71">
        <f>IF(Table1[[#This Row],[Column8]]=1,J172*K172,"")</f>
        <v>0</v>
      </c>
      <c r="M172" s="72" t="str">
        <f>VLOOKUP($B172,'Standards Crosswalk'!$A:$H,3,FALSE)</f>
        <v>CSC 18</v>
      </c>
      <c r="N172" s="72">
        <f>VLOOKUP($B172,'Standards Crosswalk'!$A:$H,4,FALSE)</f>
        <v>0</v>
      </c>
      <c r="O172" s="72" t="str">
        <f>VLOOKUP($B172,'Standards Crosswalk'!$A:$H,5,FALSE)</f>
        <v>12.7.1, 18.2.1</v>
      </c>
      <c r="P172" s="72" t="str">
        <f>VLOOKUP($B172,'Standards Crosswalk'!$A:$H,6,FALSE)</f>
        <v>DE.CM-7, DE.CM-8, ID.RA-1</v>
      </c>
      <c r="Q172" s="72">
        <f>VLOOKUP($B172,'Standards Crosswalk'!$A:$H,7,FALSE)</f>
        <v>0</v>
      </c>
      <c r="R172" s="72">
        <f>VLOOKUP($B172,'Standards Crosswalk'!$A:$H,8,FALSE)</f>
        <v>0</v>
      </c>
      <c r="S172" s="72">
        <f>VLOOKUP($B172,'Standards Crosswalk'!$A:$I,9,FALSE)</f>
        <v>0</v>
      </c>
    </row>
    <row r="173" spans="1:19" ht="43.5" thickBot="1" x14ac:dyDescent="0.25">
      <c r="A173" s="71">
        <f t="shared" si="5"/>
        <v>171</v>
      </c>
      <c r="B173" s="77" t="s">
        <v>555</v>
      </c>
      <c r="C173" s="78" t="str">
        <f>VLOOKUP(B173,'HECVAT - Full'!A:E,2,FALSE)</f>
        <v>State the party that performed the vulnerability test and the date it was conducted?</v>
      </c>
      <c r="D173" s="71">
        <f>VLOOKUP(B173,'HECVAT - Full'!A:E,4,FALSE)</f>
        <v>0</v>
      </c>
      <c r="E173" s="79" t="b">
        <f>IF(Table1[[#This Row],[Column11]]&gt;20,TRUE,FALSE)</f>
        <v>1</v>
      </c>
      <c r="F173" s="79" t="s">
        <v>2038</v>
      </c>
      <c r="G173" s="80" t="s">
        <v>17</v>
      </c>
      <c r="H173" s="81">
        <v>1</v>
      </c>
      <c r="I173" s="71">
        <f>VLOOKUP(B173,'HECVAT - Full'!A:E,3,FALSE)</f>
        <v>0</v>
      </c>
      <c r="J173" s="71">
        <f>IF(VLOOKUP(Table1[[#This Row],[Column2]],'Analyst Report'!$A$41:$G$88,7,FALSE)="Yes",1,0)</f>
        <v>0</v>
      </c>
      <c r="K173" s="71">
        <f>IF(Table1[[#This Row],[Column8]]=1,25,"")</f>
        <v>25</v>
      </c>
      <c r="L173" s="71">
        <f>IF(Table1[[#This Row],[Column8]]=1,J173*K173,"")</f>
        <v>0</v>
      </c>
      <c r="M173" s="72" t="str">
        <f>VLOOKUP($B173,'Standards Crosswalk'!$A:$H,3,FALSE)</f>
        <v>CSC 18</v>
      </c>
      <c r="N173" s="72">
        <f>VLOOKUP($B173,'Standards Crosswalk'!$A:$H,4,FALSE)</f>
        <v>0</v>
      </c>
      <c r="O173" s="72" t="str">
        <f>VLOOKUP($B173,'Standards Crosswalk'!$A:$H,5,FALSE)</f>
        <v>12.7.1, 18.2.1</v>
      </c>
      <c r="P173" s="72" t="str">
        <f>VLOOKUP($B173,'Standards Crosswalk'!$A:$H,6,FALSE)</f>
        <v>DE.CM-7, DE.CM-8, ID.RA-1</v>
      </c>
      <c r="Q173" s="72">
        <f>VLOOKUP($B173,'Standards Crosswalk'!$A:$H,7,FALSE)</f>
        <v>0</v>
      </c>
      <c r="R173" s="72">
        <f>VLOOKUP($B173,'Standards Crosswalk'!$A:$H,8,FALSE)</f>
        <v>0</v>
      </c>
      <c r="S173" s="72">
        <f>VLOOKUP($B173,'Standards Crosswalk'!$A:$I,9,FALSE)</f>
        <v>0</v>
      </c>
    </row>
    <row r="174" spans="1:19" ht="72" thickBot="1" x14ac:dyDescent="0.25">
      <c r="A174" s="71">
        <f t="shared" si="5"/>
        <v>172</v>
      </c>
      <c r="B174" s="77" t="s">
        <v>338</v>
      </c>
      <c r="C174" s="78" t="str">
        <f>VLOOKUP(B174,'HECVAT - Full'!A:E,2,FALSE)</f>
        <v>Does your organization have physical security controls and policies in place?</v>
      </c>
      <c r="D174" s="71">
        <f>VLOOKUP(B174,'HECVAT - Full'!A:E,4,FALSE)</f>
        <v>0</v>
      </c>
      <c r="E174" s="79" t="b">
        <f>IF(Table1[[#This Row],[Column11]]&gt;20,TRUE,FALSE)</f>
        <v>0</v>
      </c>
      <c r="F174" s="79" t="s">
        <v>2039</v>
      </c>
      <c r="G174" s="98" t="s">
        <v>17</v>
      </c>
      <c r="H174" s="81">
        <v>1</v>
      </c>
      <c r="I174" s="71">
        <f>VLOOKUP(B174,'HECVAT - Full'!A:E,3,FALSE)</f>
        <v>0</v>
      </c>
      <c r="J174" s="71">
        <f>IF(Table1[[#This Row],[Column7]]=Table1[[#This Row],[Column9]],1,0)</f>
        <v>0</v>
      </c>
      <c r="K174" s="71">
        <f>IF(Table1[[#This Row],[Column8]]=1,20,"")</f>
        <v>20</v>
      </c>
      <c r="L174" s="71">
        <f>IF(Table1[[#This Row],[Column8]]=1,J174*K174,"")</f>
        <v>0</v>
      </c>
      <c r="M174" s="72" t="str">
        <f>VLOOKUP($B174,'Standards Crosswalk'!$A:$H,3,FALSE)</f>
        <v>CSC 3</v>
      </c>
      <c r="N174" s="72">
        <f>VLOOKUP($B174,'Standards Crosswalk'!$A:$H,4,FALSE)</f>
        <v>0</v>
      </c>
      <c r="O174" s="72" t="str">
        <f>VLOOKUP($B174,'Standards Crosswalk'!$A:$H,5,FALSE)</f>
        <v>11.1.1</v>
      </c>
      <c r="P174" s="72" t="str">
        <f>VLOOKUP($B174,'Standards Crosswalk'!$A:$H,6,FALSE)</f>
        <v>PR.AC-2, PR.AT-5, PR.IP-5, DE.CM-2</v>
      </c>
      <c r="Q174" s="72" t="str">
        <f>VLOOKUP($B174,'Standards Crosswalk'!$A:$H,7,FALSE)</f>
        <v>3.8.2, 3.10.1, 3.10.2, 3.10.5, 3.10.6, 3.12.1</v>
      </c>
      <c r="R174" s="72" t="str">
        <f>VLOOKUP($B174,'Standards Crosswalk'!$A:$H,8,FALSE)</f>
        <v>MP-4, PE-2, PE-5, PE-6, PE-17</v>
      </c>
      <c r="S174" s="72" t="str">
        <f>VLOOKUP($B174,'Standards Crosswalk'!$A:$I,9,FALSE)</f>
        <v>9.x</v>
      </c>
    </row>
    <row r="175" spans="1:19" ht="72" thickBot="1" x14ac:dyDescent="0.25">
      <c r="A175" s="71">
        <f t="shared" si="5"/>
        <v>173</v>
      </c>
      <c r="B175" s="77" t="s">
        <v>339</v>
      </c>
      <c r="C175" s="78" t="str">
        <f>VLOOKUP(B175,'HECVAT - Full'!A:E,2,FALSE)</f>
        <v>Are employees allowed to take home Institution's data in any form?</v>
      </c>
      <c r="D175" s="71">
        <f>VLOOKUP(B175,'HECVAT - Full'!A:E,4,FALSE)</f>
        <v>0</v>
      </c>
      <c r="E175" s="79" t="b">
        <f>IF(Table1[[#This Row],[Column11]]&gt;20,TRUE,FALSE)</f>
        <v>1</v>
      </c>
      <c r="F175" s="79" t="s">
        <v>2039</v>
      </c>
      <c r="G175" s="80" t="s">
        <v>20</v>
      </c>
      <c r="H175" s="81">
        <v>1</v>
      </c>
      <c r="I175" s="71">
        <f>VLOOKUP(B175,'HECVAT - Full'!A:E,3,FALSE)</f>
        <v>0</v>
      </c>
      <c r="J175" s="71">
        <f>IF(Table1[[#This Row],[Column7]]=Table1[[#This Row],[Column9]],1,0)</f>
        <v>0</v>
      </c>
      <c r="K175" s="71">
        <f>IF(Table1[[#This Row],[Column8]]=1,25,"")</f>
        <v>25</v>
      </c>
      <c r="L175" s="71">
        <f>IF(Table1[[#This Row],[Column8]]=1,J175*K175,"")</f>
        <v>0</v>
      </c>
      <c r="M175" s="72" t="str">
        <f>VLOOKUP($B175,'Standards Crosswalk'!$A:$H,3,FALSE)</f>
        <v>CSC 13</v>
      </c>
      <c r="N175" s="72">
        <f>VLOOKUP($B175,'Standards Crosswalk'!$A:$H,4,FALSE)</f>
        <v>0</v>
      </c>
      <c r="O175" s="72" t="str">
        <f>VLOOKUP($B175,'Standards Crosswalk'!$A:$H,5,FALSE)</f>
        <v>8.2.3</v>
      </c>
      <c r="P175" s="72" t="str">
        <f>VLOOKUP($B175,'Standards Crosswalk'!$A:$H,6,FALSE)</f>
        <v>PR.AC-2, PR.AC-4, PR.DS-1, PR.DS-3, PR.DS-5</v>
      </c>
      <c r="Q175" s="72" t="str">
        <f>VLOOKUP($B175,'Standards Crosswalk'!$A:$H,7,FALSE)</f>
        <v>3.8.1, 3.8.5, 3.8.7</v>
      </c>
      <c r="R175" s="72" t="str">
        <f>VLOOKUP($B175,'Standards Crosswalk'!$A:$H,8,FALSE)</f>
        <v>MP-2, MP-5, MP-7</v>
      </c>
      <c r="S175" s="72" t="str">
        <f>VLOOKUP($B175,'Standards Crosswalk'!$A:$I,9,FALSE)</f>
        <v>12.1, 9.x</v>
      </c>
    </row>
    <row r="176" spans="1:19" ht="29.25" thickBot="1" x14ac:dyDescent="0.25">
      <c r="A176" s="71">
        <f t="shared" si="5"/>
        <v>174</v>
      </c>
      <c r="B176" s="77" t="s">
        <v>340</v>
      </c>
      <c r="C176" s="78" t="str">
        <f>VLOOKUP(B176,'HECVAT - Full'!A:E,2,FALSE)</f>
        <v>Are video monitoring feeds retained?</v>
      </c>
      <c r="D176" s="71">
        <f>VLOOKUP(B176,'HECVAT - Full'!A:E,4,FALSE)</f>
        <v>0</v>
      </c>
      <c r="E176" s="79" t="b">
        <f>IF(Table1[[#This Row],[Column11]]&gt;20,TRUE,FALSE)</f>
        <v>0</v>
      </c>
      <c r="F176" s="79" t="s">
        <v>2039</v>
      </c>
      <c r="G176" s="80" t="s">
        <v>17</v>
      </c>
      <c r="H176" s="81">
        <v>1</v>
      </c>
      <c r="I176" s="71">
        <f>VLOOKUP(B176,'HECVAT - Full'!A:E,3,FALSE)</f>
        <v>0</v>
      </c>
      <c r="J176" s="71">
        <f>IF(Table1[[#This Row],[Column7]]=Table1[[#This Row],[Column9]],1,0)</f>
        <v>0</v>
      </c>
      <c r="K176" s="71">
        <f>IF(Table1[[#This Row],[Column8]]=1,20,"")</f>
        <v>20</v>
      </c>
      <c r="L176" s="71">
        <f>IF(Table1[[#This Row],[Column8]]=1,J176*K176,"")</f>
        <v>0</v>
      </c>
      <c r="M176" s="72" t="str">
        <f>VLOOKUP($B176,'Standards Crosswalk'!$A:$H,3,FALSE)</f>
        <v>CSC 3</v>
      </c>
      <c r="N176" s="72">
        <f>VLOOKUP($B176,'Standards Crosswalk'!$A:$H,4,FALSE)</f>
        <v>0</v>
      </c>
      <c r="O176" s="72" t="str">
        <f>VLOOKUP($B176,'Standards Crosswalk'!$A:$H,5,FALSE)</f>
        <v>11.1.2, 11.1.3</v>
      </c>
      <c r="P176" s="72" t="str">
        <f>VLOOKUP($B176,'Standards Crosswalk'!$A:$H,6,FALSE)</f>
        <v>DE.CM-2</v>
      </c>
      <c r="Q176" s="72" t="str">
        <f>VLOOKUP($B176,'Standards Crosswalk'!$A:$H,7,FALSE)</f>
        <v>3.10.2</v>
      </c>
      <c r="R176" s="72" t="str">
        <f>VLOOKUP($B176,'Standards Crosswalk'!$A:$H,8,FALSE)</f>
        <v>PE-6</v>
      </c>
      <c r="S176" s="72" t="str">
        <f>VLOOKUP($B176,'Standards Crosswalk'!$A:$I,9,FALSE)</f>
        <v>9.x</v>
      </c>
    </row>
    <row r="177" spans="1:19" ht="29.25" thickBot="1" x14ac:dyDescent="0.25">
      <c r="A177" s="71">
        <f t="shared" si="5"/>
        <v>175</v>
      </c>
      <c r="B177" s="77" t="s">
        <v>341</v>
      </c>
      <c r="C177" s="78" t="str">
        <f>VLOOKUP(B177,'HECVAT - Full'!A:E,2,FALSE)</f>
        <v>Are video feeds monitored by datacenter staff?</v>
      </c>
      <c r="D177" s="71">
        <f>VLOOKUP(B177,'HECVAT - Full'!A:E,4,FALSE)</f>
        <v>0</v>
      </c>
      <c r="E177" s="79" t="b">
        <f>IF(Table1[[#This Row],[Column11]]&gt;20,TRUE,FALSE)</f>
        <v>0</v>
      </c>
      <c r="F177" s="79" t="s">
        <v>2039</v>
      </c>
      <c r="G177" s="80" t="s">
        <v>17</v>
      </c>
      <c r="H177" s="81">
        <v>1</v>
      </c>
      <c r="I177" s="71">
        <f>VLOOKUP(B177,'HECVAT - Full'!A:E,3,FALSE)</f>
        <v>0</v>
      </c>
      <c r="J177" s="71">
        <f>IF(Table1[[#This Row],[Column7]]=Table1[[#This Row],[Column9]],1,0)</f>
        <v>0</v>
      </c>
      <c r="K177" s="71">
        <f>IF(Table1[[#This Row],[Column8]]=1,20,"")</f>
        <v>20</v>
      </c>
      <c r="L177" s="71">
        <f>IF(Table1[[#This Row],[Column8]]=1,J177*K177,"")</f>
        <v>0</v>
      </c>
      <c r="M177" s="72" t="str">
        <f>VLOOKUP($B177,'Standards Crosswalk'!$A:$H,3,FALSE)</f>
        <v>CSC 3</v>
      </c>
      <c r="N177" s="72">
        <f>VLOOKUP($B177,'Standards Crosswalk'!$A:$H,4,FALSE)</f>
        <v>0</v>
      </c>
      <c r="O177" s="72" t="str">
        <f>VLOOKUP($B177,'Standards Crosswalk'!$A:$H,5,FALSE)</f>
        <v>11.1.2,  11.1.3</v>
      </c>
      <c r="P177" s="72" t="str">
        <f>VLOOKUP($B177,'Standards Crosswalk'!$A:$H,6,FALSE)</f>
        <v>DE.CM-2</v>
      </c>
      <c r="Q177" s="72" t="str">
        <f>VLOOKUP($B177,'Standards Crosswalk'!$A:$H,7,FALSE)</f>
        <v>3.10.2</v>
      </c>
      <c r="R177" s="72" t="str">
        <f>VLOOKUP($B177,'Standards Crosswalk'!$A:$H,8,FALSE)</f>
        <v>PE-6</v>
      </c>
      <c r="S177" s="72" t="str">
        <f>VLOOKUP($B177,'Standards Crosswalk'!$A:$I,9,FALSE)</f>
        <v>9.x</v>
      </c>
    </row>
    <row r="178" spans="1:19" ht="43.5" thickBot="1" x14ac:dyDescent="0.25">
      <c r="A178" s="71">
        <f t="shared" si="5"/>
        <v>176</v>
      </c>
      <c r="B178" s="77" t="s">
        <v>342</v>
      </c>
      <c r="C178" s="78" t="str">
        <f>VLOOKUP(B178,'HECVAT - Full'!A:E,2,FALSE)</f>
        <v>Are individuals required to sign in/out for installation and removal of equipment?</v>
      </c>
      <c r="D178" s="71">
        <f>VLOOKUP(B178,'HECVAT - Full'!A:E,4,FALSE)</f>
        <v>0</v>
      </c>
      <c r="E178" s="79" t="b">
        <f>IF(Table1[[#This Row],[Column11]]&gt;20,TRUE,FALSE)</f>
        <v>0</v>
      </c>
      <c r="F178" s="79" t="s">
        <v>2039</v>
      </c>
      <c r="G178" s="80" t="s">
        <v>17</v>
      </c>
      <c r="H178" s="81">
        <v>1</v>
      </c>
      <c r="I178" s="71">
        <f>VLOOKUP(B178,'HECVAT - Full'!A:E,3,FALSE)</f>
        <v>0</v>
      </c>
      <c r="J178" s="71">
        <f>IF(Table1[[#This Row],[Column7]]=Table1[[#This Row],[Column9]],1,0)</f>
        <v>0</v>
      </c>
      <c r="K178" s="71">
        <f>IF(Table1[[#This Row],[Column8]]=1,15,"")</f>
        <v>15</v>
      </c>
      <c r="L178" s="71">
        <f>IF(Table1[[#This Row],[Column8]]=1,J178*K178,"")</f>
        <v>0</v>
      </c>
      <c r="M178" s="72" t="str">
        <f>VLOOKUP($B178,'Standards Crosswalk'!$A:$H,3,FALSE)</f>
        <v>CSC 14</v>
      </c>
      <c r="N178" s="72">
        <f>VLOOKUP($B178,'Standards Crosswalk'!$A:$H,4,FALSE)</f>
        <v>0</v>
      </c>
      <c r="O178" s="72" t="str">
        <f>VLOOKUP($B178,'Standards Crosswalk'!$A:$H,5,FALSE)</f>
        <v>11.1.2</v>
      </c>
      <c r="P178" s="72" t="str">
        <f>VLOOKUP($B178,'Standards Crosswalk'!$A:$H,6,FALSE)</f>
        <v>PR.DS-3</v>
      </c>
      <c r="Q178" s="72" t="str">
        <f>VLOOKUP($B178,'Standards Crosswalk'!$A:$H,7,FALSE)</f>
        <v>3.7.3, 3.8.1, 3.8.5, 3.8.7, 3.10.3</v>
      </c>
      <c r="R178" s="72" t="str">
        <f>VLOOKUP($B178,'Standards Crosswalk'!$A:$H,8,FALSE)</f>
        <v>MP-2, MP-5, MP-7</v>
      </c>
      <c r="S178" s="72" t="str">
        <f>VLOOKUP($B178,'Standards Crosswalk'!$A:$I,9,FALSE)</f>
        <v>9.x</v>
      </c>
    </row>
    <row r="179" spans="1:19" ht="57.75" thickBot="1" x14ac:dyDescent="0.25">
      <c r="A179" s="71">
        <f t="shared" si="5"/>
        <v>177</v>
      </c>
      <c r="B179" s="77" t="s">
        <v>343</v>
      </c>
      <c r="C179" s="78" t="str">
        <f>VLOOKUP(B179,'HECVAT - Full'!A:E,2,FALSE)</f>
        <v>Can you share the organization chart, mission statement, and policies for your information security unit?</v>
      </c>
      <c r="D179" s="71">
        <f>VLOOKUP(B179,'HECVAT - Full'!A:E,4,FALSE)</f>
        <v>0</v>
      </c>
      <c r="E179" s="79" t="b">
        <f>IF(Table1[[#This Row],[Column11]]&gt;20,TRUE,FALSE)</f>
        <v>0</v>
      </c>
      <c r="F179" s="79" t="s">
        <v>2040</v>
      </c>
      <c r="G179" s="98" t="s">
        <v>17</v>
      </c>
      <c r="H179" s="81">
        <v>1</v>
      </c>
      <c r="I179" s="71">
        <f>VLOOKUP(B179,'HECVAT - Full'!A:E,3,FALSE)</f>
        <v>0</v>
      </c>
      <c r="J179" s="71">
        <f>IF(Table1[[#This Row],[Column7]]=Table1[[#This Row],[Column9]],1,0)</f>
        <v>0</v>
      </c>
      <c r="K179" s="71">
        <f>IF(Table1[[#This Row],[Column8]]=1,20,"")</f>
        <v>20</v>
      </c>
      <c r="L179" s="71">
        <f>IF(Table1[[#This Row],[Column8]]=1,J179*K179,"")</f>
        <v>0</v>
      </c>
      <c r="M179" s="72">
        <f>VLOOKUP($B179,'Standards Crosswalk'!$A:$H,3,FALSE)</f>
        <v>0</v>
      </c>
      <c r="N179" s="72">
        <f>VLOOKUP($B179,'Standards Crosswalk'!$A:$H,4,FALSE)</f>
        <v>0</v>
      </c>
      <c r="O179" s="72" t="str">
        <f>VLOOKUP($B179,'Standards Crosswalk'!$A:$H,5,FALSE)</f>
        <v>5.1.1</v>
      </c>
      <c r="P179" s="72" t="str">
        <f>VLOOKUP($B179,'Standards Crosswalk'!$A:$H,6,FALSE)</f>
        <v>ID.GV-2</v>
      </c>
      <c r="Q179" s="72" t="str">
        <f>VLOOKUP($B179,'Standards Crosswalk'!$A:$H,7,FALSE)</f>
        <v>3.9.1, 3.9.2</v>
      </c>
      <c r="R179" s="72" t="str">
        <f>VLOOKUP($B179,'Standards Crosswalk'!$A:$H,8,FALSE)</f>
        <v>PM-2, PM-10, SI-5, CA-5, PM-1</v>
      </c>
      <c r="S179" s="72" t="str">
        <f>VLOOKUP($B179,'Standards Crosswalk'!$A:$I,9,FALSE)</f>
        <v>12.4, 12.5</v>
      </c>
    </row>
    <row r="180" spans="1:19" ht="57.75" thickBot="1" x14ac:dyDescent="0.25">
      <c r="A180" s="71">
        <f t="shared" si="5"/>
        <v>178</v>
      </c>
      <c r="B180" s="77" t="s">
        <v>344</v>
      </c>
      <c r="C180" s="78" t="str">
        <f>VLOOKUP(B180,'HECVAT - Full'!A:E,2,FALSE)</f>
        <v>Do you have a documented patch management process?</v>
      </c>
      <c r="D180" s="71">
        <f>VLOOKUP(B180,'HECVAT - Full'!A:E,4,FALSE)</f>
        <v>0</v>
      </c>
      <c r="E180" s="79" t="b">
        <f>IF(Table1[[#This Row],[Column11]]&gt;20,TRUE,FALSE)</f>
        <v>1</v>
      </c>
      <c r="F180" s="79" t="s">
        <v>2040</v>
      </c>
      <c r="G180" s="80" t="s">
        <v>17</v>
      </c>
      <c r="H180" s="81">
        <v>1</v>
      </c>
      <c r="I180" s="71">
        <f>VLOOKUP(B180,'HECVAT - Full'!A:E,3,FALSE)</f>
        <v>0</v>
      </c>
      <c r="J180" s="71">
        <f>IF(Table1[[#This Row],[Column7]]=Table1[[#This Row],[Column9]],1,0)</f>
        <v>0</v>
      </c>
      <c r="K180" s="71">
        <f>IF(Table1[[#This Row],[Column8]]=1,25,"")</f>
        <v>25</v>
      </c>
      <c r="L180" s="71">
        <f>IF(Table1[[#This Row],[Column8]]=1,J180*K180,"")</f>
        <v>0</v>
      </c>
      <c r="M180" s="72" t="str">
        <f>VLOOKUP($B180,'Standards Crosswalk'!$A:$H,3,FALSE)</f>
        <v>CSC 4</v>
      </c>
      <c r="N180" s="72">
        <f>VLOOKUP($B180,'Standards Crosswalk'!$A:$H,4,FALSE)</f>
        <v>0</v>
      </c>
      <c r="O180" s="72" t="str">
        <f>VLOOKUP($B180,'Standards Crosswalk'!$A:$H,5,FALSE)</f>
        <v>12.6.1</v>
      </c>
      <c r="P180" s="72" t="str">
        <f>VLOOKUP($B180,'Standards Crosswalk'!$A:$H,6,FALSE)</f>
        <v>PR.IP-12</v>
      </c>
      <c r="Q180" s="72">
        <f>VLOOKUP($B180,'Standards Crosswalk'!$A:$H,7,FALSE)</f>
        <v>0</v>
      </c>
      <c r="R180" s="72" t="str">
        <f>VLOOKUP($B180,'Standards Crosswalk'!$A:$H,8,FALSE)</f>
        <v>CA-5, PM-1</v>
      </c>
      <c r="S180" s="72" t="str">
        <f>VLOOKUP($B180,'Standards Crosswalk'!$A:$I,9,FALSE)</f>
        <v>6.4.5</v>
      </c>
    </row>
    <row r="181" spans="1:19" ht="57.75" thickBot="1" x14ac:dyDescent="0.25">
      <c r="A181" s="71">
        <f t="shared" si="5"/>
        <v>179</v>
      </c>
      <c r="B181" s="77" t="s">
        <v>345</v>
      </c>
      <c r="C181" s="78" t="str">
        <f>VLOOKUP(B181,'HECVAT - Full'!A:E,2,FALSE)</f>
        <v>Can you accommodate encryption requirements using open standards?</v>
      </c>
      <c r="D181" s="71">
        <f>VLOOKUP(B181,'HECVAT - Full'!A:E,4,FALSE)</f>
        <v>0</v>
      </c>
      <c r="E181" s="79" t="b">
        <f>IF(Table1[[#This Row],[Column11]]&gt;20,TRUE,FALSE)</f>
        <v>0</v>
      </c>
      <c r="F181" s="79" t="s">
        <v>2040</v>
      </c>
      <c r="G181" s="80" t="s">
        <v>17</v>
      </c>
      <c r="H181" s="81">
        <v>1</v>
      </c>
      <c r="I181" s="71">
        <f>VLOOKUP(B181,'HECVAT - Full'!A:E,3,FALSE)</f>
        <v>0</v>
      </c>
      <c r="J181" s="71">
        <f>IF(Table1[[#This Row],[Column7]]=Table1[[#This Row],[Column9]],1,0)</f>
        <v>0</v>
      </c>
      <c r="K181" s="71">
        <f>IF(Table1[[#This Row],[Column8]]=1,20,"")</f>
        <v>20</v>
      </c>
      <c r="L181" s="71">
        <f>IF(Table1[[#This Row],[Column8]]=1,J181*K181,"")</f>
        <v>0</v>
      </c>
      <c r="M181" s="72" t="str">
        <f>VLOOKUP($B181,'Standards Crosswalk'!$A:$H,3,FALSE)</f>
        <v>CSC 13</v>
      </c>
      <c r="N181" s="72">
        <f>VLOOKUP($B181,'Standards Crosswalk'!$A:$H,4,FALSE)</f>
        <v>0</v>
      </c>
      <c r="O181" s="72" t="str">
        <f>VLOOKUP($B181,'Standards Crosswalk'!$A:$H,5,FALSE)</f>
        <v>10.1.1, 18.1.5</v>
      </c>
      <c r="P181" s="72">
        <f>VLOOKUP($B181,'Standards Crosswalk'!$A:$H,6,FALSE)</f>
        <v>0</v>
      </c>
      <c r="Q181" s="72">
        <f>VLOOKUP($B181,'Standards Crosswalk'!$A:$H,7,FALSE)</f>
        <v>0</v>
      </c>
      <c r="R181" s="72" t="str">
        <f>VLOOKUP($B181,'Standards Crosswalk'!$A:$H,8,FALSE)</f>
        <v>CA-5, PM-1</v>
      </c>
      <c r="S181" s="72">
        <f>VLOOKUP($B181,'Standards Crosswalk'!$A:$I,9,FALSE)</f>
        <v>0</v>
      </c>
    </row>
    <row r="182" spans="1:19" ht="57.75" thickBot="1" x14ac:dyDescent="0.25">
      <c r="A182" s="71">
        <f t="shared" si="5"/>
        <v>180</v>
      </c>
      <c r="B182" s="77" t="s">
        <v>346</v>
      </c>
      <c r="C182" s="78" t="str">
        <f>VLOOKUP(B182,'HECVAT - Full'!A:E,2,FALSE)</f>
        <v>Have your developers been trained in secure coding techniques?</v>
      </c>
      <c r="D182" s="71">
        <f>VLOOKUP(B182,'HECVAT - Full'!A:E,4,FALSE)</f>
        <v>0</v>
      </c>
      <c r="E182" s="79" t="b">
        <f>IF(Table1[[#This Row],[Column11]]&gt;20,TRUE,FALSE)</f>
        <v>1</v>
      </c>
      <c r="F182" s="79" t="s">
        <v>2040</v>
      </c>
      <c r="G182" s="80" t="s">
        <v>17</v>
      </c>
      <c r="H182" s="81">
        <v>1</v>
      </c>
      <c r="I182" s="71">
        <f>VLOOKUP(B182,'HECVAT - Full'!A:E,3,FALSE)</f>
        <v>0</v>
      </c>
      <c r="J182" s="71">
        <f>IF(Table1[[#This Row],[Column7]]=Table1[[#This Row],[Column9]],1,0)</f>
        <v>0</v>
      </c>
      <c r="K182" s="71">
        <f>IF(Table1[[#This Row],[Column8]]=1,25,"")</f>
        <v>25</v>
      </c>
      <c r="L182" s="71">
        <f>IF(Table1[[#This Row],[Column8]]=1,J182*K182,"")</f>
        <v>0</v>
      </c>
      <c r="M182" s="72" t="str">
        <f>VLOOKUP($B182,'Standards Crosswalk'!$A:$H,3,FALSE)</f>
        <v>CSC 4, CSC 17</v>
      </c>
      <c r="N182" s="72">
        <f>VLOOKUP($B182,'Standards Crosswalk'!$A:$H,4,FALSE)</f>
        <v>0</v>
      </c>
      <c r="O182" s="72" t="str">
        <f>VLOOKUP($B182,'Standards Crosswalk'!$A:$H,5,FALSE)</f>
        <v>14.2.1</v>
      </c>
      <c r="P182" s="72">
        <f>VLOOKUP($B182,'Standards Crosswalk'!$A:$H,6,FALSE)</f>
        <v>0</v>
      </c>
      <c r="Q182" s="72">
        <f>VLOOKUP($B182,'Standards Crosswalk'!$A:$H,7,FALSE)</f>
        <v>0</v>
      </c>
      <c r="R182" s="72" t="str">
        <f>VLOOKUP($B182,'Standards Crosswalk'!$A:$H,8,FALSE)</f>
        <v>CA-5, PM-1</v>
      </c>
      <c r="S182" s="72" t="str">
        <f>VLOOKUP($B182,'Standards Crosswalk'!$A:$I,9,FALSE)</f>
        <v>12.6, 6.5</v>
      </c>
    </row>
    <row r="183" spans="1:19" ht="57.75" thickBot="1" x14ac:dyDescent="0.25">
      <c r="A183" s="71">
        <f t="shared" si="5"/>
        <v>181</v>
      </c>
      <c r="B183" s="77" t="s">
        <v>347</v>
      </c>
      <c r="C183" s="78" t="str">
        <f>VLOOKUP(B183,'HECVAT - Full'!A:E,2,FALSE)</f>
        <v>Was your application developed using secure coding techniques?</v>
      </c>
      <c r="D183" s="71">
        <f>VLOOKUP(B183,'HECVAT - Full'!A:E,4,FALSE)</f>
        <v>0</v>
      </c>
      <c r="E183" s="79" t="b">
        <f>IF(Table1[[#This Row],[Column11]]&gt;20,TRUE,FALSE)</f>
        <v>0</v>
      </c>
      <c r="F183" s="79" t="s">
        <v>2040</v>
      </c>
      <c r="G183" s="80" t="s">
        <v>17</v>
      </c>
      <c r="H183" s="81">
        <v>1</v>
      </c>
      <c r="I183" s="71">
        <f>VLOOKUP(B183,'HECVAT - Full'!A:E,3,FALSE)</f>
        <v>0</v>
      </c>
      <c r="J183" s="71">
        <f>IF(Table1[[#This Row],[Column7]]=Table1[[#This Row],[Column9]],1,0)</f>
        <v>0</v>
      </c>
      <c r="K183" s="71">
        <f>IF(Table1[[#This Row],[Column8]]=1,20,"")</f>
        <v>20</v>
      </c>
      <c r="L183" s="71">
        <f>IF(Table1[[#This Row],[Column8]]=1,J183*K183,"")</f>
        <v>0</v>
      </c>
      <c r="M183" s="72" t="str">
        <f>VLOOKUP($B183,'Standards Crosswalk'!$A:$H,3,FALSE)</f>
        <v>CSC 4</v>
      </c>
      <c r="N183" s="72">
        <f>VLOOKUP($B183,'Standards Crosswalk'!$A:$H,4,FALSE)</f>
        <v>0</v>
      </c>
      <c r="O183" s="72" t="str">
        <f>VLOOKUP($B183,'Standards Crosswalk'!$A:$H,5,FALSE)</f>
        <v>14.2.1</v>
      </c>
      <c r="P183" s="72">
        <f>VLOOKUP($B183,'Standards Crosswalk'!$A:$H,6,FALSE)</f>
        <v>0</v>
      </c>
      <c r="Q183" s="72">
        <f>VLOOKUP($B183,'Standards Crosswalk'!$A:$H,7,FALSE)</f>
        <v>0</v>
      </c>
      <c r="R183" s="72" t="str">
        <f>VLOOKUP($B183,'Standards Crosswalk'!$A:$H,8,FALSE)</f>
        <v>CA-5, PM-1</v>
      </c>
      <c r="S183" s="72">
        <f>VLOOKUP($B183,'Standards Crosswalk'!$A:$I,9,FALSE)</f>
        <v>6.3</v>
      </c>
    </row>
    <row r="184" spans="1:19" ht="57.75" thickBot="1" x14ac:dyDescent="0.25">
      <c r="A184" s="71">
        <f t="shared" si="5"/>
        <v>182</v>
      </c>
      <c r="B184" s="77" t="s">
        <v>348</v>
      </c>
      <c r="C184" s="78" t="str">
        <f>VLOOKUP(B184,'HECVAT - Full'!A:E,2,FALSE)</f>
        <v>Do you subject your code to static code analysis and/or static application security testing prior to release?</v>
      </c>
      <c r="D184" s="71">
        <f>VLOOKUP(B184,'HECVAT - Full'!A:E,4,FALSE)</f>
        <v>0</v>
      </c>
      <c r="E184" s="79" t="b">
        <f>IF(Table1[[#This Row],[Column11]]&gt;20,TRUE,FALSE)</f>
        <v>1</v>
      </c>
      <c r="F184" s="79" t="s">
        <v>2040</v>
      </c>
      <c r="G184" s="80" t="s">
        <v>17</v>
      </c>
      <c r="H184" s="81">
        <v>1</v>
      </c>
      <c r="I184" s="71">
        <f>VLOOKUP(B184,'HECVAT - Full'!A:E,3,FALSE)</f>
        <v>0</v>
      </c>
      <c r="J184" s="71">
        <f>IF(Table1[[#This Row],[Column7]]=Table1[[#This Row],[Column9]],1,0)</f>
        <v>0</v>
      </c>
      <c r="K184" s="71">
        <f>IF(Table1[[#This Row],[Column8]]=1,25,"")</f>
        <v>25</v>
      </c>
      <c r="L184" s="71">
        <f>IF(Table1[[#This Row],[Column8]]=1,J184*K184,"")</f>
        <v>0</v>
      </c>
      <c r="M184" s="72" t="str">
        <f>VLOOKUP($B184,'Standards Crosswalk'!$A:$H,3,FALSE)</f>
        <v>CSC 4</v>
      </c>
      <c r="N184" s="72">
        <f>VLOOKUP($B184,'Standards Crosswalk'!$A:$H,4,FALSE)</f>
        <v>0</v>
      </c>
      <c r="O184" s="72" t="str">
        <f>VLOOKUP($B184,'Standards Crosswalk'!$A:$H,5,FALSE)</f>
        <v>14.2.1, 14.2.5, 14.2.8</v>
      </c>
      <c r="P184" s="72" t="str">
        <f>VLOOKUP($B184,'Standards Crosswalk'!$A:$H,6,FALSE)</f>
        <v>DE.CM-8, RS.MI-3</v>
      </c>
      <c r="Q184" s="72">
        <f>VLOOKUP($B184,'Standards Crosswalk'!$A:$H,7,FALSE)</f>
        <v>0</v>
      </c>
      <c r="R184" s="72" t="str">
        <f>VLOOKUP($B184,'Standards Crosswalk'!$A:$H,8,FALSE)</f>
        <v>CA-5, PM-1</v>
      </c>
      <c r="S184" s="72" t="str">
        <f>VLOOKUP($B184,'Standards Crosswalk'!$A:$I,9,FALSE)</f>
        <v>6.3.2</v>
      </c>
    </row>
    <row r="185" spans="1:19" ht="57.75" thickBot="1" x14ac:dyDescent="0.25">
      <c r="A185" s="71">
        <f t="shared" si="5"/>
        <v>183</v>
      </c>
      <c r="B185" s="77" t="s">
        <v>349</v>
      </c>
      <c r="C185" s="78" t="str">
        <f>VLOOKUP(B185,'HECVAT - Full'!A:E,2,FALSE)</f>
        <v>Do you have software testing processes (dynamic or static) that are established and followed?</v>
      </c>
      <c r="D185" s="71">
        <f>VLOOKUP(B185,'HECVAT - Full'!A:E,4,FALSE)</f>
        <v>0</v>
      </c>
      <c r="E185" s="79" t="b">
        <f>IF(Table1[[#This Row],[Column11]]&gt;20,TRUE,FALSE)</f>
        <v>0</v>
      </c>
      <c r="F185" s="79" t="s">
        <v>2040</v>
      </c>
      <c r="G185" s="80" t="s">
        <v>17</v>
      </c>
      <c r="H185" s="81">
        <v>1</v>
      </c>
      <c r="I185" s="71">
        <f>VLOOKUP(B185,'HECVAT - Full'!A:E,3,FALSE)</f>
        <v>0</v>
      </c>
      <c r="J185" s="71">
        <f>IF(Table1[[#This Row],[Column7]]=Table1[[#This Row],[Column9]],1,0)</f>
        <v>0</v>
      </c>
      <c r="K185" s="71">
        <f>IF(Table1[[#This Row],[Column8]]=1,20,"")</f>
        <v>20</v>
      </c>
      <c r="L185" s="71">
        <f>IF(Table1[[#This Row],[Column8]]=1,J185*K185,"")</f>
        <v>0</v>
      </c>
      <c r="M185" s="72"/>
      <c r="N185" s="72"/>
      <c r="O185" s="72"/>
      <c r="P185" s="72"/>
      <c r="Q185" s="72"/>
      <c r="R185" s="72"/>
      <c r="S185" s="72" t="str">
        <f>VLOOKUP($B185,'Standards Crosswalk'!$A:$I,9,FALSE)</f>
        <v>6.3.2, 6.4.5.3</v>
      </c>
    </row>
    <row r="186" spans="1:19" ht="57.75" thickBot="1" x14ac:dyDescent="0.25">
      <c r="A186" s="71">
        <f t="shared" si="5"/>
        <v>184</v>
      </c>
      <c r="B186" s="77" t="s">
        <v>350</v>
      </c>
      <c r="C186" s="78" t="str">
        <f>VLOOKUP(B186,'HECVAT - Full'!A:E,2,FALSE)</f>
        <v>Are information security principles designed into the product lifecycle?</v>
      </c>
      <c r="D186" s="71">
        <f>VLOOKUP(B186,'HECVAT - Full'!A:E,4,FALSE)</f>
        <v>0</v>
      </c>
      <c r="E186" s="79" t="b">
        <f>IF(Table1[[#This Row],[Column11]]&gt;20,TRUE,FALSE)</f>
        <v>0</v>
      </c>
      <c r="F186" s="79" t="s">
        <v>2040</v>
      </c>
      <c r="G186" s="80" t="s">
        <v>17</v>
      </c>
      <c r="H186" s="81">
        <v>1</v>
      </c>
      <c r="I186" s="71">
        <f>VLOOKUP(B186,'HECVAT - Full'!A:E,3,FALSE)</f>
        <v>0</v>
      </c>
      <c r="J186" s="71">
        <f>IF(Table1[[#This Row],[Column7]]=Table1[[#This Row],[Column9]],1,0)</f>
        <v>0</v>
      </c>
      <c r="K186" s="71">
        <f>IF(Table1[[#This Row],[Column8]]=1,20,"")</f>
        <v>20</v>
      </c>
      <c r="L186" s="71">
        <f>IF(Table1[[#This Row],[Column8]]=1,J186*K186,"")</f>
        <v>0</v>
      </c>
      <c r="M186" s="72" t="str">
        <f>VLOOKUP($B186,'Standards Crosswalk'!$A:$H,3,FALSE)</f>
        <v>CSC 4</v>
      </c>
      <c r="N186" s="72">
        <f>VLOOKUP($B186,'Standards Crosswalk'!$A:$H,4,FALSE)</f>
        <v>0</v>
      </c>
      <c r="O186" s="72" t="str">
        <f>VLOOKUP($B186,'Standards Crosswalk'!$A:$H,5,FALSE)</f>
        <v>14.2.1</v>
      </c>
      <c r="P186" s="72">
        <f>VLOOKUP($B186,'Standards Crosswalk'!$A:$H,6,FALSE)</f>
        <v>0</v>
      </c>
      <c r="Q186" s="72" t="str">
        <f>VLOOKUP($B186,'Standards Crosswalk'!$A:$H,7,FALSE)</f>
        <v>3.13.2</v>
      </c>
      <c r="R186" s="72" t="str">
        <f>VLOOKUP($B186,'Standards Crosswalk'!$A:$H,8,FALSE)</f>
        <v>CA-5, PM-1</v>
      </c>
      <c r="S186" s="72" t="str">
        <f>VLOOKUP($B186,'Standards Crosswalk'!$A:$I,9,FALSE)</f>
        <v>6.3, 6.3.1</v>
      </c>
    </row>
    <row r="187" spans="1:19" ht="57.75" thickBot="1" x14ac:dyDescent="0.25">
      <c r="A187" s="71">
        <f t="shared" si="5"/>
        <v>185</v>
      </c>
      <c r="B187" s="77" t="s">
        <v>351</v>
      </c>
      <c r="C187" s="78" t="str">
        <f>VLOOKUP(B187,'HECVAT - Full'!A:E,2,FALSE)</f>
        <v>Do you have a documented systems development life cycle (SDLC)?</v>
      </c>
      <c r="D187" s="71">
        <f>VLOOKUP(B187,'HECVAT - Full'!A:E,4,FALSE)</f>
        <v>0</v>
      </c>
      <c r="E187" s="79" t="b">
        <f>IF(Table1[[#This Row],[Column11]]&gt;20,TRUE,FALSE)</f>
        <v>0</v>
      </c>
      <c r="F187" s="79" t="s">
        <v>2040</v>
      </c>
      <c r="G187" s="80" t="s">
        <v>17</v>
      </c>
      <c r="H187" s="81">
        <v>1</v>
      </c>
      <c r="I187" s="71">
        <f>VLOOKUP(B187,'HECVAT - Full'!A:E,3,FALSE)</f>
        <v>0</v>
      </c>
      <c r="J187" s="71">
        <f>IF(Table1[[#This Row],[Column7]]=Table1[[#This Row],[Column9]],1,0)</f>
        <v>0</v>
      </c>
      <c r="K187" s="71">
        <f>IF(Table1[[#This Row],[Column8]]=1,20,"")</f>
        <v>20</v>
      </c>
      <c r="L187" s="71">
        <f>IF(Table1[[#This Row],[Column8]]=1,J187*K187,"")</f>
        <v>0</v>
      </c>
      <c r="M187" s="72" t="str">
        <f>VLOOKUP($B187,'Standards Crosswalk'!$A:$H,3,FALSE)</f>
        <v>CSC 4</v>
      </c>
      <c r="N187" s="72">
        <f>VLOOKUP($B187,'Standards Crosswalk'!$A:$H,4,FALSE)</f>
        <v>0</v>
      </c>
      <c r="O187" s="72" t="str">
        <f>VLOOKUP($B187,'Standards Crosswalk'!$A:$H,5,FALSE)</f>
        <v>14.2.1</v>
      </c>
      <c r="P187" s="72" t="str">
        <f>VLOOKUP($B187,'Standards Crosswalk'!$A:$H,6,FALSE)</f>
        <v>PR.IP-2</v>
      </c>
      <c r="Q187" s="72">
        <f>VLOOKUP($B187,'Standards Crosswalk'!$A:$H,7,FALSE)</f>
        <v>0</v>
      </c>
      <c r="R187" s="72" t="str">
        <f>VLOOKUP($B187,'Standards Crosswalk'!$A:$H,8,FALSE)</f>
        <v>CM-3, SA-15, SA-3, SA-8, SC-2, CA-5, PM-1</v>
      </c>
      <c r="S187" s="72" t="str">
        <f>VLOOKUP($B187,'Standards Crosswalk'!$A:$I,9,FALSE)</f>
        <v>6.3.2</v>
      </c>
    </row>
    <row r="188" spans="1:19" ht="57.75" thickBot="1" x14ac:dyDescent="0.25">
      <c r="A188" s="71">
        <f t="shared" si="5"/>
        <v>186</v>
      </c>
      <c r="B188" s="95" t="s">
        <v>352</v>
      </c>
      <c r="C188" s="78" t="str">
        <f>VLOOKUP(B188,'HECVAT - Full'!A:E,2,FALSE)</f>
        <v>Do you have a formal incident response plan?</v>
      </c>
      <c r="D188" s="71">
        <f>VLOOKUP(B188,'HECVAT - Full'!A:E,4,FALSE)</f>
        <v>0</v>
      </c>
      <c r="E188" s="79" t="b">
        <f>IF(Table1[[#This Row],[Column11]]&gt;20,TRUE,FALSE)</f>
        <v>1</v>
      </c>
      <c r="F188" s="79" t="s">
        <v>2040</v>
      </c>
      <c r="G188" s="80" t="s">
        <v>17</v>
      </c>
      <c r="H188" s="81">
        <v>1</v>
      </c>
      <c r="I188" s="71">
        <f>VLOOKUP(B188,'HECVAT - Full'!A:E,3,FALSE)</f>
        <v>0</v>
      </c>
      <c r="J188" s="71">
        <f>IF(Table1[[#This Row],[Column7]]=Table1[[#This Row],[Column9]],1,0)</f>
        <v>0</v>
      </c>
      <c r="K188" s="71">
        <f>IF(Table1[[#This Row],[Column8]]=1,25,"")</f>
        <v>25</v>
      </c>
      <c r="L188" s="71">
        <f>IF(Table1[[#This Row],[Column8]]=1,J188*K188,"")</f>
        <v>0</v>
      </c>
      <c r="M188" s="72" t="str">
        <f>VLOOKUP($B188,'Standards Crosswalk'!$A:$H,3,FALSE)</f>
        <v>CSC 19</v>
      </c>
      <c r="N188" s="72">
        <f>VLOOKUP($B188,'Standards Crosswalk'!$A:$H,4,FALSE)</f>
        <v>0</v>
      </c>
      <c r="O188" s="72" t="str">
        <f>VLOOKUP($B188,'Standards Crosswalk'!$A:$H,5,FALSE)</f>
        <v>16.1.5</v>
      </c>
      <c r="P188" s="72" t="str">
        <f>VLOOKUP($B188,'Standards Crosswalk'!$A:$H,6,FALSE)</f>
        <v>PR.IP-9</v>
      </c>
      <c r="Q188" s="72" t="str">
        <f>VLOOKUP($B188,'Standards Crosswalk'!$A:$H,7,FALSE)</f>
        <v>3.6.1, 3.12.2</v>
      </c>
      <c r="R188" s="72" t="str">
        <f>VLOOKUP($B188,'Standards Crosswalk'!$A:$H,8,FALSE)</f>
        <v>CA-5, PM-1, IR-4, IR-5, IR-7, IR-8</v>
      </c>
      <c r="S188" s="72" t="str">
        <f>VLOOKUP($B188,'Standards Crosswalk'!$A:$I,9,FALSE)</f>
        <v>12.10, 12.8, 12.9</v>
      </c>
    </row>
    <row r="189" spans="1:19" ht="57.75" thickBot="1" x14ac:dyDescent="0.25">
      <c r="A189" s="71">
        <f t="shared" si="5"/>
        <v>187</v>
      </c>
      <c r="B189" s="95" t="s">
        <v>353</v>
      </c>
      <c r="C189" s="78" t="str">
        <f>VLOOKUP(B189,'HECVAT - Full'!A:E,2,FALSE)</f>
        <v>Will you comply with applicable breach notification laws?</v>
      </c>
      <c r="D189" s="71">
        <f>VLOOKUP(B189,'HECVAT - Full'!A:E,4,FALSE)</f>
        <v>0</v>
      </c>
      <c r="E189" s="79" t="b">
        <f>IF(Table1[[#This Row],[Column11]]&gt;20,TRUE,FALSE)</f>
        <v>1</v>
      </c>
      <c r="F189" s="79" t="s">
        <v>2040</v>
      </c>
      <c r="G189" s="80" t="s">
        <v>17</v>
      </c>
      <c r="H189" s="81">
        <v>1</v>
      </c>
      <c r="I189" s="71">
        <f>VLOOKUP(B189,'HECVAT - Full'!A:E,3,FALSE)</f>
        <v>0</v>
      </c>
      <c r="J189" s="71">
        <f>IF(Table1[[#This Row],[Column7]]=Table1[[#This Row],[Column9]],1,0)</f>
        <v>0</v>
      </c>
      <c r="K189" s="71">
        <f>IF(Table1[[#This Row],[Column8]]=1,25,"")</f>
        <v>25</v>
      </c>
      <c r="L189" s="71">
        <f>IF(Table1[[#This Row],[Column8]]=1,J189*K189,"")</f>
        <v>0</v>
      </c>
      <c r="M189" s="72" t="str">
        <f>VLOOKUP($B189,'Standards Crosswalk'!$A:$H,3,FALSE)</f>
        <v>CSC 19</v>
      </c>
      <c r="N189" s="72">
        <f>VLOOKUP($B189,'Standards Crosswalk'!$A:$H,4,FALSE)</f>
        <v>0</v>
      </c>
      <c r="O189" s="72" t="str">
        <f>VLOOKUP($B189,'Standards Crosswalk'!$A:$H,5,FALSE)</f>
        <v>18.1.1</v>
      </c>
      <c r="P189" s="72" t="str">
        <f>VLOOKUP($B189,'Standards Crosswalk'!$A:$H,6,FALSE)</f>
        <v>ID.GV-3</v>
      </c>
      <c r="Q189" s="72" t="str">
        <f>VLOOKUP($B189,'Standards Crosswalk'!$A:$H,7,FALSE)</f>
        <v>3.6.2,</v>
      </c>
      <c r="R189" s="72" t="str">
        <f>VLOOKUP($B189,'Standards Crosswalk'!$A:$H,8,FALSE)</f>
        <v>CA-5, PM-1, IR-4, IR-5, IR-6, IR-7, IR-8</v>
      </c>
      <c r="S189" s="72">
        <f>VLOOKUP($B189,'Standards Crosswalk'!$A:$I,9,FALSE)</f>
        <v>12.8</v>
      </c>
    </row>
    <row r="190" spans="1:19" ht="57.75" thickBot="1" x14ac:dyDescent="0.25">
      <c r="A190" s="71">
        <f t="shared" si="5"/>
        <v>188</v>
      </c>
      <c r="B190" s="95" t="s">
        <v>354</v>
      </c>
      <c r="C190" s="78" t="str">
        <f>VLOOKUP(B190,'HECVAT - Full'!A:E,2,FALSE)</f>
        <v>Will you comply with the Institution's IT policies with regards to user privacy and data protection?</v>
      </c>
      <c r="D190" s="71">
        <f>VLOOKUP(B190,'HECVAT - Full'!A:E,4,FALSE)</f>
        <v>0</v>
      </c>
      <c r="E190" s="79" t="b">
        <f>IF(Table1[[#This Row],[Column11]]&gt;20,TRUE,FALSE)</f>
        <v>0</v>
      </c>
      <c r="F190" s="79" t="s">
        <v>2040</v>
      </c>
      <c r="G190" s="80" t="s">
        <v>17</v>
      </c>
      <c r="H190" s="81">
        <v>1</v>
      </c>
      <c r="I190" s="71">
        <f>VLOOKUP(B190,'HECVAT - Full'!A:E,3,FALSE)</f>
        <v>0</v>
      </c>
      <c r="J190" s="71">
        <f>IF(Table1[[#This Row],[Column7]]=Table1[[#This Row],[Column9]],1,0)</f>
        <v>0</v>
      </c>
      <c r="K190" s="71">
        <f>IF(Table1[[#This Row],[Column8]]=1,15,"")</f>
        <v>15</v>
      </c>
      <c r="L190" s="71">
        <f>IF(Table1[[#This Row],[Column8]]=1,J190*K190,"")</f>
        <v>0</v>
      </c>
      <c r="M190" s="72" t="str">
        <f>VLOOKUP($B190,'Standards Crosswalk'!$A:$H,3,FALSE)</f>
        <v>CSC 13</v>
      </c>
      <c r="N190" s="72">
        <f>VLOOKUP($B190,'Standards Crosswalk'!$A:$H,4,FALSE)</f>
        <v>0</v>
      </c>
      <c r="O190" s="72" t="str">
        <f>VLOOKUP($B190,'Standards Crosswalk'!$A:$H,5,FALSE)</f>
        <v>18.1.1</v>
      </c>
      <c r="P190" s="72">
        <f>VLOOKUP($B190,'Standards Crosswalk'!$A:$H,6,FALSE)</f>
        <v>0</v>
      </c>
      <c r="Q190" s="72" t="str">
        <f>VLOOKUP($B190,'Standards Crosswalk'!$A:$H,7,FALSE)</f>
        <v>3.6.2</v>
      </c>
      <c r="R190" s="72" t="str">
        <f>VLOOKUP($B190,'Standards Crosswalk'!$A:$H,8,FALSE)</f>
        <v>CA-2, SA-15, CA-5, PM-1, IR-4, IR-5, IR-6, R-7, IR-8</v>
      </c>
      <c r="S190" s="72">
        <f>VLOOKUP($B190,'Standards Crosswalk'!$A:$I,9,FALSE)</f>
        <v>12.8</v>
      </c>
    </row>
    <row r="191" spans="1:19" ht="57.75" thickBot="1" x14ac:dyDescent="0.25">
      <c r="A191" s="71">
        <f t="shared" si="5"/>
        <v>189</v>
      </c>
      <c r="B191" s="95" t="s">
        <v>355</v>
      </c>
      <c r="C191" s="78" t="str">
        <f>VLOOKUP(B191,'HECVAT - Full'!A:E,2,FALSE)</f>
        <v>Is your company subject to Institution's Data Zone laws and regulations?</v>
      </c>
      <c r="D191" s="71">
        <f>VLOOKUP(B191,'HECVAT - Full'!A:E,4,FALSE)</f>
        <v>0</v>
      </c>
      <c r="E191" s="79" t="b">
        <f>IF(Table1[[#This Row],[Column11]]&gt;20,TRUE,FALSE)</f>
        <v>0</v>
      </c>
      <c r="F191" s="79" t="s">
        <v>2040</v>
      </c>
      <c r="G191" s="80" t="s">
        <v>17</v>
      </c>
      <c r="H191" s="81">
        <v>1</v>
      </c>
      <c r="I191" s="71">
        <f>VLOOKUP(B191,'HECVAT - Full'!A:E,3,FALSE)</f>
        <v>0</v>
      </c>
      <c r="J191" s="71">
        <f>IF(Table1[[#This Row],[Column7]]=Table1[[#This Row],[Column9]],1,0)</f>
        <v>0</v>
      </c>
      <c r="K191" s="71">
        <f>IF(Table1[[#This Row],[Column8]]=1,20,"")</f>
        <v>20</v>
      </c>
      <c r="L191" s="71">
        <f>IF(Table1[[#This Row],[Column8]]=1,J191*K191,"")</f>
        <v>0</v>
      </c>
      <c r="M191" s="72" t="str">
        <f>VLOOKUP($B191,'Standards Crosswalk'!$A:$H,3,FALSE)</f>
        <v>CSC 19</v>
      </c>
      <c r="N191" s="72">
        <f>VLOOKUP($B191,'Standards Crosswalk'!$A:$H,4,FALSE)</f>
        <v>0</v>
      </c>
      <c r="O191" s="72" t="str">
        <f>VLOOKUP($B191,'Standards Crosswalk'!$A:$H,5,FALSE)</f>
        <v>18.1.1</v>
      </c>
      <c r="P191" s="72" t="str">
        <f>VLOOKUP($B191,'Standards Crosswalk'!$A:$H,6,FALSE)</f>
        <v>ID.GV-3</v>
      </c>
      <c r="Q191" s="72">
        <f>VLOOKUP($B191,'Standards Crosswalk'!$A:$H,7,FALSE)</f>
        <v>0</v>
      </c>
      <c r="R191" s="72" t="str">
        <f>VLOOKUP($B191,'Standards Crosswalk'!$A:$H,8,FALSE)</f>
        <v>CA-5, PM-1</v>
      </c>
      <c r="S191" s="72">
        <f>VLOOKUP($B191,'Standards Crosswalk'!$A:$I,9,FALSE)</f>
        <v>0</v>
      </c>
    </row>
    <row r="192" spans="1:19" ht="72" thickBot="1" x14ac:dyDescent="0.25">
      <c r="A192" s="71">
        <f t="shared" si="5"/>
        <v>190</v>
      </c>
      <c r="B192" s="95" t="s">
        <v>356</v>
      </c>
      <c r="C192" s="78" t="str">
        <f>VLOOKUP(B192,'HECVAT - Full'!A:E,2,FALSE)</f>
        <v>Do you perform background screenings or multi-state background checks on all employees prior to their first day of work?</v>
      </c>
      <c r="D192" s="71">
        <f>VLOOKUP(B192,'HECVAT - Full'!A:E,4,FALSE)</f>
        <v>0</v>
      </c>
      <c r="E192" s="79" t="b">
        <f>IF(Table1[[#This Row],[Column11]]&gt;20,TRUE,FALSE)</f>
        <v>0</v>
      </c>
      <c r="F192" s="79" t="s">
        <v>2040</v>
      </c>
      <c r="G192" s="80" t="s">
        <v>17</v>
      </c>
      <c r="H192" s="81">
        <v>1</v>
      </c>
      <c r="I192" s="71">
        <f>VLOOKUP(B192,'HECVAT - Full'!A:E,3,FALSE)</f>
        <v>0</v>
      </c>
      <c r="J192" s="71">
        <f>IF(Table1[[#This Row],[Column7]]=Table1[[#This Row],[Column9]],1,0)</f>
        <v>0</v>
      </c>
      <c r="K192" s="71">
        <f>IF(Table1[[#This Row],[Column8]]=1,15,"")</f>
        <v>15</v>
      </c>
      <c r="L192" s="71">
        <f>IF(Table1[[#This Row],[Column8]]=1,J192*K192,"")</f>
        <v>0</v>
      </c>
      <c r="M192" s="72" t="str">
        <f>VLOOKUP($B192,'Standards Crosswalk'!$A:$H,3,FALSE)</f>
        <v>CSC 5</v>
      </c>
      <c r="N192" s="72">
        <f>VLOOKUP($B192,'Standards Crosswalk'!$A:$H,4,FALSE)</f>
        <v>0</v>
      </c>
      <c r="O192" s="72" t="str">
        <f>VLOOKUP($B192,'Standards Crosswalk'!$A:$H,5,FALSE)</f>
        <v>7.1.1</v>
      </c>
      <c r="P192" s="72" t="str">
        <f>VLOOKUP($B192,'Standards Crosswalk'!$A:$H,6,FALSE)</f>
        <v>PR.IP-11</v>
      </c>
      <c r="Q192" s="72" t="str">
        <f>VLOOKUP($B192,'Standards Crosswalk'!$A:$H,7,FALSE)</f>
        <v>3.9.1</v>
      </c>
      <c r="R192" s="72" t="str">
        <f>VLOOKUP($B192,'Standards Crosswalk'!$A:$H,8,FALSE)</f>
        <v>CA-5, PM-1, PS-3</v>
      </c>
      <c r="S192" s="72">
        <f>VLOOKUP($B192,'Standards Crosswalk'!$A:$I,9,FALSE)</f>
        <v>12.7</v>
      </c>
    </row>
    <row r="193" spans="1:19" ht="57.75" thickBot="1" x14ac:dyDescent="0.25">
      <c r="A193" s="71">
        <f t="shared" si="5"/>
        <v>191</v>
      </c>
      <c r="B193" s="95" t="s">
        <v>357</v>
      </c>
      <c r="C193" s="78" t="str">
        <f>VLOOKUP(B193,'HECVAT - Full'!A:E,2,FALSE)</f>
        <v xml:space="preserve">Do you require new employees to fill out agreements and review policies?  </v>
      </c>
      <c r="D193" s="71">
        <f>VLOOKUP(B193,'HECVAT - Full'!A:E,4,FALSE)</f>
        <v>0</v>
      </c>
      <c r="E193" s="79" t="b">
        <f>IF(Table1[[#This Row],[Column11]]&gt;20,TRUE,FALSE)</f>
        <v>0</v>
      </c>
      <c r="F193" s="79" t="s">
        <v>2040</v>
      </c>
      <c r="G193" s="80" t="s">
        <v>17</v>
      </c>
      <c r="H193" s="81">
        <v>1</v>
      </c>
      <c r="I193" s="71">
        <f>VLOOKUP(B193,'HECVAT - Full'!A:E,3,FALSE)</f>
        <v>0</v>
      </c>
      <c r="J193" s="71">
        <f>IF(Table1[[#This Row],[Column7]]=Table1[[#This Row],[Column9]],1,0)</f>
        <v>0</v>
      </c>
      <c r="K193" s="71">
        <f>IF(Table1[[#This Row],[Column8]]=1,15,"")</f>
        <v>15</v>
      </c>
      <c r="L193" s="71">
        <f>IF(Table1[[#This Row],[Column8]]=1,J193*K193,"")</f>
        <v>0</v>
      </c>
      <c r="M193" s="72" t="str">
        <f>VLOOKUP($B193,'Standards Crosswalk'!$A:$H,3,FALSE)</f>
        <v>CSC 17</v>
      </c>
      <c r="N193" s="72">
        <f>VLOOKUP($B193,'Standards Crosswalk'!$A:$H,4,FALSE)</f>
        <v>0</v>
      </c>
      <c r="O193" s="72" t="str">
        <f>VLOOKUP($B193,'Standards Crosswalk'!$A:$H,5,FALSE)</f>
        <v>7.1.2</v>
      </c>
      <c r="P193" s="72" t="str">
        <f>VLOOKUP($B193,'Standards Crosswalk'!$A:$H,6,FALSE)</f>
        <v>PR.IP-11</v>
      </c>
      <c r="Q193" s="72">
        <f>VLOOKUP($B193,'Standards Crosswalk'!$A:$H,7,FALSE)</f>
        <v>0</v>
      </c>
      <c r="R193" s="72" t="str">
        <f>VLOOKUP($B193,'Standards Crosswalk'!$A:$H,8,FALSE)</f>
        <v>CA-5, PM-1</v>
      </c>
      <c r="S193" s="72" t="str">
        <f>VLOOKUP($B193,'Standards Crosswalk'!$A:$I,9,FALSE)</f>
        <v>12.6, 7.x, 8.x, 9.x</v>
      </c>
    </row>
    <row r="194" spans="1:19" ht="57.75" thickBot="1" x14ac:dyDescent="0.25">
      <c r="A194" s="71">
        <f t="shared" si="5"/>
        <v>192</v>
      </c>
      <c r="B194" s="95" t="s">
        <v>358</v>
      </c>
      <c r="C194" s="78" t="str">
        <f>VLOOKUP(B194,'HECVAT - Full'!A:E,2,FALSE)</f>
        <v>Do you have documented information security policy?</v>
      </c>
      <c r="D194" s="71">
        <f>VLOOKUP(B194,'HECVAT - Full'!A:E,4,FALSE)</f>
        <v>0</v>
      </c>
      <c r="E194" s="79" t="b">
        <f>IF(Table1[[#This Row],[Column11]]&gt;20,TRUE,FALSE)</f>
        <v>1</v>
      </c>
      <c r="F194" s="79" t="s">
        <v>2040</v>
      </c>
      <c r="G194" s="80" t="s">
        <v>17</v>
      </c>
      <c r="H194" s="81">
        <v>1</v>
      </c>
      <c r="I194" s="71">
        <f>VLOOKUP(B194,'HECVAT - Full'!A:E,3,FALSE)</f>
        <v>0</v>
      </c>
      <c r="J194" s="71">
        <f>IF(Table1[[#This Row],[Column7]]=Table1[[#This Row],[Column9]],1,0)</f>
        <v>0</v>
      </c>
      <c r="K194" s="71">
        <f>IF(Table1[[#This Row],[Column8]]=1,25,"")</f>
        <v>25</v>
      </c>
      <c r="L194" s="71">
        <f>IF(Table1[[#This Row],[Column8]]=1,J194*K194,"")</f>
        <v>0</v>
      </c>
      <c r="M194" s="72" t="str">
        <f>VLOOKUP($B194,'Standards Crosswalk'!$A:$H,3,FALSE)</f>
        <v>CSC 17</v>
      </c>
      <c r="N194" s="72" t="str">
        <f>VLOOKUP($B194,'Standards Crosswalk'!$A:$H,4,FALSE)</f>
        <v>§164.308(a)(1)(i)</v>
      </c>
      <c r="O194" s="72" t="str">
        <f>VLOOKUP($B194,'Standards Crosswalk'!$A:$H,5,FALSE)</f>
        <v>5.1.1</v>
      </c>
      <c r="P194" s="72" t="str">
        <f>VLOOKUP($B194,'Standards Crosswalk'!$A:$H,6,FALSE)</f>
        <v>ID.GV-3</v>
      </c>
      <c r="Q194" s="72">
        <f>VLOOKUP($B194,'Standards Crosswalk'!$A:$H,7,FALSE)</f>
        <v>0</v>
      </c>
      <c r="R194" s="72" t="str">
        <f>VLOOKUP($B194,'Standards Crosswalk'!$A:$H,8,FALSE)</f>
        <v>CA-5, PM-1</v>
      </c>
      <c r="S194" s="72" t="str">
        <f>VLOOKUP($B194,'Standards Crosswalk'!$A:$I,9,FALSE)</f>
        <v>12.1, 5.4 (?)</v>
      </c>
    </row>
    <row r="195" spans="1:19" ht="57.75" thickBot="1" x14ac:dyDescent="0.25">
      <c r="A195" s="71">
        <f t="shared" si="5"/>
        <v>193</v>
      </c>
      <c r="B195" s="95" t="s">
        <v>359</v>
      </c>
      <c r="C195" s="78" t="str">
        <f>VLOOKUP(B195,'HECVAT - Full'!A:E,2,FALSE)</f>
        <v>Do you have an information security awareness program?</v>
      </c>
      <c r="D195" s="71">
        <f>VLOOKUP(B195,'HECVAT - Full'!A:E,4,FALSE)</f>
        <v>0</v>
      </c>
      <c r="E195" s="79" t="b">
        <f>IF(Table1[[#This Row],[Column11]]&gt;20,TRUE,FALSE)</f>
        <v>1</v>
      </c>
      <c r="F195" s="79" t="s">
        <v>2040</v>
      </c>
      <c r="G195" s="80" t="s">
        <v>17</v>
      </c>
      <c r="H195" s="81">
        <v>1</v>
      </c>
      <c r="I195" s="71">
        <f>VLOOKUP(B195,'HECVAT - Full'!A:E,3,FALSE)</f>
        <v>0</v>
      </c>
      <c r="J195" s="71">
        <f>IF(Table1[[#This Row],[Column7]]=Table1[[#This Row],[Column9]],1,0)</f>
        <v>0</v>
      </c>
      <c r="K195" s="71">
        <f>IF(Table1[[#This Row],[Column8]]=1,25,"")</f>
        <v>25</v>
      </c>
      <c r="L195" s="71">
        <f>IF(Table1[[#This Row],[Column8]]=1,J195*K195,"")</f>
        <v>0</v>
      </c>
      <c r="M195" s="72" t="str">
        <f>VLOOKUP($B195,'Standards Crosswalk'!$A:$H,3,FALSE)</f>
        <v>CSC 17</v>
      </c>
      <c r="N195" s="72" t="str">
        <f>VLOOKUP($B195,'Standards Crosswalk'!$A:$H,4,FALSE)</f>
        <v>§164.308(a)(5)(i)</v>
      </c>
      <c r="O195" s="72" t="str">
        <f>VLOOKUP($B195,'Standards Crosswalk'!$A:$H,5,FALSE)</f>
        <v>7.2.2</v>
      </c>
      <c r="P195" s="72" t="str">
        <f>VLOOKUP($B195,'Standards Crosswalk'!$A:$H,6,FALSE)</f>
        <v>PR.AT-1</v>
      </c>
      <c r="Q195" s="72" t="str">
        <f>VLOOKUP($B195,'Standards Crosswalk'!$A:$H,7,FALSE)</f>
        <v>3.2.1</v>
      </c>
      <c r="R195" s="72" t="str">
        <f>VLOOKUP($B195,'Standards Crosswalk'!$A:$H,8,FALSE)</f>
        <v>AT-2, CA-5, PM-1</v>
      </c>
      <c r="S195" s="72">
        <f>VLOOKUP($B195,'Standards Crosswalk'!$A:$I,9,FALSE)</f>
        <v>12.6</v>
      </c>
    </row>
    <row r="196" spans="1:19" ht="57.75" thickBot="1" x14ac:dyDescent="0.25">
      <c r="A196" s="71">
        <f t="shared" ref="A196:A259" si="6">A195+1</f>
        <v>194</v>
      </c>
      <c r="B196" s="95" t="s">
        <v>360</v>
      </c>
      <c r="C196" s="78" t="str">
        <f>VLOOKUP(B196,'HECVAT - Full'!A:E,2,FALSE)</f>
        <v>Is security awareness training mandatory for all employees?</v>
      </c>
      <c r="D196" s="71">
        <f>VLOOKUP(B196,'HECVAT - Full'!A:E,4,FALSE)</f>
        <v>0</v>
      </c>
      <c r="E196" s="79" t="b">
        <f>IF(Table1[[#This Row],[Column11]]&gt;20,TRUE,FALSE)</f>
        <v>0</v>
      </c>
      <c r="F196" s="79" t="s">
        <v>2040</v>
      </c>
      <c r="G196" s="80" t="s">
        <v>17</v>
      </c>
      <c r="H196" s="81">
        <v>1</v>
      </c>
      <c r="I196" s="71">
        <f>VLOOKUP(B196,'HECVAT - Full'!A:E,3,FALSE)</f>
        <v>0</v>
      </c>
      <c r="J196" s="71">
        <f>IF(Table1[[#This Row],[Column7]]=Table1[[#This Row],[Column9]],1,0)</f>
        <v>0</v>
      </c>
      <c r="K196" s="71">
        <f>IF(Table1[[#This Row],[Column8]]=1,20,"")</f>
        <v>20</v>
      </c>
      <c r="L196" s="71">
        <f>IF(Table1[[#This Row],[Column8]]=1,J196*K196,"")</f>
        <v>0</v>
      </c>
      <c r="M196" s="72" t="str">
        <f>VLOOKUP($B196,'Standards Crosswalk'!$A:$H,3,FALSE)</f>
        <v>CSC 17</v>
      </c>
      <c r="N196" s="72" t="str">
        <f>VLOOKUP($B196,'Standards Crosswalk'!$A:$H,4,FALSE)</f>
        <v>§164.308(a)(5)(i)</v>
      </c>
      <c r="O196" s="72" t="str">
        <f>VLOOKUP($B196,'Standards Crosswalk'!$A:$H,5,FALSE)</f>
        <v>7.2.2</v>
      </c>
      <c r="P196" s="72" t="str">
        <f>VLOOKUP($B196,'Standards Crosswalk'!$A:$H,6,FALSE)</f>
        <v>PR.AT-1</v>
      </c>
      <c r="Q196" s="72" t="str">
        <f>VLOOKUP($B196,'Standards Crosswalk'!$A:$H,7,FALSE)</f>
        <v>3.2.1, 3.2.2, 3.2.3</v>
      </c>
      <c r="R196" s="72" t="str">
        <f>VLOOKUP($B196,'Standards Crosswalk'!$A:$H,8,FALSE)</f>
        <v>AT-2, AT-3, CA-5, PM-1</v>
      </c>
      <c r="S196" s="72">
        <f>VLOOKUP($B196,'Standards Crosswalk'!$A:$I,9,FALSE)</f>
        <v>12.6</v>
      </c>
    </row>
    <row r="197" spans="1:19" ht="72" thickBot="1" x14ac:dyDescent="0.25">
      <c r="A197" s="71">
        <f t="shared" si="6"/>
        <v>195</v>
      </c>
      <c r="B197" s="95" t="s">
        <v>361</v>
      </c>
      <c r="C197" s="78" t="str">
        <f>VLOOKUP(B197,'HECVAT - Full'!A:E,2,FALSE)</f>
        <v>Do you have process and procedure(s) documented, and currently followed, that require a review and update of the access-list(s) for privileged accounts?</v>
      </c>
      <c r="D197" s="71">
        <f>VLOOKUP(B197,'HECVAT - Full'!A:E,4,FALSE)</f>
        <v>0</v>
      </c>
      <c r="E197" s="79" t="b">
        <f>IF(Table1[[#This Row],[Column11]]&gt;20,TRUE,FALSE)</f>
        <v>0</v>
      </c>
      <c r="F197" s="79" t="s">
        <v>2040</v>
      </c>
      <c r="G197" s="80" t="s">
        <v>17</v>
      </c>
      <c r="H197" s="81">
        <v>1</v>
      </c>
      <c r="I197" s="71">
        <f>VLOOKUP(B197,'HECVAT - Full'!A:E,3,FALSE)</f>
        <v>0</v>
      </c>
      <c r="J197" s="71">
        <f>IF(Table1[[#This Row],[Column7]]=Table1[[#This Row],[Column9]],1,0)</f>
        <v>0</v>
      </c>
      <c r="K197" s="71">
        <f>IF(Table1[[#This Row],[Column8]]=1,20,"")</f>
        <v>20</v>
      </c>
      <c r="L197" s="71">
        <f>IF(Table1[[#This Row],[Column8]]=1,J197*K197,"")</f>
        <v>0</v>
      </c>
      <c r="M197" s="72" t="str">
        <f>VLOOKUP($B197,'Standards Crosswalk'!$A:$H,3,FALSE)</f>
        <v>CSC 17</v>
      </c>
      <c r="N197" s="72">
        <f>VLOOKUP($B197,'Standards Crosswalk'!$A:$H,4,FALSE)</f>
        <v>0</v>
      </c>
      <c r="O197" s="72" t="str">
        <f>VLOOKUP($B197,'Standards Crosswalk'!$A:$H,5,FALSE)</f>
        <v>9.2.5</v>
      </c>
      <c r="P197" s="72" t="str">
        <f>VLOOKUP($B197,'Standards Crosswalk'!$A:$H,6,FALSE)</f>
        <v>PR.AC-4, PR.PT-3</v>
      </c>
      <c r="Q197" s="72" t="str">
        <f>VLOOKUP($B197,'Standards Crosswalk'!$A:$H,7,FALSE)</f>
        <v>3.1.7</v>
      </c>
      <c r="R197" s="72" t="str">
        <f>VLOOKUP($B197,'Standards Crosswalk'!$A:$H,8,FALSE)</f>
        <v>CA-5, PM-1</v>
      </c>
      <c r="S197" s="72" t="str">
        <f>VLOOKUP($B197,'Standards Crosswalk'!$A:$I,9,FALSE)</f>
        <v>12.1, 12.5, 12.6</v>
      </c>
    </row>
    <row r="198" spans="1:19" ht="93.75" customHeight="1" thickBot="1" x14ac:dyDescent="0.25">
      <c r="A198" s="71">
        <f t="shared" si="6"/>
        <v>196</v>
      </c>
      <c r="B198" s="95" t="s">
        <v>362</v>
      </c>
      <c r="C198" s="78" t="str">
        <f>VLOOKUP(B198,'HECVAT - Full'!A:E,2,FALSE)</f>
        <v>Do you have documented, and currently implemented, internal audit processes and procedures?</v>
      </c>
      <c r="D198" s="71">
        <f>VLOOKUP(B198,'HECVAT - Full'!A:E,4,FALSE)</f>
        <v>0</v>
      </c>
      <c r="E198" s="79" t="b">
        <f>IF(Table1[[#This Row],[Column11]]&gt;20,TRUE,FALSE)</f>
        <v>0</v>
      </c>
      <c r="F198" s="79" t="s">
        <v>2040</v>
      </c>
      <c r="G198" s="80" t="s">
        <v>17</v>
      </c>
      <c r="H198" s="81">
        <v>1</v>
      </c>
      <c r="I198" s="71">
        <f>VLOOKUP(B198,'HECVAT - Full'!A:E,3,FALSE)</f>
        <v>0</v>
      </c>
      <c r="J198" s="71">
        <f>IF(Table1[[#This Row],[Column7]]=Table1[[#This Row],[Column9]],1,0)</f>
        <v>0</v>
      </c>
      <c r="K198" s="71">
        <f>IF(Table1[[#This Row],[Column8]]=1,20,"")</f>
        <v>20</v>
      </c>
      <c r="L198" s="71">
        <f>IF(Table1[[#This Row],[Column8]]=1,J198*K198,"")</f>
        <v>0</v>
      </c>
      <c r="M198" s="72">
        <f>VLOOKUP($B198,'Standards Crosswalk'!$A:$H,3,FALSE)</f>
        <v>0</v>
      </c>
      <c r="N198" s="72">
        <f>VLOOKUP($B198,'Standards Crosswalk'!$A:$H,4,FALSE)</f>
        <v>0</v>
      </c>
      <c r="O198" s="72" t="str">
        <f>VLOOKUP($B198,'Standards Crosswalk'!$A:$H,5,FALSE)</f>
        <v>12.7.1</v>
      </c>
      <c r="P198" s="72">
        <f>VLOOKUP($B198,'Standards Crosswalk'!$A:$H,6,FALSE)</f>
        <v>0</v>
      </c>
      <c r="Q198" s="72">
        <f>VLOOKUP($B198,'Standards Crosswalk'!$A:$H,7,FALSE)</f>
        <v>0</v>
      </c>
      <c r="R198" s="72" t="str">
        <f>VLOOKUP($B198,'Standards Crosswalk'!$A:$H,8,FALSE)</f>
        <v>CA-5, PM-1, PS-4, PS-5, PE-2, PE-3, PE-5, AC-6, RA-3, SA-8, CA-2, NIST SP 800-37; NIST SP 800-39; NIST SP 800-115; NIST SP 800-137</v>
      </c>
      <c r="S198" s="72">
        <f>VLOOKUP($B198,'Standards Crosswalk'!$A:$I,9,FALSE)</f>
        <v>0</v>
      </c>
    </row>
    <row r="199" spans="1:19" ht="43.5" thickBot="1" x14ac:dyDescent="0.25">
      <c r="A199" s="71">
        <f t="shared" si="6"/>
        <v>197</v>
      </c>
      <c r="B199" s="77" t="s">
        <v>363</v>
      </c>
      <c r="C199" s="78" t="str">
        <f>VLOOKUP(B199,'HECVAT - Full'!A:E,2,FALSE)</f>
        <v>Do you incorporate customer feedback into security feature requests?</v>
      </c>
      <c r="D199" s="71">
        <f>VLOOKUP(B199,'HECVAT - Full'!A:E,4,FALSE)</f>
        <v>0</v>
      </c>
      <c r="E199" s="79" t="b">
        <f>IF(Table1[[#This Row],[Column11]]&gt;20,TRUE,FALSE)</f>
        <v>0</v>
      </c>
      <c r="F199" s="79" t="s">
        <v>2041</v>
      </c>
      <c r="G199" s="80" t="s">
        <v>17</v>
      </c>
      <c r="H199" s="81">
        <v>1</v>
      </c>
      <c r="I199" s="71">
        <f>VLOOKUP(B199,'HECVAT - Full'!A:E,3,FALSE)</f>
        <v>0</v>
      </c>
      <c r="J199" s="71">
        <f>IF(Table1[[#This Row],[Column7]]=Table1[[#This Row],[Column9]],1,0)</f>
        <v>0</v>
      </c>
      <c r="K199" s="71">
        <f>IF(Table1[[#This Row],[Column8]]=1,15,"")</f>
        <v>15</v>
      </c>
      <c r="L199" s="71">
        <f>IF(Table1[[#This Row],[Column8]]=1,J199*K199,"")</f>
        <v>0</v>
      </c>
      <c r="M199" s="72">
        <f>VLOOKUP($B199,'Standards Crosswalk'!$A:$H,3,FALSE)</f>
        <v>0</v>
      </c>
      <c r="N199" s="72">
        <f>VLOOKUP($B199,'Standards Crosswalk'!$A:$H,4,FALSE)</f>
        <v>0</v>
      </c>
      <c r="O199" s="72">
        <f>VLOOKUP($B199,'Standards Crosswalk'!$A:$H,5,FALSE)</f>
        <v>0</v>
      </c>
      <c r="P199" s="72">
        <f>VLOOKUP($B199,'Standards Crosswalk'!$A:$H,6,FALSE)</f>
        <v>0</v>
      </c>
      <c r="Q199" s="72">
        <f>VLOOKUP($B199,'Standards Crosswalk'!$A:$H,7,FALSE)</f>
        <v>0</v>
      </c>
      <c r="R199" s="72">
        <f>VLOOKUP($B199,'Standards Crosswalk'!$A:$H,8,FALSE)</f>
        <v>0</v>
      </c>
      <c r="S199" s="72">
        <f>VLOOKUP($B199,'Standards Crosswalk'!$A:$I,9,FALSE)</f>
        <v>0</v>
      </c>
    </row>
    <row r="200" spans="1:19" ht="29.25" thickBot="1" x14ac:dyDescent="0.25">
      <c r="A200" s="71">
        <f t="shared" si="6"/>
        <v>198</v>
      </c>
      <c r="B200" s="77" t="s">
        <v>364</v>
      </c>
      <c r="C200" s="78" t="str">
        <f>VLOOKUP(B200,'HECVAT - Full'!A:E,2,FALSE)</f>
        <v>Can you provide an evaluation site to the institution for testing?</v>
      </c>
      <c r="D200" s="71">
        <f>VLOOKUP(B200,'HECVAT - Full'!A:E,4,FALSE)</f>
        <v>0</v>
      </c>
      <c r="E200" s="79" t="b">
        <f>IF(Table1[[#This Row],[Column11]]&gt;20,TRUE,FALSE)</f>
        <v>0</v>
      </c>
      <c r="F200" s="79" t="s">
        <v>2041</v>
      </c>
      <c r="G200" s="80" t="s">
        <v>17</v>
      </c>
      <c r="H200" s="81">
        <v>1</v>
      </c>
      <c r="I200" s="71">
        <f>VLOOKUP(B200,'HECVAT - Full'!A:E,3,FALSE)</f>
        <v>0</v>
      </c>
      <c r="J200" s="71">
        <f>IF(Table1[[#This Row],[Column7]]=Table1[[#This Row],[Column9]],1,0)</f>
        <v>0</v>
      </c>
      <c r="K200" s="71">
        <f>IF(Table1[[#This Row],[Column8]]=1,15,"")</f>
        <v>15</v>
      </c>
      <c r="L200" s="71">
        <f>IF(Table1[[#This Row],[Column8]]=1,J200*K200,"")</f>
        <v>0</v>
      </c>
      <c r="M200" s="72">
        <f>VLOOKUP($B200,'Standards Crosswalk'!$A:$H,3,FALSE)</f>
        <v>0</v>
      </c>
      <c r="N200" s="72">
        <f>VLOOKUP($B200,'Standards Crosswalk'!$A:$H,4,FALSE)</f>
        <v>0</v>
      </c>
      <c r="O200" s="72">
        <f>VLOOKUP($B200,'Standards Crosswalk'!$A:$H,5,FALSE)</f>
        <v>0</v>
      </c>
      <c r="P200" s="72" t="str">
        <f>VLOOKUP($B200,'Standards Crosswalk'!$A:$H,6,FALSE)</f>
        <v>PR.DS-7</v>
      </c>
      <c r="Q200" s="72">
        <f>VLOOKUP($B200,'Standards Crosswalk'!$A:$H,7,FALSE)</f>
        <v>0</v>
      </c>
      <c r="R200" s="72">
        <f>VLOOKUP($B200,'Standards Crosswalk'!$A:$H,8,FALSE)</f>
        <v>0</v>
      </c>
      <c r="S200" s="72">
        <f>VLOOKUP($B200,'Standards Crosswalk'!$A:$I,9,FALSE)</f>
        <v>0</v>
      </c>
    </row>
    <row r="201" spans="1:19" ht="29.25" thickBot="1" x14ac:dyDescent="0.25">
      <c r="A201" s="71">
        <f t="shared" si="6"/>
        <v>199</v>
      </c>
      <c r="B201" s="77" t="s">
        <v>365</v>
      </c>
      <c r="C201" s="78" t="str">
        <f>VLOOKUP(B201,'HECVAT - Full'!A:E,2,FALSE)</f>
        <v>Provide a general summary of your Quality Assurance program.</v>
      </c>
      <c r="D201" s="71">
        <f>VLOOKUP(B201,'HECVAT - Full'!A:E,4,FALSE)</f>
        <v>0</v>
      </c>
      <c r="E201" s="79" t="b">
        <f>IF(Table1[[#This Row],[Column11]]&gt;20,TRUE,FALSE)</f>
        <v>0</v>
      </c>
      <c r="F201" s="79" t="s">
        <v>2042</v>
      </c>
      <c r="G201" s="80" t="s">
        <v>17</v>
      </c>
      <c r="H201" s="81">
        <v>1</v>
      </c>
      <c r="I201" s="71">
        <f>VLOOKUP(B201,'HECVAT - Full'!A:E,3,FALSE)</f>
        <v>0</v>
      </c>
      <c r="J201" s="71">
        <f>IF(VLOOKUP(Table1[[#This Row],[Column2]],'Analyst Report'!$A$41:$G$88,7,FALSE)="Yes",1,0)</f>
        <v>0</v>
      </c>
      <c r="K201" s="71">
        <f>IF(Table1[[#This Row],[Column8]]=1,15,"")</f>
        <v>15</v>
      </c>
      <c r="L201" s="71">
        <f>IF(Table1[[#This Row],[Column8]]=1,J201*K201,"")</f>
        <v>0</v>
      </c>
      <c r="M201" s="72" t="str">
        <f>VLOOKUP($B201,'Standards Crosswalk'!$A:$H,3,FALSE)</f>
        <v>CSC 13</v>
      </c>
      <c r="N201" s="72">
        <f>VLOOKUP($B201,'Standards Crosswalk'!$A:$H,4,FALSE)</f>
        <v>0</v>
      </c>
      <c r="O201" s="72">
        <f>VLOOKUP($B201,'Standards Crosswalk'!$A:$H,5,FALSE)</f>
        <v>0</v>
      </c>
      <c r="P201" s="72">
        <f>VLOOKUP($B201,'Standards Crosswalk'!$A:$H,6,FALSE)</f>
        <v>0</v>
      </c>
      <c r="Q201" s="72">
        <f>VLOOKUP($B201,'Standards Crosswalk'!$A:$H,7,FALSE)</f>
        <v>0</v>
      </c>
      <c r="R201" s="72">
        <f>VLOOKUP($B201,'Standards Crosswalk'!$A:$H,8,FALSE)</f>
        <v>0</v>
      </c>
      <c r="S201" s="72">
        <f>VLOOKUP($B201,'Standards Crosswalk'!$A:$I,9,FALSE)</f>
        <v>0</v>
      </c>
    </row>
    <row r="202" spans="1:19" ht="29.25" thickBot="1" x14ac:dyDescent="0.25">
      <c r="A202" s="71">
        <f t="shared" si="6"/>
        <v>200</v>
      </c>
      <c r="B202" s="77" t="s">
        <v>366</v>
      </c>
      <c r="C202" s="78" t="str">
        <f>VLOOKUP(B202,'HECVAT - Full'!A:E,2,FALSE)</f>
        <v>Do you comply with ISO 9001?</v>
      </c>
      <c r="D202" s="71">
        <f>VLOOKUP(B202,'HECVAT - Full'!A:E,4,FALSE)</f>
        <v>0</v>
      </c>
      <c r="E202" s="79" t="b">
        <f>IF(Table1[[#This Row],[Column11]]&gt;20,TRUE,FALSE)</f>
        <v>0</v>
      </c>
      <c r="F202" s="79" t="s">
        <v>2042</v>
      </c>
      <c r="G202" s="80" t="s">
        <v>17</v>
      </c>
      <c r="H202" s="81">
        <v>1</v>
      </c>
      <c r="I202" s="71">
        <f>VLOOKUP(B202,'HECVAT - Full'!A:E,3,FALSE)</f>
        <v>0</v>
      </c>
      <c r="J202" s="71">
        <f>IF(Table1[[#This Row],[Column7]]=Table1[[#This Row],[Column9]],1,0)</f>
        <v>0</v>
      </c>
      <c r="K202" s="71">
        <f>IF(Table1[[#This Row],[Column8]]=1,15,"")</f>
        <v>15</v>
      </c>
      <c r="L202" s="71">
        <f>IF(Table1[[#This Row],[Column8]]=1,J202*K202,"")</f>
        <v>0</v>
      </c>
      <c r="M202" s="72" t="str">
        <f>VLOOKUP($B202,'Standards Crosswalk'!$A:$H,3,FALSE)</f>
        <v>CSC 13</v>
      </c>
      <c r="N202" s="72">
        <f>VLOOKUP($B202,'Standards Crosswalk'!$A:$H,4,FALSE)</f>
        <v>0</v>
      </c>
      <c r="O202" s="72" t="str">
        <f>VLOOKUP($B202,'Standards Crosswalk'!$A:$H,5,FALSE)</f>
        <v>18.1.1</v>
      </c>
      <c r="P202" s="72">
        <f>VLOOKUP($B202,'Standards Crosswalk'!$A:$H,6,FALSE)</f>
        <v>0</v>
      </c>
      <c r="Q202" s="72">
        <f>VLOOKUP($B202,'Standards Crosswalk'!$A:$H,7,FALSE)</f>
        <v>0</v>
      </c>
      <c r="R202" s="72">
        <f>VLOOKUP($B202,'Standards Crosswalk'!$A:$H,8,FALSE)</f>
        <v>0</v>
      </c>
      <c r="S202" s="72">
        <f>VLOOKUP($B202,'Standards Crosswalk'!$A:$I,9,FALSE)</f>
        <v>0</v>
      </c>
    </row>
    <row r="203" spans="1:19" ht="72" thickBot="1" x14ac:dyDescent="0.25">
      <c r="A203" s="71">
        <f t="shared" si="6"/>
        <v>201</v>
      </c>
      <c r="B203" s="77" t="s">
        <v>367</v>
      </c>
      <c r="C203" s="78" t="str">
        <f>VLOOKUP(B203,'HECVAT - Full'!A:E,2,FALSE)</f>
        <v>Will your company provide quality and performance metrics in relation to the scope of services and performance expectations for the services you are offering?</v>
      </c>
      <c r="D203" s="71">
        <f>VLOOKUP(B203,'HECVAT - Full'!A:E,4,FALSE)</f>
        <v>0</v>
      </c>
      <c r="E203" s="79" t="b">
        <f>IF(Table1[[#This Row],[Column11]]&gt;20,TRUE,FALSE)</f>
        <v>0</v>
      </c>
      <c r="F203" s="79" t="s">
        <v>2042</v>
      </c>
      <c r="G203" s="80" t="s">
        <v>17</v>
      </c>
      <c r="H203" s="81">
        <v>1</v>
      </c>
      <c r="I203" s="71">
        <f>VLOOKUP(B203,'HECVAT - Full'!A:E,3,FALSE)</f>
        <v>0</v>
      </c>
      <c r="J203" s="71">
        <f>IF(Table1[[#This Row],[Column7]]=Table1[[#This Row],[Column9]],1,0)</f>
        <v>0</v>
      </c>
      <c r="K203" s="71">
        <f>IF(Table1[[#This Row],[Column8]]=1,15,"")</f>
        <v>15</v>
      </c>
      <c r="L203" s="71">
        <f>IF(Table1[[#This Row],[Column8]]=1,J203*K203,"")</f>
        <v>0</v>
      </c>
      <c r="M203" s="72" t="str">
        <f>VLOOKUP($B203,'Standards Crosswalk'!$A:$H,3,FALSE)</f>
        <v>CSC 13</v>
      </c>
      <c r="N203" s="72">
        <f>VLOOKUP($B203,'Standards Crosswalk'!$A:$H,4,FALSE)</f>
        <v>0</v>
      </c>
      <c r="O203" s="72">
        <f>VLOOKUP($B203,'Standards Crosswalk'!$A:$H,5,FALSE)</f>
        <v>0</v>
      </c>
      <c r="P203" s="72">
        <f>VLOOKUP($B203,'Standards Crosswalk'!$A:$H,6,FALSE)</f>
        <v>0</v>
      </c>
      <c r="Q203" s="72">
        <f>VLOOKUP($B203,'Standards Crosswalk'!$A:$H,7,FALSE)</f>
        <v>0</v>
      </c>
      <c r="R203" s="72">
        <f>VLOOKUP($B203,'Standards Crosswalk'!$A:$H,8,FALSE)</f>
        <v>0</v>
      </c>
      <c r="S203" s="72">
        <f>VLOOKUP($B203,'Standards Crosswalk'!$A:$I,9,FALSE)</f>
        <v>0</v>
      </c>
    </row>
    <row r="204" spans="1:19" ht="43.5" thickBot="1" x14ac:dyDescent="0.25">
      <c r="A204" s="71">
        <f t="shared" si="6"/>
        <v>202</v>
      </c>
      <c r="B204" s="77" t="s">
        <v>368</v>
      </c>
      <c r="C204" s="78" t="str">
        <f>VLOOKUP(B204,'HECVAT - Full'!A:E,2,FALSE)</f>
        <v>Have you supplied products and/or services to the Institution (or its Campuses) in the last five years?</v>
      </c>
      <c r="D204" s="71">
        <f>VLOOKUP(B204,'HECVAT - Full'!A:E,4,FALSE)</f>
        <v>0</v>
      </c>
      <c r="E204" s="79" t="b">
        <f>IF(Table1[[#This Row],[Column11]]&gt;20,TRUE,FALSE)</f>
        <v>0</v>
      </c>
      <c r="F204" s="79" t="s">
        <v>2042</v>
      </c>
      <c r="G204" s="80" t="s">
        <v>17</v>
      </c>
      <c r="H204" s="81">
        <v>1</v>
      </c>
      <c r="I204" s="71">
        <f>VLOOKUP(B204,'HECVAT - Full'!A:E,3,FALSE)</f>
        <v>0</v>
      </c>
      <c r="J204" s="71">
        <f>IF(Table1[[#This Row],[Column7]]=Table1[[#This Row],[Column9]],1,0)</f>
        <v>0</v>
      </c>
      <c r="K204" s="71">
        <f>IF(Table1[[#This Row],[Column8]]=1,15,"")</f>
        <v>15</v>
      </c>
      <c r="L204" s="71">
        <f>IF(Table1[[#This Row],[Column8]]=1,J204*K204,"")</f>
        <v>0</v>
      </c>
      <c r="M204" s="72">
        <f>VLOOKUP($B204,'Standards Crosswalk'!$A:$H,3,FALSE)</f>
        <v>0</v>
      </c>
      <c r="N204" s="72">
        <f>VLOOKUP($B204,'Standards Crosswalk'!$A:$H,4,FALSE)</f>
        <v>0</v>
      </c>
      <c r="O204" s="72">
        <f>VLOOKUP($B204,'Standards Crosswalk'!$A:$H,5,FALSE)</f>
        <v>0</v>
      </c>
      <c r="P204" s="72">
        <f>VLOOKUP($B204,'Standards Crosswalk'!$A:$H,6,FALSE)</f>
        <v>0</v>
      </c>
      <c r="Q204" s="72">
        <f>VLOOKUP($B204,'Standards Crosswalk'!$A:$H,7,FALSE)</f>
        <v>0</v>
      </c>
      <c r="R204" s="72">
        <f>VLOOKUP($B204,'Standards Crosswalk'!$A:$H,8,FALSE)</f>
        <v>0</v>
      </c>
      <c r="S204" s="72">
        <f>VLOOKUP($B204,'Standards Crosswalk'!$A:$I,9,FALSE)</f>
        <v>0</v>
      </c>
    </row>
    <row r="205" spans="1:19" ht="43.5" thickBot="1" x14ac:dyDescent="0.25">
      <c r="A205" s="71">
        <f t="shared" si="6"/>
        <v>203</v>
      </c>
      <c r="B205" s="77" t="s">
        <v>369</v>
      </c>
      <c r="C205" s="78" t="str">
        <f>VLOOKUP(B205,'HECVAT - Full'!A:E,2,FALSE)</f>
        <v>Do you have a program to keep your customers abreast of higher education and/or industry issues?</v>
      </c>
      <c r="D205" s="71">
        <f>VLOOKUP(B205,'HECVAT - Full'!A:E,4,FALSE)</f>
        <v>0</v>
      </c>
      <c r="E205" s="79" t="b">
        <f>IF(Table1[[#This Row],[Column11]]&gt;20,TRUE,FALSE)</f>
        <v>0</v>
      </c>
      <c r="F205" s="79" t="s">
        <v>2042</v>
      </c>
      <c r="G205" s="80" t="s">
        <v>17</v>
      </c>
      <c r="H205" s="81">
        <v>1</v>
      </c>
      <c r="I205" s="71">
        <f>VLOOKUP(B205,'HECVAT - Full'!A:E,3,FALSE)</f>
        <v>0</v>
      </c>
      <c r="J205" s="71">
        <f>IF(Table1[[#This Row],[Column7]]=Table1[[#This Row],[Column9]],1,0)</f>
        <v>0</v>
      </c>
      <c r="K205" s="71">
        <f>IF(Table1[[#This Row],[Column8]]=1,15,"")</f>
        <v>15</v>
      </c>
      <c r="L205" s="71">
        <f>IF(Table1[[#This Row],[Column8]]=1,J205*K205,"")</f>
        <v>0</v>
      </c>
      <c r="M205" s="72" t="str">
        <f>VLOOKUP($B205,'Standards Crosswalk'!$A:$H,3,FALSE)</f>
        <v>CSC 17</v>
      </c>
      <c r="N205" s="72">
        <f>VLOOKUP($B205,'Standards Crosswalk'!$A:$H,4,FALSE)</f>
        <v>0</v>
      </c>
      <c r="O205" s="72">
        <f>VLOOKUP($B205,'Standards Crosswalk'!$A:$H,5,FALSE)</f>
        <v>0</v>
      </c>
      <c r="P205" s="72">
        <f>VLOOKUP($B205,'Standards Crosswalk'!$A:$H,6,FALSE)</f>
        <v>0</v>
      </c>
      <c r="Q205" s="72">
        <f>VLOOKUP($B205,'Standards Crosswalk'!$A:$H,7,FALSE)</f>
        <v>0</v>
      </c>
      <c r="R205" s="72">
        <f>VLOOKUP($B205,'Standards Crosswalk'!$A:$H,8,FALSE)</f>
        <v>0</v>
      </c>
      <c r="S205" s="72">
        <f>VLOOKUP($B205,'Standards Crosswalk'!$A:$I,9,FALSE)</f>
        <v>0</v>
      </c>
    </row>
    <row r="206" spans="1:19" ht="72" thickBot="1" x14ac:dyDescent="0.25">
      <c r="A206" s="71">
        <f t="shared" si="6"/>
        <v>204</v>
      </c>
      <c r="B206" s="77" t="s">
        <v>370</v>
      </c>
      <c r="C206" s="78" t="str">
        <f>VLOOKUP(B206,'HECVAT - Full'!A:E,2,FALSE)</f>
        <v>Are systems that support this service managed via a separate management network?</v>
      </c>
      <c r="D206" s="71">
        <f>VLOOKUP(B206,'HECVAT - Full'!A:E,4,FALSE)</f>
        <v>0</v>
      </c>
      <c r="E206" s="79" t="b">
        <f>IF(Table1[[#This Row],[Column11]]&gt;20,TRUE,FALSE)</f>
        <v>1</v>
      </c>
      <c r="F206" s="79" t="s">
        <v>2043</v>
      </c>
      <c r="G206" s="80" t="s">
        <v>17</v>
      </c>
      <c r="H206" s="81">
        <v>1</v>
      </c>
      <c r="I206" s="71">
        <f>VLOOKUP(B206,'HECVAT - Full'!A:E,3,FALSE)</f>
        <v>0</v>
      </c>
      <c r="J206" s="71">
        <f>IF(Table1[[#This Row],[Column7]]=Table1[[#This Row],[Column9]],1,0)</f>
        <v>0</v>
      </c>
      <c r="K206" s="71">
        <f>IF(Table1[[#This Row],[Column8]]=1,25,"")</f>
        <v>25</v>
      </c>
      <c r="L206" s="71">
        <f>IF(Table1[[#This Row],[Column8]]=1,J206*K206,"")</f>
        <v>0</v>
      </c>
      <c r="M206" s="72" t="str">
        <f>VLOOKUP($B206,'Standards Crosswalk'!$A:$H,3,FALSE)</f>
        <v>CSC 12</v>
      </c>
      <c r="N206" s="72">
        <f>VLOOKUP($B206,'Standards Crosswalk'!$A:$H,4,FALSE)</f>
        <v>0</v>
      </c>
      <c r="O206" s="72" t="str">
        <f>VLOOKUP($B206,'Standards Crosswalk'!$A:$H,5,FALSE)</f>
        <v>13.1.1</v>
      </c>
      <c r="P206" s="72" t="str">
        <f>VLOOKUP($B206,'Standards Crosswalk'!$A:$H,6,FALSE)</f>
        <v>PR.PT-4</v>
      </c>
      <c r="Q206" s="72" t="str">
        <f>VLOOKUP($B206,'Standards Crosswalk'!$A:$H,7,FALSE)</f>
        <v>3.1.3</v>
      </c>
      <c r="R206" s="72" t="str">
        <f>VLOOKUP($B206,'Standards Crosswalk'!$A:$H,8,FALSE)</f>
        <v>AC-4</v>
      </c>
      <c r="S206" s="72">
        <f>VLOOKUP($B206,'Standards Crosswalk'!$A:$I,9,FALSE)</f>
        <v>0</v>
      </c>
    </row>
    <row r="207" spans="1:19" ht="72" thickBot="1" x14ac:dyDescent="0.25">
      <c r="A207" s="71">
        <f t="shared" si="6"/>
        <v>205</v>
      </c>
      <c r="B207" s="77" t="s">
        <v>371</v>
      </c>
      <c r="C207" s="78" t="str">
        <f>VLOOKUP(B207,'HECVAT - Full'!A:E,2,FALSE)</f>
        <v>Do you have an implemented system configuration management process? (e.g. secure "gold" images, etc.)</v>
      </c>
      <c r="D207" s="71">
        <f>VLOOKUP(B207,'HECVAT - Full'!A:E,4,FALSE)</f>
        <v>0</v>
      </c>
      <c r="E207" s="79" t="b">
        <f>IF(Table1[[#This Row],[Column11]]&gt;20,TRUE,FALSE)</f>
        <v>0</v>
      </c>
      <c r="F207" s="79" t="s">
        <v>2043</v>
      </c>
      <c r="G207" s="80" t="s">
        <v>17</v>
      </c>
      <c r="H207" s="81">
        <v>1</v>
      </c>
      <c r="I207" s="71">
        <f>VLOOKUP(B207,'HECVAT - Full'!A:E,3,FALSE)</f>
        <v>0</v>
      </c>
      <c r="J207" s="71">
        <f>IF(Table1[[#This Row],[Column7]]=Table1[[#This Row],[Column9]],1,0)</f>
        <v>0</v>
      </c>
      <c r="K207" s="71">
        <f>IF(Table1[[#This Row],[Column8]]=1,10,"")</f>
        <v>10</v>
      </c>
      <c r="L207" s="71">
        <f>IF(Table1[[#This Row],[Column8]]=1,J207*K207,"")</f>
        <v>0</v>
      </c>
      <c r="M207" s="72" t="str">
        <f>VLOOKUP($B207,'Standards Crosswalk'!$A:$H,3,FALSE)</f>
        <v>CSC 3</v>
      </c>
      <c r="N207" s="72">
        <f>VLOOKUP($B207,'Standards Crosswalk'!$A:$H,4,FALSE)</f>
        <v>0</v>
      </c>
      <c r="O207" s="72">
        <f>VLOOKUP($B207,'Standards Crosswalk'!$A:$H,5,FALSE)</f>
        <v>0</v>
      </c>
      <c r="P207" s="72" t="str">
        <f>VLOOKUP($B207,'Standards Crosswalk'!$A:$H,6,FALSE)</f>
        <v>PR.IP-1</v>
      </c>
      <c r="Q207" s="72" t="str">
        <f>VLOOKUP($B207,'Standards Crosswalk'!$A:$H,7,FALSE)</f>
        <v>3.4.1, 3.4.2, 3.4.3</v>
      </c>
      <c r="R207" s="72" t="str">
        <f>VLOOKUP($B207,'Standards Crosswalk'!$A:$H,8,FALSE)</f>
        <v>CM-2, CM-3, CM-6, CM-8</v>
      </c>
      <c r="S207" s="72">
        <f>VLOOKUP($B207,'Standards Crosswalk'!$A:$I,9,FALSE)</f>
        <v>0</v>
      </c>
    </row>
    <row r="208" spans="1:19" ht="72" thickBot="1" x14ac:dyDescent="0.25">
      <c r="A208" s="71">
        <f t="shared" si="6"/>
        <v>206</v>
      </c>
      <c r="B208" s="77" t="s">
        <v>372</v>
      </c>
      <c r="C208" s="78" t="str">
        <f>VLOOKUP(B208,'HECVAT - Full'!A:E,2,FALSE)</f>
        <v>Are employee mobile devices managed by your company's Mobile Device Management (MDM) platform?</v>
      </c>
      <c r="D208" s="71">
        <f>VLOOKUP(B208,'HECVAT - Full'!A:E,4,FALSE)</f>
        <v>0</v>
      </c>
      <c r="E208" s="79" t="b">
        <f>IF(Table1[[#This Row],[Column11]]&gt;20,TRUE,FALSE)</f>
        <v>0</v>
      </c>
      <c r="F208" s="79" t="s">
        <v>2043</v>
      </c>
      <c r="G208" s="80" t="s">
        <v>17</v>
      </c>
      <c r="H208" s="81">
        <v>1</v>
      </c>
      <c r="I208" s="71">
        <f>VLOOKUP(B208,'HECVAT - Full'!A:E,3,FALSE)</f>
        <v>0</v>
      </c>
      <c r="J208" s="71">
        <f>IF(Table1[[#This Row],[Column7]]=Table1[[#This Row],[Column9]],1,0)</f>
        <v>0</v>
      </c>
      <c r="K208" s="71">
        <f>IF(Table1[[#This Row],[Column8]]=1,15,"")</f>
        <v>15</v>
      </c>
      <c r="L208" s="71">
        <f>IF(Table1[[#This Row],[Column8]]=1,J208*K208,"")</f>
        <v>0</v>
      </c>
      <c r="M208" s="72" t="str">
        <f>VLOOKUP($B208,'Standards Crosswalk'!$A:$H,3,FALSE)</f>
        <v>CSC 3</v>
      </c>
      <c r="N208" s="72">
        <f>VLOOKUP($B208,'Standards Crosswalk'!$A:$H,4,FALSE)</f>
        <v>0</v>
      </c>
      <c r="O208" s="72" t="str">
        <f>VLOOKUP($B208,'Standards Crosswalk'!$A:$H,5,FALSE)</f>
        <v>6.2.1</v>
      </c>
      <c r="P208" s="72">
        <f>VLOOKUP($B208,'Standards Crosswalk'!$A:$H,6,FALSE)</f>
        <v>0</v>
      </c>
      <c r="Q208" s="72" t="str">
        <f>VLOOKUP($B208,'Standards Crosswalk'!$A:$H,7,FALSE)</f>
        <v>3.13.13</v>
      </c>
      <c r="R208" s="72">
        <f>VLOOKUP($B208,'Standards Crosswalk'!$A:$H,8,FALSE)</f>
        <v>0</v>
      </c>
      <c r="S208" s="72">
        <f>VLOOKUP($B208,'Standards Crosswalk'!$A:$I,9,FALSE)</f>
        <v>0</v>
      </c>
    </row>
    <row r="209" spans="1:19" ht="72" thickBot="1" x14ac:dyDescent="0.25">
      <c r="A209" s="71">
        <f t="shared" si="6"/>
        <v>207</v>
      </c>
      <c r="B209" s="77" t="s">
        <v>373</v>
      </c>
      <c r="C209" s="78" t="str">
        <f>VLOOKUP(B209,'HECVAT - Full'!A:E,2,FALSE)</f>
        <v>Do you have a systems management and configuration strategy that encompasses servers, appliances, and mobile devices (company and employee owned)?</v>
      </c>
      <c r="D209" s="71">
        <f>VLOOKUP(B209,'HECVAT - Full'!A:E,4,FALSE)</f>
        <v>0</v>
      </c>
      <c r="E209" s="79" t="b">
        <f>IF(Table1[[#This Row],[Column11]]&gt;20,TRUE,FALSE)</f>
        <v>0</v>
      </c>
      <c r="F209" s="79" t="s">
        <v>2043</v>
      </c>
      <c r="G209" s="80" t="s">
        <v>17</v>
      </c>
      <c r="H209" s="81">
        <v>1</v>
      </c>
      <c r="I209" s="71">
        <f>VLOOKUP(B209,'HECVAT - Full'!A:E,3,FALSE)</f>
        <v>0</v>
      </c>
      <c r="J209" s="71">
        <f>IF(Table1[[#This Row],[Column7]]=Table1[[#This Row],[Column9]],1,0)</f>
        <v>0</v>
      </c>
      <c r="K209" s="71">
        <f>IF(Table1[[#This Row],[Column8]]=1,20,"")</f>
        <v>20</v>
      </c>
      <c r="L209" s="71">
        <f>IF(Table1[[#This Row],[Column8]]=1,J209*K209,"")</f>
        <v>0</v>
      </c>
      <c r="M209" s="72" t="str">
        <f>VLOOKUP($B209,'Standards Crosswalk'!$A:$H,3,FALSE)</f>
        <v>CSC 3</v>
      </c>
      <c r="N209" s="72">
        <f>VLOOKUP($B209,'Standards Crosswalk'!$A:$H,4,FALSE)</f>
        <v>0</v>
      </c>
      <c r="O209" s="72" t="str">
        <f>VLOOKUP($B209,'Standards Crosswalk'!$A:$H,5,FALSE)</f>
        <v>12.1.1</v>
      </c>
      <c r="P209" s="72" t="str">
        <f>VLOOKUP($B209,'Standards Crosswalk'!$A:$H,6,FALSE)</f>
        <v>PR.IP-1, PR.IP-2</v>
      </c>
      <c r="Q209" s="72" t="str">
        <f>VLOOKUP($B209,'Standards Crosswalk'!$A:$H,7,FALSE)</f>
        <v>3.1.18, 3.7.1, 3.13.13</v>
      </c>
      <c r="R209" s="72" t="str">
        <f>VLOOKUP($B209,'Standards Crosswalk'!$A:$H,8,FALSE)</f>
        <v>CM-2, CM-6, CM-3, AC-19, MA-2</v>
      </c>
      <c r="S209" s="72">
        <f>VLOOKUP($B209,'Standards Crosswalk'!$A:$I,9,FALSE)</f>
        <v>0</v>
      </c>
    </row>
    <row r="210" spans="1:19" ht="43.5" thickBot="1" x14ac:dyDescent="0.25">
      <c r="A210" s="71">
        <f t="shared" si="6"/>
        <v>208</v>
      </c>
      <c r="B210" s="77" t="s">
        <v>374</v>
      </c>
      <c r="C210" s="78" t="str">
        <f>VLOOKUP(B210,'HECVAT - Full'!A:E,2,FALSE)</f>
        <v>Are your applications scanned externally for vulnerabilities?</v>
      </c>
      <c r="D210" s="71">
        <f>VLOOKUP(B210,'HECVAT - Full'!A:E,4,FALSE)</f>
        <v>0</v>
      </c>
      <c r="E210" s="79" t="b">
        <f>IF(Table1[[#This Row],[Column11]]&gt;20,TRUE,FALSE)</f>
        <v>1</v>
      </c>
      <c r="F210" s="79" t="s">
        <v>2044</v>
      </c>
      <c r="G210" s="80" t="s">
        <v>17</v>
      </c>
      <c r="H210" s="81">
        <v>1</v>
      </c>
      <c r="I210" s="71">
        <f>VLOOKUP(B210,'HECVAT - Full'!A:E,3,FALSE)</f>
        <v>0</v>
      </c>
      <c r="J210" s="71">
        <f>IF(Table1[[#This Row],[Column7]]=Table1[[#This Row],[Column9]],1,0)</f>
        <v>0</v>
      </c>
      <c r="K210" s="71">
        <f>IF(Table1[[#This Row],[Column8]]=1,25,"")</f>
        <v>25</v>
      </c>
      <c r="L210" s="71">
        <f>IF(Table1[[#This Row],[Column8]]=1,J210*K210,"")</f>
        <v>0</v>
      </c>
      <c r="M210" s="72" t="str">
        <f>VLOOKUP($B210,'Standards Crosswalk'!$A:$H,3,FALSE)</f>
        <v>CSC 4</v>
      </c>
      <c r="N210" s="72">
        <f>VLOOKUP($B210,'Standards Crosswalk'!$A:$H,4,FALSE)</f>
        <v>0</v>
      </c>
      <c r="O210" s="72" t="str">
        <f>VLOOKUP($B210,'Standards Crosswalk'!$A:$H,5,FALSE)</f>
        <v>12.6.1</v>
      </c>
      <c r="P210" s="72" t="str">
        <f>VLOOKUP($B210,'Standards Crosswalk'!$A:$H,6,FALSE)</f>
        <v>DE.CM-8</v>
      </c>
      <c r="Q210" s="72" t="str">
        <f>VLOOKUP($B210,'Standards Crosswalk'!$A:$H,7,FALSE)</f>
        <v>3.11.1, 3.11.2, 3.11.3</v>
      </c>
      <c r="R210" s="72" t="str">
        <f>VLOOKUP($B210,'Standards Crosswalk'!$A:$H,8,FALSE)</f>
        <v>SI-2</v>
      </c>
      <c r="S210" s="72">
        <f>VLOOKUP($B210,'Standards Crosswalk'!$A:$I,9,FALSE)</f>
        <v>11.2</v>
      </c>
    </row>
    <row r="211" spans="1:19" ht="43.5" thickBot="1" x14ac:dyDescent="0.25">
      <c r="A211" s="71">
        <f t="shared" si="6"/>
        <v>209</v>
      </c>
      <c r="B211" s="95" t="s">
        <v>375</v>
      </c>
      <c r="C211" s="78" t="str">
        <f>VLOOKUP(B211,'HECVAT - Full'!A:E,2,FALSE)</f>
        <v>Have your applications had an external vulnerability assessment in the last year?</v>
      </c>
      <c r="D211" s="71">
        <f>VLOOKUP(B211,'HECVAT - Full'!A:E,4,FALSE)</f>
        <v>0</v>
      </c>
      <c r="E211" s="79" t="b">
        <f>IF(Table1[[#This Row],[Column11]]&gt;20,TRUE,FALSE)</f>
        <v>1</v>
      </c>
      <c r="F211" s="79" t="s">
        <v>2044</v>
      </c>
      <c r="G211" s="80" t="s">
        <v>17</v>
      </c>
      <c r="H211" s="81">
        <f>IF(I210="Yes",1,0)</f>
        <v>0</v>
      </c>
      <c r="I211" s="71">
        <f>VLOOKUP(B211,'HECVAT - Full'!A:E,3,FALSE)</f>
        <v>0</v>
      </c>
      <c r="J211" s="71">
        <f>IF(Table1[[#This Row],[Column7]]=Table1[[#This Row],[Column9]],1,0)</f>
        <v>0</v>
      </c>
      <c r="K211" s="71" t="str">
        <f>IF(Table1[[#This Row],[Column8]]=1,25,"")</f>
        <v/>
      </c>
      <c r="L211" s="71" t="str">
        <f>IF(Table1[[#This Row],[Column8]]=1,J211*K211,"")</f>
        <v/>
      </c>
      <c r="M211" s="72" t="str">
        <f>VLOOKUP($B211,'Standards Crosswalk'!$A:$H,3,FALSE)</f>
        <v>CSC 4</v>
      </c>
      <c r="N211" s="72">
        <f>VLOOKUP($B211,'Standards Crosswalk'!$A:$H,4,FALSE)</f>
        <v>0</v>
      </c>
      <c r="O211" s="72" t="str">
        <f>VLOOKUP($B211,'Standards Crosswalk'!$A:$H,5,FALSE)</f>
        <v>12.6.1</v>
      </c>
      <c r="P211" s="72" t="str">
        <f>VLOOKUP($B211,'Standards Crosswalk'!$A:$H,6,FALSE)</f>
        <v>DE.CM-8</v>
      </c>
      <c r="Q211" s="72" t="str">
        <f>VLOOKUP($B211,'Standards Crosswalk'!$A:$H,7,FALSE)</f>
        <v>3.11.1, 3.11.2, 3.11.3</v>
      </c>
      <c r="R211" s="72" t="str">
        <f>VLOOKUP($B211,'Standards Crosswalk'!$A:$H,8,FALSE)</f>
        <v>SI-2</v>
      </c>
      <c r="S211" s="72">
        <f>VLOOKUP($B211,'Standards Crosswalk'!$A:$I,9,FALSE)</f>
        <v>11.2</v>
      </c>
    </row>
    <row r="212" spans="1:19" ht="43.5" thickBot="1" x14ac:dyDescent="0.25">
      <c r="A212" s="71">
        <f t="shared" si="6"/>
        <v>210</v>
      </c>
      <c r="B212" s="77" t="s">
        <v>376</v>
      </c>
      <c r="C212" s="78" t="str">
        <f>VLOOKUP(B212,'HECVAT - Full'!A:E,2,FALSE)</f>
        <v>Are your applications scanned for vulnerabilities prior to new releases?</v>
      </c>
      <c r="D212" s="71">
        <f>VLOOKUP(B212,'HECVAT - Full'!A:E,4,FALSE)</f>
        <v>0</v>
      </c>
      <c r="E212" s="79" t="b">
        <f>IF(Table1[[#This Row],[Column11]]&gt;20,TRUE,FALSE)</f>
        <v>0</v>
      </c>
      <c r="F212" s="79" t="s">
        <v>2044</v>
      </c>
      <c r="G212" s="80" t="s">
        <v>17</v>
      </c>
      <c r="H212" s="81">
        <v>1</v>
      </c>
      <c r="I212" s="71">
        <f>VLOOKUP(B212,'HECVAT - Full'!A:E,3,FALSE)</f>
        <v>0</v>
      </c>
      <c r="J212" s="71">
        <f>IF(Table1[[#This Row],[Column7]]=Table1[[#This Row],[Column9]],1,0)</f>
        <v>0</v>
      </c>
      <c r="K212" s="71">
        <f>IF(Table1[[#This Row],[Column8]]=1,20,"")</f>
        <v>20</v>
      </c>
      <c r="L212" s="71">
        <f>IF(Table1[[#This Row],[Column8]]=1,J212*K212,"")</f>
        <v>0</v>
      </c>
      <c r="M212" s="72" t="str">
        <f>VLOOKUP($B212,'Standards Crosswalk'!$A:$H,3,FALSE)</f>
        <v>CSC 4</v>
      </c>
      <c r="N212" s="72">
        <f>VLOOKUP($B212,'Standards Crosswalk'!$A:$H,4,FALSE)</f>
        <v>0</v>
      </c>
      <c r="O212" s="72">
        <f>VLOOKUP($B212,'Standards Crosswalk'!$A:$H,5,FALSE)</f>
        <v>0</v>
      </c>
      <c r="P212" s="72" t="str">
        <f>VLOOKUP($B212,'Standards Crosswalk'!$A:$H,6,FALSE)</f>
        <v>DE.CM-8</v>
      </c>
      <c r="Q212" s="72" t="str">
        <f>VLOOKUP($B212,'Standards Crosswalk'!$A:$H,7,FALSE)</f>
        <v>3.11.1, 3.11.2, 3.11.3</v>
      </c>
      <c r="R212" s="72" t="str">
        <f>VLOOKUP($B212,'Standards Crosswalk'!$A:$H,8,FALSE)</f>
        <v>SI-2</v>
      </c>
      <c r="S212" s="72">
        <f>VLOOKUP($B212,'Standards Crosswalk'!$A:$I,9,FALSE)</f>
        <v>11.2</v>
      </c>
    </row>
    <row r="213" spans="1:19" ht="43.5" thickBot="1" x14ac:dyDescent="0.25">
      <c r="A213" s="71">
        <f t="shared" si="6"/>
        <v>211</v>
      </c>
      <c r="B213" s="77" t="s">
        <v>377</v>
      </c>
      <c r="C213" s="78" t="str">
        <f>VLOOKUP(B213,'HECVAT - Full'!A:E,2,FALSE)</f>
        <v>Are your systems scanned externally for vulnerabilities?</v>
      </c>
      <c r="D213" s="71">
        <f>VLOOKUP(B213,'HECVAT - Full'!A:E,4,FALSE)</f>
        <v>0</v>
      </c>
      <c r="E213" s="79" t="b">
        <f>IF(Table1[[#This Row],[Column11]]&gt;20,TRUE,FALSE)</f>
        <v>1</v>
      </c>
      <c r="F213" s="79" t="s">
        <v>2044</v>
      </c>
      <c r="G213" s="80" t="s">
        <v>17</v>
      </c>
      <c r="H213" s="81">
        <v>1</v>
      </c>
      <c r="I213" s="71">
        <f>VLOOKUP(B213,'HECVAT - Full'!A:E,3,FALSE)</f>
        <v>0</v>
      </c>
      <c r="J213" s="71">
        <f>IF(Table1[[#This Row],[Column7]]=Table1[[#This Row],[Column9]],1,0)</f>
        <v>0</v>
      </c>
      <c r="K213" s="71">
        <f>IF(Table1[[#This Row],[Column8]]=1,25,"")</f>
        <v>25</v>
      </c>
      <c r="L213" s="71">
        <f>IF(Table1[[#This Row],[Column8]]=1,J213*K213,"")</f>
        <v>0</v>
      </c>
      <c r="M213" s="72" t="str">
        <f>VLOOKUP($B213,'Standards Crosswalk'!$A:$H,3,FALSE)</f>
        <v>CSC 4</v>
      </c>
      <c r="N213" s="72">
        <f>VLOOKUP($B213,'Standards Crosswalk'!$A:$H,4,FALSE)</f>
        <v>0</v>
      </c>
      <c r="O213" s="72">
        <f>VLOOKUP($B213,'Standards Crosswalk'!$A:$H,5,FALSE)</f>
        <v>0</v>
      </c>
      <c r="P213" s="72" t="str">
        <f>VLOOKUP($B213,'Standards Crosswalk'!$A:$H,6,FALSE)</f>
        <v>DE.CM-8</v>
      </c>
      <c r="Q213" s="72" t="str">
        <f>VLOOKUP($B213,'Standards Crosswalk'!$A:$H,7,FALSE)</f>
        <v>3.11.1, 3.11.2, 3.11.3</v>
      </c>
      <c r="R213" s="72" t="str">
        <f>VLOOKUP($B213,'Standards Crosswalk'!$A:$H,8,FALSE)</f>
        <v>SI-2</v>
      </c>
      <c r="S213" s="72">
        <f>VLOOKUP($B213,'Standards Crosswalk'!$A:$I,9,FALSE)</f>
        <v>11.2</v>
      </c>
    </row>
    <row r="214" spans="1:19" ht="43.5" thickBot="1" x14ac:dyDescent="0.25">
      <c r="A214" s="71">
        <f t="shared" si="6"/>
        <v>212</v>
      </c>
      <c r="B214" s="77" t="s">
        <v>378</v>
      </c>
      <c r="C214" s="78" t="str">
        <f>VLOOKUP(B214,'HECVAT - Full'!A:E,2,FALSE)</f>
        <v>Have your systems had an external vulnerability assessment in the last year?</v>
      </c>
      <c r="D214" s="71">
        <f>VLOOKUP(B214,'HECVAT - Full'!A:E,4,FALSE)</f>
        <v>0</v>
      </c>
      <c r="E214" s="79" t="b">
        <f>IF(Table1[[#This Row],[Column11]]&gt;20,TRUE,FALSE)</f>
        <v>1</v>
      </c>
      <c r="F214" s="79" t="s">
        <v>2044</v>
      </c>
      <c r="G214" s="80" t="s">
        <v>17</v>
      </c>
      <c r="H214" s="81">
        <v>1</v>
      </c>
      <c r="I214" s="71">
        <f>VLOOKUP(B214,'HECVAT - Full'!A:E,3,FALSE)</f>
        <v>0</v>
      </c>
      <c r="J214" s="71">
        <f>IF(Table1[[#This Row],[Column7]]=Table1[[#This Row],[Column9]],1,0)</f>
        <v>0</v>
      </c>
      <c r="K214" s="71">
        <f>IF(Table1[[#This Row],[Column8]]=1,25,"")</f>
        <v>25</v>
      </c>
      <c r="L214" s="71">
        <f>IF(Table1[[#This Row],[Column8]]=1,J214*K214,"")</f>
        <v>0</v>
      </c>
      <c r="M214" s="72" t="str">
        <f>VLOOKUP($B214,'Standards Crosswalk'!$A:$H,3,FALSE)</f>
        <v>CSC 4</v>
      </c>
      <c r="N214" s="72">
        <f>VLOOKUP($B214,'Standards Crosswalk'!$A:$H,4,FALSE)</f>
        <v>0</v>
      </c>
      <c r="O214" s="72">
        <f>VLOOKUP($B214,'Standards Crosswalk'!$A:$H,5,FALSE)</f>
        <v>0</v>
      </c>
      <c r="P214" s="72" t="str">
        <f>VLOOKUP($B214,'Standards Crosswalk'!$A:$H,6,FALSE)</f>
        <v>DE.CM-8</v>
      </c>
      <c r="Q214" s="72">
        <f>VLOOKUP($B214,'Standards Crosswalk'!$A:$H,7,FALSE)</f>
        <v>0</v>
      </c>
      <c r="R214" s="72" t="str">
        <f>VLOOKUP($B214,'Standards Crosswalk'!$A:$H,8,FALSE)</f>
        <v>SI-2</v>
      </c>
      <c r="S214" s="72">
        <f>VLOOKUP($B214,'Standards Crosswalk'!$A:$I,9,FALSE)</f>
        <v>11.2</v>
      </c>
    </row>
    <row r="215" spans="1:19" ht="57.75" thickBot="1" x14ac:dyDescent="0.25">
      <c r="A215" s="71">
        <f t="shared" si="6"/>
        <v>213</v>
      </c>
      <c r="B215" s="77" t="s">
        <v>379</v>
      </c>
      <c r="C215" s="78" t="str">
        <f>VLOOKUP(B215,'HECVAT - Full'!A:E,2,FALSE)</f>
        <v>Describe or provide a reference to the tool(s) used to scan for vulnerabilities in your applications and systems.</v>
      </c>
      <c r="D215" s="71">
        <f>VLOOKUP(B215,'HECVAT - Full'!A:E,4,FALSE)</f>
        <v>0</v>
      </c>
      <c r="E215" s="79" t="b">
        <f>IF(Table1[[#This Row],[Column11]]&gt;20,TRUE,FALSE)</f>
        <v>0</v>
      </c>
      <c r="F215" s="79" t="s">
        <v>2044</v>
      </c>
      <c r="G215" s="80" t="s">
        <v>17</v>
      </c>
      <c r="H215" s="81">
        <v>1</v>
      </c>
      <c r="I215" s="71">
        <f>VLOOKUP(B215,'HECVAT - Full'!A:E,3,FALSE)</f>
        <v>0</v>
      </c>
      <c r="J215" s="71">
        <f>IF(VLOOKUP(Table1[[#This Row],[Column2]],'Analyst Report'!$A$41:$G$88,7,FALSE)="Yes",1,0)</f>
        <v>0</v>
      </c>
      <c r="K215" s="71">
        <f>IF(Table1[[#This Row],[Column8]]=1,15,"")</f>
        <v>15</v>
      </c>
      <c r="L215" s="71">
        <f>IF(Table1[[#This Row],[Column8]]=1,J215*K215,"")</f>
        <v>0</v>
      </c>
      <c r="M215" s="72" t="str">
        <f>VLOOKUP($B215,'Standards Crosswalk'!$A:$H,3,FALSE)</f>
        <v>CSC 4</v>
      </c>
      <c r="N215" s="72">
        <f>VLOOKUP($B215,'Standards Crosswalk'!$A:$H,4,FALSE)</f>
        <v>0</v>
      </c>
      <c r="O215" s="72">
        <f>VLOOKUP($B215,'Standards Crosswalk'!$A:$H,5,FALSE)</f>
        <v>0</v>
      </c>
      <c r="P215" s="72" t="str">
        <f>VLOOKUP($B215,'Standards Crosswalk'!$A:$H,6,FALSE)</f>
        <v>DE.CM-8</v>
      </c>
      <c r="Q215" s="72" t="str">
        <f>VLOOKUP($B215,'Standards Crosswalk'!$A:$H,7,FALSE)</f>
        <v>3.11.1, 3.11.2, 3.11.3</v>
      </c>
      <c r="R215" s="72" t="str">
        <f>VLOOKUP($B215,'Standards Crosswalk'!$A:$H,8,FALSE)</f>
        <v>SI-2</v>
      </c>
      <c r="S215" s="72">
        <f>VLOOKUP($B215,'Standards Crosswalk'!$A:$I,9,FALSE)</f>
        <v>11.2</v>
      </c>
    </row>
    <row r="216" spans="1:19" ht="43.5" thickBot="1" x14ac:dyDescent="0.25">
      <c r="A216" s="71">
        <f t="shared" si="6"/>
        <v>214</v>
      </c>
      <c r="B216" s="77" t="s">
        <v>380</v>
      </c>
      <c r="C216" s="78" t="str">
        <f>VLOOKUP(B216,'HECVAT - Full'!A:E,2,FALSE)</f>
        <v>Will you provide results of security scans to the Institution?</v>
      </c>
      <c r="D216" s="71">
        <f>VLOOKUP(B216,'HECVAT - Full'!A:E,4,FALSE)</f>
        <v>0</v>
      </c>
      <c r="E216" s="79" t="b">
        <f>IF(Table1[[#This Row],[Column11]]&gt;20,TRUE,FALSE)</f>
        <v>0</v>
      </c>
      <c r="F216" s="79" t="s">
        <v>2044</v>
      </c>
      <c r="G216" s="80" t="s">
        <v>17</v>
      </c>
      <c r="H216" s="81">
        <v>1</v>
      </c>
      <c r="I216" s="71">
        <f>VLOOKUP(B216,'HECVAT - Full'!A:E,3,FALSE)</f>
        <v>0</v>
      </c>
      <c r="J216" s="71">
        <f>IF(Table1[[#This Row],[Column7]]=Table1[[#This Row],[Column9]],1,0)</f>
        <v>0</v>
      </c>
      <c r="K216" s="71">
        <f>IF(Table1[[#This Row],[Column8]]=1,15,"")</f>
        <v>15</v>
      </c>
      <c r="L216" s="71">
        <f>IF(Table1[[#This Row],[Column8]]=1,J216*K216,"")</f>
        <v>0</v>
      </c>
      <c r="M216" s="72" t="str">
        <f>VLOOKUP($B216,'Standards Crosswalk'!$A:$H,3,FALSE)</f>
        <v>CSC 4</v>
      </c>
      <c r="N216" s="72">
        <f>VLOOKUP($B216,'Standards Crosswalk'!$A:$H,4,FALSE)</f>
        <v>0</v>
      </c>
      <c r="O216" s="72">
        <f>VLOOKUP($B216,'Standards Crosswalk'!$A:$H,5,FALSE)</f>
        <v>0</v>
      </c>
      <c r="P216" s="72" t="str">
        <f>VLOOKUP($B216,'Standards Crosswalk'!$A:$H,6,FALSE)</f>
        <v>DE.CM-8</v>
      </c>
      <c r="Q216" s="72">
        <f>VLOOKUP($B216,'Standards Crosswalk'!$A:$H,7,FALSE)</f>
        <v>0</v>
      </c>
      <c r="R216" s="72" t="str">
        <f>VLOOKUP($B216,'Standards Crosswalk'!$A:$H,8,FALSE)</f>
        <v>SI-2</v>
      </c>
      <c r="S216" s="72">
        <f>VLOOKUP($B216,'Standards Crosswalk'!$A:$I,9,FALSE)</f>
        <v>11.2</v>
      </c>
    </row>
    <row r="217" spans="1:19" ht="72" thickBot="1" x14ac:dyDescent="0.25">
      <c r="A217" s="71">
        <f t="shared" si="6"/>
        <v>215</v>
      </c>
      <c r="B217" s="77" t="s">
        <v>381</v>
      </c>
      <c r="C217" s="78" t="str">
        <f>VLOOKUP(B217,'HECVAT - Full'!A:E,2,FALSE)</f>
        <v>Describe or provide a reference to how you monitor for and protect against common web application security vulnerabilities (e.g. SQL injection, XSS, XSRF, etc.).</v>
      </c>
      <c r="D217" s="71">
        <f>VLOOKUP(B217,'HECVAT - Full'!A:E,4,FALSE)</f>
        <v>0</v>
      </c>
      <c r="E217" s="79" t="b">
        <f>IF(Table1[[#This Row],[Column11]]&gt;20,TRUE,FALSE)</f>
        <v>0</v>
      </c>
      <c r="F217" s="79" t="s">
        <v>2044</v>
      </c>
      <c r="G217" s="80" t="s">
        <v>17</v>
      </c>
      <c r="H217" s="81">
        <v>1</v>
      </c>
      <c r="I217" s="71">
        <f>VLOOKUP(B217,'HECVAT - Full'!A:E,3,FALSE)</f>
        <v>0</v>
      </c>
      <c r="J217" s="71">
        <f>IF(VLOOKUP(Table1[[#This Row],[Column2]],'Analyst Report'!$A$41:$G$88,7,FALSE)="Yes",1,0)</f>
        <v>0</v>
      </c>
      <c r="K217" s="71">
        <f>IF(Table1[[#This Row],[Column8]]=1,20,"")</f>
        <v>20</v>
      </c>
      <c r="L217" s="71">
        <f>IF(Table1[[#This Row],[Column8]]=1,J217*K217,"")</f>
        <v>0</v>
      </c>
      <c r="M217" s="72" t="str">
        <f>VLOOKUP($B217,'Standards Crosswalk'!$A:$H,3,FALSE)</f>
        <v>CSC 7, CSC 18</v>
      </c>
      <c r="N217" s="72">
        <f>VLOOKUP($B217,'Standards Crosswalk'!$A:$H,4,FALSE)</f>
        <v>0</v>
      </c>
      <c r="O217" s="72" t="str">
        <f>VLOOKUP($B217,'Standards Crosswalk'!$A:$H,5,FALSE)</f>
        <v>12.6.1</v>
      </c>
      <c r="P217" s="72" t="str">
        <f>VLOOKUP($B217,'Standards Crosswalk'!$A:$H,6,FALSE)</f>
        <v>ID.RA-1, DE.CM-8, PR.IP-12</v>
      </c>
      <c r="Q217" s="72" t="str">
        <f>VLOOKUP($B217,'Standards Crosswalk'!$A:$H,7,FALSE)</f>
        <v>3.11.1, 3.11.2, 3.11.3, 3.14.2</v>
      </c>
      <c r="R217" s="72" t="str">
        <f>VLOOKUP($B217,'Standards Crosswalk'!$A:$H,8,FALSE)</f>
        <v>SI-2</v>
      </c>
      <c r="S217" s="72" t="str">
        <f>VLOOKUP($B217,'Standards Crosswalk'!$A:$I,9,FALSE)</f>
        <v>11.2, 11.3</v>
      </c>
    </row>
    <row r="218" spans="1:19" ht="86.25" thickBot="1" x14ac:dyDescent="0.25">
      <c r="A218" s="71">
        <f t="shared" si="6"/>
        <v>216</v>
      </c>
      <c r="B218" s="77" t="s">
        <v>382</v>
      </c>
      <c r="C218" s="78" t="str">
        <f>VLOOKUP(B218,'HECVAT - Full'!A:E,2,FALSE)</f>
        <v>Will you allow the institution to perform its own security testing of your systems and/or application provided that testing is performed at a mutually agreed upon time and date?</v>
      </c>
      <c r="D218" s="71">
        <f>VLOOKUP(B218,'HECVAT - Full'!A:E,4,FALSE)</f>
        <v>0</v>
      </c>
      <c r="E218" s="79" t="b">
        <f>IF(Table1[[#This Row],[Column11]]&gt;20,TRUE,FALSE)</f>
        <v>1</v>
      </c>
      <c r="F218" s="79" t="s">
        <v>2044</v>
      </c>
      <c r="G218" s="80" t="s">
        <v>17</v>
      </c>
      <c r="H218" s="81">
        <v>1</v>
      </c>
      <c r="I218" s="71">
        <f>VLOOKUP(B218,'HECVAT - Full'!A:E,3,FALSE)</f>
        <v>0</v>
      </c>
      <c r="J218" s="71">
        <f>IF(Table1[[#This Row],[Column7]]=Table1[[#This Row],[Column9]],1,0)</f>
        <v>0</v>
      </c>
      <c r="K218" s="71">
        <f>IF(Table1[[#This Row],[Column8]]=1,25,"")</f>
        <v>25</v>
      </c>
      <c r="L218" s="71">
        <f>IF(Table1[[#This Row],[Column8]]=1,J218*K218,"")</f>
        <v>0</v>
      </c>
      <c r="M218" s="72" t="str">
        <f>VLOOKUP($B218,'Standards Crosswalk'!$A:$H,3,FALSE)</f>
        <v>CSC 20</v>
      </c>
      <c r="N218" s="72">
        <f>VLOOKUP($B218,'Standards Crosswalk'!$A:$H,4,FALSE)</f>
        <v>0</v>
      </c>
      <c r="O218" s="72" t="str">
        <f>VLOOKUP($B218,'Standards Crosswalk'!$A:$H,5,FALSE)</f>
        <v>18.2.1</v>
      </c>
      <c r="P218" s="72" t="str">
        <f>VLOOKUP($B218,'Standards Crosswalk'!$A:$H,6,FALSE)</f>
        <v>DE.CM-8</v>
      </c>
      <c r="Q218" s="72" t="str">
        <f>VLOOKUP($B218,'Standards Crosswalk'!$A:$H,7,FALSE)</f>
        <v>3.11.1, 3.11.2, 3.11.3</v>
      </c>
      <c r="R218" s="72" t="str">
        <f>VLOOKUP($B218,'Standards Crosswalk'!$A:$H,8,FALSE)</f>
        <v>SI-2</v>
      </c>
      <c r="S218" s="72" t="str">
        <f>VLOOKUP($B218,'Standards Crosswalk'!$A:$I,9,FALSE)</f>
        <v>11.2, 12.8</v>
      </c>
    </row>
    <row r="219" spans="1:19" ht="57.75" thickBot="1" x14ac:dyDescent="0.25">
      <c r="A219" s="71">
        <f t="shared" si="6"/>
        <v>217</v>
      </c>
      <c r="B219" s="77" t="s">
        <v>383</v>
      </c>
      <c r="C219" s="78" t="str">
        <f>VLOOKUP(B219,'HECVAT - Full'!A:E,2,FALSE)</f>
        <v>Do your workforce members receive regular training related to the HIPAA Privacy and Security Rules and the HITECH Act?</v>
      </c>
      <c r="D219" s="71">
        <f>VLOOKUP(B219,'HECVAT - Full'!A:E,4,FALSE)</f>
        <v>0</v>
      </c>
      <c r="E219" s="79" t="b">
        <f>IF(Table1[[#This Row],[Column11]]&gt;20,TRUE,FALSE)</f>
        <v>0</v>
      </c>
      <c r="F219" s="79" t="s">
        <v>562</v>
      </c>
      <c r="G219" s="80" t="s">
        <v>17</v>
      </c>
      <c r="H219" s="81">
        <v>1</v>
      </c>
      <c r="I219" s="71">
        <f>VLOOKUP(B219,'HECVAT - Full'!A:E,3,FALSE)</f>
        <v>0</v>
      </c>
      <c r="J219" s="71">
        <f>IF(Table1[[#This Row],[Column7]]=Table1[[#This Row],[Column9]],1,0)</f>
        <v>0</v>
      </c>
      <c r="K219" s="71">
        <f>IF(Table1[[#This Row],[Column8]]=1,20,"")</f>
        <v>20</v>
      </c>
      <c r="L219" s="71">
        <f>IF(Table1[[#This Row],[Column8]]=1,J219*K219,"")</f>
        <v>0</v>
      </c>
      <c r="M219" s="72" t="str">
        <f>VLOOKUP($B219,'Standards Crosswalk'!$A:$H,3,FALSE)</f>
        <v>CSC 17</v>
      </c>
      <c r="N219" s="72" t="str">
        <f>VLOOKUP($B219,'Standards Crosswalk'!$A:$H,4,FALSE)</f>
        <v>§164.308(a)(5)(i)</v>
      </c>
      <c r="O219" s="72" t="str">
        <f>VLOOKUP($B219,'Standards Crosswalk'!$A:$H,5,FALSE)</f>
        <v>18.1.1, 7.2.2</v>
      </c>
      <c r="P219" s="72" t="str">
        <f>VLOOKUP($B219,'Standards Crosswalk'!$A:$H,6,FALSE)</f>
        <v>ID.GV-3</v>
      </c>
      <c r="Q219" s="72" t="str">
        <f>VLOOKUP($B219,'Standards Crosswalk'!$A:$H,7,FALSE)</f>
        <v>3.2.2</v>
      </c>
      <c r="R219" s="72" t="str">
        <f>VLOOKUP($B219,'Standards Crosswalk'!$A:$H,8,FALSE)</f>
        <v>AT-3</v>
      </c>
      <c r="S219" s="72">
        <f>VLOOKUP($B219,'Standards Crosswalk'!$A:$I,9,FALSE)</f>
        <v>0</v>
      </c>
    </row>
    <row r="220" spans="1:19" ht="43.5" thickBot="1" x14ac:dyDescent="0.25">
      <c r="A220" s="71">
        <f t="shared" si="6"/>
        <v>218</v>
      </c>
      <c r="B220" s="77" t="s">
        <v>384</v>
      </c>
      <c r="C220" s="78" t="str">
        <f>VLOOKUP(B220,'HECVAT - Full'!A:E,2,FALSE)</f>
        <v>Do you monitor or receive information regarding changes in HIPAA regulations?</v>
      </c>
      <c r="D220" s="71">
        <f>VLOOKUP(B220,'HECVAT - Full'!A:E,4,FALSE)</f>
        <v>0</v>
      </c>
      <c r="E220" s="79" t="b">
        <f>IF(Table1[[#This Row],[Column11]]&gt;20,TRUE,FALSE)</f>
        <v>0</v>
      </c>
      <c r="F220" s="79" t="s">
        <v>562</v>
      </c>
      <c r="G220" s="80" t="s">
        <v>17</v>
      </c>
      <c r="H220" s="81">
        <v>1</v>
      </c>
      <c r="I220" s="71">
        <f>VLOOKUP(B220,'HECVAT - Full'!A:E,3,FALSE)</f>
        <v>0</v>
      </c>
      <c r="J220" s="71">
        <f>IF(Table1[[#This Row],[Column7]]=Table1[[#This Row],[Column9]],1,0)</f>
        <v>0</v>
      </c>
      <c r="K220" s="71">
        <f>IF(Table1[[#This Row],[Column8]]=1,20,"")</f>
        <v>20</v>
      </c>
      <c r="L220" s="71">
        <f>IF(Table1[[#This Row],[Column8]]=1,J220*K220,"")</f>
        <v>0</v>
      </c>
      <c r="M220" s="72" t="str">
        <f>VLOOKUP($B220,'Standards Crosswalk'!$A:$H,3,FALSE)</f>
        <v>CSC 13</v>
      </c>
      <c r="N220" s="72" t="str">
        <f>VLOOKUP($B220,'Standards Crosswalk'!$A:$H,4,FALSE)</f>
        <v>§164.316(b)(2)(iii)</v>
      </c>
      <c r="O220" s="72" t="str">
        <f>VLOOKUP($B220,'Standards Crosswalk'!$A:$H,5,FALSE)</f>
        <v>18.1.1</v>
      </c>
      <c r="P220" s="72" t="str">
        <f>VLOOKUP($B220,'Standards Crosswalk'!$A:$H,6,FALSE)</f>
        <v>ID.GV-3</v>
      </c>
      <c r="Q220" s="72">
        <f>VLOOKUP($B220,'Standards Crosswalk'!$A:$H,7,FALSE)</f>
        <v>0</v>
      </c>
      <c r="R220" s="72">
        <f>VLOOKUP($B220,'Standards Crosswalk'!$A:$H,8,FALSE)</f>
        <v>0</v>
      </c>
      <c r="S220" s="72">
        <f>VLOOKUP($B220,'Standards Crosswalk'!$A:$I,9,FALSE)</f>
        <v>0</v>
      </c>
    </row>
    <row r="221" spans="1:19" ht="43.5" thickBot="1" x14ac:dyDescent="0.25">
      <c r="A221" s="71">
        <f t="shared" si="6"/>
        <v>219</v>
      </c>
      <c r="B221" s="77" t="s">
        <v>385</v>
      </c>
      <c r="C221" s="78" t="str">
        <f>VLOOKUP(B221,'HECVAT - Full'!A:E,2,FALSE)</f>
        <v>Has your organization designated HIPAA Privacy and Security officers as required by the Rules?</v>
      </c>
      <c r="D221" s="71">
        <f>VLOOKUP(B221,'HECVAT - Full'!A:E,4,FALSE)</f>
        <v>0</v>
      </c>
      <c r="E221" s="79" t="b">
        <f>IF(Table1[[#This Row],[Column11]]&gt;20,TRUE,FALSE)</f>
        <v>1</v>
      </c>
      <c r="F221" s="79" t="s">
        <v>562</v>
      </c>
      <c r="G221" s="80" t="s">
        <v>17</v>
      </c>
      <c r="H221" s="81">
        <v>1</v>
      </c>
      <c r="I221" s="71">
        <f>VLOOKUP(B221,'HECVAT - Full'!A:E,3,FALSE)</f>
        <v>0</v>
      </c>
      <c r="J221" s="71">
        <f>IF(Table1[[#This Row],[Column7]]=Table1[[#This Row],[Column9]],1,0)</f>
        <v>0</v>
      </c>
      <c r="K221" s="71">
        <f>IF(Table1[[#This Row],[Column8]]=1,25,"")</f>
        <v>25</v>
      </c>
      <c r="L221" s="71">
        <f>IF(Table1[[#This Row],[Column8]]=1,J221*K221,"")</f>
        <v>0</v>
      </c>
      <c r="M221" s="72" t="str">
        <f>VLOOKUP($B221,'Standards Crosswalk'!$A:$H,3,FALSE)</f>
        <v>CSC 17</v>
      </c>
      <c r="N221" s="72" t="str">
        <f>VLOOKUP($B221,'Standards Crosswalk'!$A:$H,4,FALSE)</f>
        <v>§164.308(a)(2)</v>
      </c>
      <c r="O221" s="72" t="str">
        <f>VLOOKUP($B221,'Standards Crosswalk'!$A:$H,5,FALSE)</f>
        <v>18.1.1</v>
      </c>
      <c r="P221" s="72" t="str">
        <f>VLOOKUP($B221,'Standards Crosswalk'!$A:$H,6,FALSE)</f>
        <v>ID.GV-3</v>
      </c>
      <c r="Q221" s="72">
        <f>VLOOKUP($B221,'Standards Crosswalk'!$A:$H,7,FALSE)</f>
        <v>0</v>
      </c>
      <c r="R221" s="72">
        <f>VLOOKUP($B221,'Standards Crosswalk'!$A:$H,8,FALSE)</f>
        <v>0</v>
      </c>
      <c r="S221" s="72">
        <f>VLOOKUP($B221,'Standards Crosswalk'!$A:$I,9,FALSE)</f>
        <v>0</v>
      </c>
    </row>
    <row r="222" spans="1:19" ht="72" thickBot="1" x14ac:dyDescent="0.25">
      <c r="A222" s="71">
        <f t="shared" si="6"/>
        <v>220</v>
      </c>
      <c r="B222" s="77" t="s">
        <v>386</v>
      </c>
      <c r="C222" s="78" t="str">
        <f>VLOOKUP(B222,'HECVAT - Full'!A:E,2,FALSE)</f>
        <v>Do you comply with the requirements of the Health Information Technology for Economic and Clinical Health Act (HITECH)?</v>
      </c>
      <c r="D222" s="71">
        <f>VLOOKUP(B222,'HECVAT - Full'!A:E,4,FALSE)</f>
        <v>0</v>
      </c>
      <c r="E222" s="79" t="b">
        <f>IF(Table1[[#This Row],[Column11]]&gt;20,TRUE,FALSE)</f>
        <v>1</v>
      </c>
      <c r="F222" s="79" t="s">
        <v>562</v>
      </c>
      <c r="G222" s="80" t="s">
        <v>17</v>
      </c>
      <c r="H222" s="81">
        <v>1</v>
      </c>
      <c r="I222" s="71">
        <f>VLOOKUP(B222,'HECVAT - Full'!A:E,3,FALSE)</f>
        <v>0</v>
      </c>
      <c r="J222" s="71">
        <f>IF(Table1[[#This Row],[Column7]]=Table1[[#This Row],[Column9]],1,0)</f>
        <v>0</v>
      </c>
      <c r="K222" s="71">
        <f>IF(Table1[[#This Row],[Column8]]=1,25,"")</f>
        <v>25</v>
      </c>
      <c r="L222" s="71">
        <f>IF(Table1[[#This Row],[Column8]]=1,J222*K222,"")</f>
        <v>0</v>
      </c>
      <c r="M222" s="72" t="str">
        <f>VLOOKUP($B222,'Standards Crosswalk'!$A:$H,3,FALSE)</f>
        <v>CSC 13</v>
      </c>
      <c r="N222" s="72">
        <f>VLOOKUP($B222,'Standards Crosswalk'!$A:$H,4,FALSE)</f>
        <v>0</v>
      </c>
      <c r="O222" s="72" t="str">
        <f>VLOOKUP($B222,'Standards Crosswalk'!$A:$H,5,FALSE)</f>
        <v>18.1.1</v>
      </c>
      <c r="P222" s="72" t="str">
        <f>VLOOKUP($B222,'Standards Crosswalk'!$A:$H,6,FALSE)</f>
        <v>ID.GV-3</v>
      </c>
      <c r="Q222" s="72">
        <f>VLOOKUP($B222,'Standards Crosswalk'!$A:$H,7,FALSE)</f>
        <v>0</v>
      </c>
      <c r="R222" s="72">
        <f>VLOOKUP($B222,'Standards Crosswalk'!$A:$H,8,FALSE)</f>
        <v>0</v>
      </c>
      <c r="S222" s="72">
        <f>VLOOKUP($B222,'Standards Crosswalk'!$A:$I,9,FALSE)</f>
        <v>0</v>
      </c>
    </row>
    <row r="223" spans="1:19" ht="57.75" thickBot="1" x14ac:dyDescent="0.25">
      <c r="A223" s="71">
        <f t="shared" si="6"/>
        <v>221</v>
      </c>
      <c r="B223" s="77" t="s">
        <v>387</v>
      </c>
      <c r="C223" s="78" t="str">
        <f>VLOOKUP(B223,'HECVAT - Full'!A:E,2,FALSE)</f>
        <v>Do you have an incident response process and reporting in place to investigate any potential incidents and report actual incidents?</v>
      </c>
      <c r="D223" s="71">
        <f>VLOOKUP(B223,'HECVAT - Full'!A:E,4,FALSE)</f>
        <v>0</v>
      </c>
      <c r="E223" s="79" t="b">
        <f>IF(Table1[[#This Row],[Column11]]&gt;20,TRUE,FALSE)</f>
        <v>0</v>
      </c>
      <c r="F223" s="79" t="s">
        <v>562</v>
      </c>
      <c r="G223" s="80" t="s">
        <v>17</v>
      </c>
      <c r="H223" s="81">
        <v>1</v>
      </c>
      <c r="I223" s="71">
        <f>VLOOKUP(B223,'HECVAT - Full'!A:E,3,FALSE)</f>
        <v>0</v>
      </c>
      <c r="J223" s="71">
        <f>IF(Table1[[#This Row],[Column7]]=Table1[[#This Row],[Column9]],1,0)</f>
        <v>0</v>
      </c>
      <c r="K223" s="71">
        <f>IF(Table1[[#This Row],[Column8]]=1,20,"")</f>
        <v>20</v>
      </c>
      <c r="L223" s="71">
        <f>IF(Table1[[#This Row],[Column8]]=1,J223*K223,"")</f>
        <v>0</v>
      </c>
      <c r="M223" s="72" t="str">
        <f>VLOOKUP($B223,'Standards Crosswalk'!$A:$H,3,FALSE)</f>
        <v>CSC 19</v>
      </c>
      <c r="N223" s="72" t="str">
        <f>VLOOKUP($B223,'Standards Crosswalk'!$A:$H,4,FALSE)</f>
        <v>§164.308(a)(6)(i)</v>
      </c>
      <c r="O223" s="72" t="str">
        <f>VLOOKUP($B223,'Standards Crosswalk'!$A:$H,5,FALSE)</f>
        <v>16.1.1</v>
      </c>
      <c r="P223" s="72" t="str">
        <f>VLOOKUP($B223,'Standards Crosswalk'!$A:$H,6,FALSE)</f>
        <v>ID.GV-3</v>
      </c>
      <c r="Q223" s="72" t="str">
        <f>VLOOKUP($B223,'Standards Crosswalk'!$A:$H,7,FALSE)</f>
        <v>3.6.1, 3.14.1</v>
      </c>
      <c r="R223" s="72" t="str">
        <f>VLOOKUP($B223,'Standards Crosswalk'!$A:$H,8,FALSE)</f>
        <v>IR-2, IR-4, IR-5, IR-7</v>
      </c>
      <c r="S223" s="72" t="str">
        <f>VLOOKUP($B223,'Standards Crosswalk'!$A:$I,9,FALSE)</f>
        <v>12.10, 10.10</v>
      </c>
    </row>
    <row r="224" spans="1:19" ht="43.5" thickBot="1" x14ac:dyDescent="0.25">
      <c r="A224" s="71">
        <f t="shared" si="6"/>
        <v>222</v>
      </c>
      <c r="B224" s="77" t="s">
        <v>388</v>
      </c>
      <c r="C224" s="78" t="str">
        <f>VLOOKUP(B224,'HECVAT - Full'!A:E,2,FALSE)</f>
        <v>Do you have a plan to comply with the Breach Notification requirements if there is a breach of data?</v>
      </c>
      <c r="D224" s="71">
        <f>VLOOKUP(B224,'HECVAT - Full'!A:E,4,FALSE)</f>
        <v>0</v>
      </c>
      <c r="E224" s="79" t="b">
        <f>IF(Table1[[#This Row],[Column11]]&gt;20,TRUE,FALSE)</f>
        <v>1</v>
      </c>
      <c r="F224" s="79" t="s">
        <v>562</v>
      </c>
      <c r="G224" s="80" t="s">
        <v>17</v>
      </c>
      <c r="H224" s="81">
        <v>1</v>
      </c>
      <c r="I224" s="71">
        <f>VLOOKUP(B224,'HECVAT - Full'!A:E,3,FALSE)</f>
        <v>0</v>
      </c>
      <c r="J224" s="71">
        <f>IF(Table1[[#This Row],[Column7]]=Table1[[#This Row],[Column9]],1,0)</f>
        <v>0</v>
      </c>
      <c r="K224" s="71">
        <f>IF(Table1[[#This Row],[Column8]]=1,25,"")</f>
        <v>25</v>
      </c>
      <c r="L224" s="71">
        <f>IF(Table1[[#This Row],[Column8]]=1,J224*K224,"")</f>
        <v>0</v>
      </c>
      <c r="M224" s="72" t="str">
        <f>VLOOKUP($B224,'Standards Crosswalk'!$A:$H,3,FALSE)</f>
        <v>CSC 19</v>
      </c>
      <c r="N224" s="72" t="str">
        <f>VLOOKUP($B224,'Standards Crosswalk'!$A:$H,4,FALSE)</f>
        <v>§164.308(a)(6)(ii)</v>
      </c>
      <c r="O224" s="72" t="str">
        <f>VLOOKUP($B224,'Standards Crosswalk'!$A:$H,5,FALSE)</f>
        <v>16.1.2, 16.1.5, 18.1.1</v>
      </c>
      <c r="P224" s="72" t="str">
        <f>VLOOKUP($B224,'Standards Crosswalk'!$A:$H,6,FALSE)</f>
        <v>ID.GV-3</v>
      </c>
      <c r="Q224" s="72" t="str">
        <f>VLOOKUP($B224,'Standards Crosswalk'!$A:$H,7,FALSE)</f>
        <v>3.6.2, 3.12.2</v>
      </c>
      <c r="R224" s="72" t="str">
        <f>VLOOKUP($B224,'Standards Crosswalk'!$A:$H,8,FALSE)</f>
        <v>IR-6</v>
      </c>
      <c r="S224" s="72">
        <f>VLOOKUP($B224,'Standards Crosswalk'!$A:$I,9,FALSE)</f>
        <v>12.8</v>
      </c>
    </row>
    <row r="225" spans="1:19" ht="29.25" thickBot="1" x14ac:dyDescent="0.25">
      <c r="A225" s="71">
        <f t="shared" si="6"/>
        <v>223</v>
      </c>
      <c r="B225" s="77" t="s">
        <v>389</v>
      </c>
      <c r="C225" s="78" t="str">
        <f>VLOOKUP(B225,'HECVAT - Full'!A:E,2,FALSE)</f>
        <v>Have you conducted a risk analysis as required under the Security Rule?</v>
      </c>
      <c r="D225" s="71">
        <f>VLOOKUP(B225,'HECVAT - Full'!A:E,4,FALSE)</f>
        <v>0</v>
      </c>
      <c r="E225" s="79" t="b">
        <f>IF(Table1[[#This Row],[Column11]]&gt;20,TRUE,FALSE)</f>
        <v>1</v>
      </c>
      <c r="F225" s="79" t="s">
        <v>562</v>
      </c>
      <c r="G225" s="80" t="s">
        <v>17</v>
      </c>
      <c r="H225" s="81">
        <v>1</v>
      </c>
      <c r="I225" s="71">
        <f>VLOOKUP(B225,'HECVAT - Full'!A:E,3,FALSE)</f>
        <v>0</v>
      </c>
      <c r="J225" s="71">
        <f>IF(Table1[[#This Row],[Column7]]=Table1[[#This Row],[Column9]],1,0)</f>
        <v>0</v>
      </c>
      <c r="K225" s="71">
        <f>IF(Table1[[#This Row],[Column8]]=1,25,"")</f>
        <v>25</v>
      </c>
      <c r="L225" s="71">
        <f>IF(Table1[[#This Row],[Column8]]=1,J225*K225,"")</f>
        <v>0</v>
      </c>
      <c r="M225" s="72" t="str">
        <f>VLOOKUP($B225,'Standards Crosswalk'!$A:$H,3,FALSE)</f>
        <v>CSC 13</v>
      </c>
      <c r="N225" s="72" t="str">
        <f>VLOOKUP($B225,'Standards Crosswalk'!$A:$H,4,FALSE)</f>
        <v>§164.308(a)(1)(i)</v>
      </c>
      <c r="O225" s="72">
        <f>VLOOKUP($B225,'Standards Crosswalk'!$A:$H,5,FALSE)</f>
        <v>0</v>
      </c>
      <c r="P225" s="72" t="str">
        <f>VLOOKUP($B225,'Standards Crosswalk'!$A:$H,6,FALSE)</f>
        <v>ID.GV-3</v>
      </c>
      <c r="Q225" s="72">
        <f>VLOOKUP($B225,'Standards Crosswalk'!$A:$H,7,FALSE)</f>
        <v>0</v>
      </c>
      <c r="R225" s="72">
        <f>VLOOKUP($B225,'Standards Crosswalk'!$A:$H,8,FALSE)</f>
        <v>0</v>
      </c>
      <c r="S225" s="72">
        <f>VLOOKUP($B225,'Standards Crosswalk'!$A:$I,9,FALSE)</f>
        <v>12.2</v>
      </c>
    </row>
    <row r="226" spans="1:19" ht="57.75" thickBot="1" x14ac:dyDescent="0.25">
      <c r="A226" s="71">
        <f t="shared" si="6"/>
        <v>224</v>
      </c>
      <c r="B226" s="77" t="s">
        <v>390</v>
      </c>
      <c r="C226" s="78" t="str">
        <f>VLOOKUP(B226,'HECVAT - Full'!A:E,2,FALSE)</f>
        <v>Have you identified areas of risks?</v>
      </c>
      <c r="D226" s="71">
        <f>VLOOKUP(B226,'HECVAT - Full'!A:E,4,FALSE)</f>
        <v>0</v>
      </c>
      <c r="E226" s="79" t="b">
        <f>IF(Table1[[#This Row],[Column11]]&gt;20,TRUE,FALSE)</f>
        <v>0</v>
      </c>
      <c r="F226" s="79" t="s">
        <v>562</v>
      </c>
      <c r="G226" s="80" t="s">
        <v>17</v>
      </c>
      <c r="H226" s="81">
        <v>1</v>
      </c>
      <c r="I226" s="71">
        <f>VLOOKUP(B226,'HECVAT - Full'!A:E,3,FALSE)</f>
        <v>0</v>
      </c>
      <c r="J226" s="71">
        <f>IF(Table1[[#This Row],[Column7]]=Table1[[#This Row],[Column9]],1,0)</f>
        <v>0</v>
      </c>
      <c r="K226" s="71">
        <f>IF(Table1[[#This Row],[Column8]]=1,20,"")</f>
        <v>20</v>
      </c>
      <c r="L226" s="71">
        <f>IF(Table1[[#This Row],[Column8]]=1,J226*K226,"")</f>
        <v>0</v>
      </c>
      <c r="M226" s="72" t="str">
        <f>VLOOKUP($B226,'Standards Crosswalk'!$A:$H,3,FALSE)</f>
        <v>CSC 4</v>
      </c>
      <c r="N226" s="72" t="str">
        <f>VLOOKUP($B226,'Standards Crosswalk'!$A:$H,4,FALSE)</f>
        <v>§164.308(a)(1)(i), §164.308(a)(1)(ii)(A)</v>
      </c>
      <c r="O226" s="72">
        <f>VLOOKUP($B226,'Standards Crosswalk'!$A:$H,5,FALSE)</f>
        <v>0</v>
      </c>
      <c r="P226" s="72" t="str">
        <f>VLOOKUP($B226,'Standards Crosswalk'!$A:$H,6,FALSE)</f>
        <v>ID.GV-3</v>
      </c>
      <c r="Q226" s="72">
        <f>VLOOKUP($B226,'Standards Crosswalk'!$A:$H,7,FALSE)</f>
        <v>0</v>
      </c>
      <c r="R226" s="72">
        <f>VLOOKUP($B226,'Standards Crosswalk'!$A:$H,8,FALSE)</f>
        <v>0</v>
      </c>
      <c r="S226" s="72">
        <f>VLOOKUP($B226,'Standards Crosswalk'!$A:$I,9,FALSE)</f>
        <v>12.2</v>
      </c>
    </row>
    <row r="227" spans="1:19" ht="29.25" thickBot="1" x14ac:dyDescent="0.25">
      <c r="A227" s="71">
        <f t="shared" si="6"/>
        <v>225</v>
      </c>
      <c r="B227" s="77" t="s">
        <v>391</v>
      </c>
      <c r="C227" s="78" t="str">
        <f>VLOOKUP(B227,'HECVAT - Full'!A:E,2,FALSE)</f>
        <v>Have you taken actions to mitigate the identified risks?</v>
      </c>
      <c r="D227" s="71">
        <f>VLOOKUP(B227,'HECVAT - Full'!A:E,4,FALSE)</f>
        <v>0</v>
      </c>
      <c r="E227" s="79" t="b">
        <f>IF(Table1[[#This Row],[Column11]]&gt;20,TRUE,FALSE)</f>
        <v>0</v>
      </c>
      <c r="F227" s="79" t="s">
        <v>562</v>
      </c>
      <c r="G227" s="80" t="s">
        <v>17</v>
      </c>
      <c r="H227" s="81">
        <v>1</v>
      </c>
      <c r="I227" s="71">
        <f>VLOOKUP(B227,'HECVAT - Full'!A:E,3,FALSE)</f>
        <v>0</v>
      </c>
      <c r="J227" s="71">
        <f>IF(Table1[[#This Row],[Column7]]=Table1[[#This Row],[Column9]],1,0)</f>
        <v>0</v>
      </c>
      <c r="K227" s="71">
        <f>IF(Table1[[#This Row],[Column8]]=1,20,"")</f>
        <v>20</v>
      </c>
      <c r="L227" s="71">
        <f>IF(Table1[[#This Row],[Column8]]=1,J227*K227,"")</f>
        <v>0</v>
      </c>
      <c r="M227" s="72" t="str">
        <f>VLOOKUP($B227,'Standards Crosswalk'!$A:$H,3,FALSE)</f>
        <v>CSC 4</v>
      </c>
      <c r="N227" s="72" t="str">
        <f>VLOOKUP($B227,'Standards Crosswalk'!$A:$H,4,FALSE)</f>
        <v>§164.308(a)(1)(ii)(B)</v>
      </c>
      <c r="O227" s="72">
        <f>VLOOKUP($B227,'Standards Crosswalk'!$A:$H,5,FALSE)</f>
        <v>0</v>
      </c>
      <c r="P227" s="72" t="str">
        <f>VLOOKUP($B227,'Standards Crosswalk'!$A:$H,6,FALSE)</f>
        <v>ID.GV-3</v>
      </c>
      <c r="Q227" s="72">
        <f>VLOOKUP($B227,'Standards Crosswalk'!$A:$H,7,FALSE)</f>
        <v>0</v>
      </c>
      <c r="R227" s="72">
        <f>VLOOKUP($B227,'Standards Crosswalk'!$A:$H,8,FALSE)</f>
        <v>0</v>
      </c>
      <c r="S227" s="72">
        <f>VLOOKUP($B227,'Standards Crosswalk'!$A:$I,9,FALSE)</f>
        <v>12.2</v>
      </c>
    </row>
    <row r="228" spans="1:19" ht="57.75" thickBot="1" x14ac:dyDescent="0.25">
      <c r="A228" s="71">
        <f t="shared" si="6"/>
        <v>226</v>
      </c>
      <c r="B228" s="77" t="s">
        <v>392</v>
      </c>
      <c r="C228" s="78" t="str">
        <f>VLOOKUP(B228,'HECVAT - Full'!A:E,2,FALSE)</f>
        <v>Does your application require user and system administrator password changes at a frequency no greater than 90 days?</v>
      </c>
      <c r="D228" s="71">
        <f>VLOOKUP(B228,'HECVAT - Full'!A:E,4,FALSE)</f>
        <v>0</v>
      </c>
      <c r="E228" s="79" t="b">
        <f>IF(Table1[[#This Row],[Column11]]&gt;20,TRUE,FALSE)</f>
        <v>0</v>
      </c>
      <c r="F228" s="79" t="s">
        <v>562</v>
      </c>
      <c r="G228" s="80" t="s">
        <v>17</v>
      </c>
      <c r="H228" s="81">
        <v>1</v>
      </c>
      <c r="I228" s="71">
        <f>VLOOKUP(B228,'HECVAT - Full'!A:E,3,FALSE)</f>
        <v>0</v>
      </c>
      <c r="J228" s="71">
        <f>IF(Table1[[#This Row],[Column7]]=Table1[[#This Row],[Column9]],1,0)</f>
        <v>0</v>
      </c>
      <c r="K228" s="71">
        <f>IF(Table1[[#This Row],[Column8]]=1,20,"")</f>
        <v>20</v>
      </c>
      <c r="L228" s="71">
        <f>IF(Table1[[#This Row],[Column8]]=1,J228*K228,"")</f>
        <v>0</v>
      </c>
      <c r="M228" s="72" t="str">
        <f>VLOOKUP($B228,'Standards Crosswalk'!$A:$H,3,FALSE)</f>
        <v>CSC 16</v>
      </c>
      <c r="N228" s="72" t="str">
        <f>VLOOKUP($B228,'Standards Crosswalk'!$A:$H,4,FALSE)</f>
        <v>§164.308(a)(5)(ii)(D)</v>
      </c>
      <c r="O228" s="72" t="str">
        <f>VLOOKUP($B228,'Standards Crosswalk'!$A:$H,5,FALSE)</f>
        <v>9.4.3</v>
      </c>
      <c r="P228" s="72" t="str">
        <f>VLOOKUP($B228,'Standards Crosswalk'!$A:$H,6,FALSE)</f>
        <v>ID.GV-3</v>
      </c>
      <c r="Q228" s="72" t="str">
        <f>VLOOKUP($B228,'Standards Crosswalk'!$A:$H,7,FALSE)</f>
        <v>3.5.6</v>
      </c>
      <c r="R228" s="72" t="str">
        <f>VLOOKUP($B228,'Standards Crosswalk'!$A:$H,8,FALSE)</f>
        <v>IA-4</v>
      </c>
      <c r="S228" s="72">
        <f>VLOOKUP($B228,'Standards Crosswalk'!$A:$I,9,FALSE)</f>
        <v>0</v>
      </c>
    </row>
    <row r="229" spans="1:19" ht="57.75" thickBot="1" x14ac:dyDescent="0.25">
      <c r="A229" s="71">
        <f t="shared" si="6"/>
        <v>227</v>
      </c>
      <c r="B229" s="77" t="s">
        <v>393</v>
      </c>
      <c r="C229" s="78" t="str">
        <f>VLOOKUP(B229,'HECVAT - Full'!A:E,2,FALSE)</f>
        <v>Does your application require a user to set their own password after an administrator reset or on first use of the account?</v>
      </c>
      <c r="D229" s="71">
        <f>VLOOKUP(B229,'HECVAT - Full'!A:E,4,FALSE)</f>
        <v>0</v>
      </c>
      <c r="E229" s="79" t="b">
        <f>IF(Table1[[#This Row],[Column11]]&gt;20,TRUE,FALSE)</f>
        <v>0</v>
      </c>
      <c r="F229" s="79" t="s">
        <v>562</v>
      </c>
      <c r="G229" s="80" t="s">
        <v>17</v>
      </c>
      <c r="H229" s="81">
        <v>1</v>
      </c>
      <c r="I229" s="71">
        <f>VLOOKUP(B229,'HECVAT - Full'!A:E,3,FALSE)</f>
        <v>0</v>
      </c>
      <c r="J229" s="71">
        <f>IF(Table1[[#This Row],[Column7]]=Table1[[#This Row],[Column9]],1,0)</f>
        <v>0</v>
      </c>
      <c r="K229" s="71">
        <f>IF(Table1[[#This Row],[Column8]]=1,20,"")</f>
        <v>20</v>
      </c>
      <c r="L229" s="71">
        <f>IF(Table1[[#This Row],[Column8]]=1,J229*K229,"")</f>
        <v>0</v>
      </c>
      <c r="M229" s="72" t="str">
        <f>VLOOKUP($B229,'Standards Crosswalk'!$A:$H,3,FALSE)</f>
        <v>CSC 16</v>
      </c>
      <c r="N229" s="72" t="str">
        <f>VLOOKUP($B229,'Standards Crosswalk'!$A:$H,4,FALSE)</f>
        <v>§164.308(a)(5)(ii)(D)</v>
      </c>
      <c r="O229" s="72" t="str">
        <f>VLOOKUP($B229,'Standards Crosswalk'!$A:$H,5,FALSE)</f>
        <v>9.4.3</v>
      </c>
      <c r="P229" s="72" t="str">
        <f>VLOOKUP($B229,'Standards Crosswalk'!$A:$H,6,FALSE)</f>
        <v>ID.GV-3</v>
      </c>
      <c r="Q229" s="72" t="str">
        <f>VLOOKUP($B229,'Standards Crosswalk'!$A:$H,7,FALSE)</f>
        <v>3.5.9</v>
      </c>
      <c r="R229" s="72" t="str">
        <f>VLOOKUP($B229,'Standards Crosswalk'!$A:$H,8,FALSE)</f>
        <v>IA-5(1)</v>
      </c>
      <c r="S229" s="72">
        <f>VLOOKUP($B229,'Standards Crosswalk'!$A:$I,9,FALSE)</f>
        <v>0</v>
      </c>
    </row>
    <row r="230" spans="1:19" ht="86.25" thickBot="1" x14ac:dyDescent="0.25">
      <c r="A230" s="71">
        <f t="shared" si="6"/>
        <v>228</v>
      </c>
      <c r="B230" s="77" t="s">
        <v>394</v>
      </c>
      <c r="C230" s="78" t="str">
        <f>VLOOKUP(B230,'HECVAT - Full'!A:E,2,FALSE)</f>
        <v xml:space="preserve">Does your application lock-out an account after a number of failed login attempts? </v>
      </c>
      <c r="D230" s="71">
        <f>VLOOKUP(B230,'HECVAT - Full'!A:E,4,FALSE)</f>
        <v>0</v>
      </c>
      <c r="E230" s="79" t="b">
        <f>IF(Table1[[#This Row],[Column11]]&gt;20,TRUE,FALSE)</f>
        <v>0</v>
      </c>
      <c r="F230" s="79" t="s">
        <v>562</v>
      </c>
      <c r="G230" s="80" t="s">
        <v>17</v>
      </c>
      <c r="H230" s="81">
        <v>1</v>
      </c>
      <c r="I230" s="71">
        <f>VLOOKUP(B230,'HECVAT - Full'!A:E,3,FALSE)</f>
        <v>0</v>
      </c>
      <c r="J230" s="71">
        <f>IF(Table1[[#This Row],[Column7]]=Table1[[#This Row],[Column9]],1,0)</f>
        <v>0</v>
      </c>
      <c r="K230" s="71">
        <f>IF(Table1[[#This Row],[Column8]]=1,20,"")</f>
        <v>20</v>
      </c>
      <c r="L230" s="71">
        <f>IF(Table1[[#This Row],[Column8]]=1,J230*K230,"")</f>
        <v>0</v>
      </c>
      <c r="M230" s="72" t="str">
        <f>VLOOKUP($B230,'Standards Crosswalk'!$A:$H,3,FALSE)</f>
        <v>CSC 16</v>
      </c>
      <c r="N230" s="72" t="str">
        <f>VLOOKUP($B230,'Standards Crosswalk'!$A:$H,4,FALSE)</f>
        <v>§164.308(a)(4), §164.312(a)(2)(ii),  
§164.312(a)(2)(iii)</v>
      </c>
      <c r="O230" s="72" t="str">
        <f>VLOOKUP($B230,'Standards Crosswalk'!$A:$H,5,FALSE)</f>
        <v>9.4.3</v>
      </c>
      <c r="P230" s="72" t="str">
        <f>VLOOKUP($B230,'Standards Crosswalk'!$A:$H,6,FALSE)</f>
        <v>ID.GV-3</v>
      </c>
      <c r="Q230" s="72" t="str">
        <f>VLOOKUP($B230,'Standards Crosswalk'!$A:$H,7,FALSE)</f>
        <v>3.1.8</v>
      </c>
      <c r="R230" s="72" t="str">
        <f>VLOOKUP($B230,'Standards Crosswalk'!$A:$H,8,FALSE)</f>
        <v>AC-7</v>
      </c>
      <c r="S230" s="72">
        <f>VLOOKUP($B230,'Standards Crosswalk'!$A:$I,9,FALSE)</f>
        <v>0</v>
      </c>
    </row>
    <row r="231" spans="1:19" ht="86.25" thickBot="1" x14ac:dyDescent="0.25">
      <c r="A231" s="71">
        <f t="shared" si="6"/>
        <v>229</v>
      </c>
      <c r="B231" s="77" t="s">
        <v>395</v>
      </c>
      <c r="C231" s="78" t="str">
        <f>VLOOKUP(B231,'HECVAT - Full'!A:E,2,FALSE)</f>
        <v>Does your application automatically lock or log-out an account after a period of inactivity?</v>
      </c>
      <c r="D231" s="71">
        <f>VLOOKUP(B231,'HECVAT - Full'!A:E,4,FALSE)</f>
        <v>0</v>
      </c>
      <c r="E231" s="79" t="b">
        <f>IF(Table1[[#This Row],[Column11]]&gt;20,TRUE,FALSE)</f>
        <v>0</v>
      </c>
      <c r="F231" s="79" t="s">
        <v>562</v>
      </c>
      <c r="G231" s="80" t="s">
        <v>17</v>
      </c>
      <c r="H231" s="81">
        <v>1</v>
      </c>
      <c r="I231" s="71">
        <f>VLOOKUP(B231,'HECVAT - Full'!A:E,3,FALSE)</f>
        <v>0</v>
      </c>
      <c r="J231" s="71">
        <f>IF(Table1[[#This Row],[Column7]]=Table1[[#This Row],[Column9]],1,0)</f>
        <v>0</v>
      </c>
      <c r="K231" s="71">
        <f>IF(Table1[[#This Row],[Column8]]=1,20,"")</f>
        <v>20</v>
      </c>
      <c r="L231" s="71">
        <f>IF(Table1[[#This Row],[Column8]]=1,J231*K231,"")</f>
        <v>0</v>
      </c>
      <c r="M231" s="72" t="str">
        <f>VLOOKUP($B231,'Standards Crosswalk'!$A:$H,3,FALSE)</f>
        <v>CSC 16</v>
      </c>
      <c r="N231" s="72" t="str">
        <f>VLOOKUP($B231,'Standards Crosswalk'!$A:$H,4,FALSE)</f>
        <v>§164.308(a)(4),
§164.312(a)(2)(ii), §164.312(a)(2)(iii)</v>
      </c>
      <c r="O231" s="72" t="str">
        <f>VLOOKUP($B231,'Standards Crosswalk'!$A:$H,5,FALSE)</f>
        <v>9.4.3</v>
      </c>
      <c r="P231" s="72" t="str">
        <f>VLOOKUP($B231,'Standards Crosswalk'!$A:$H,6,FALSE)</f>
        <v>ID.GV-3</v>
      </c>
      <c r="Q231" s="72" t="str">
        <f>VLOOKUP($B231,'Standards Crosswalk'!$A:$H,7,FALSE)</f>
        <v>3.1.10, 3.1.11</v>
      </c>
      <c r="R231" s="72" t="str">
        <f>VLOOKUP($B231,'Standards Crosswalk'!$A:$H,8,FALSE)</f>
        <v>AC-11, AC-11(1), AC-12</v>
      </c>
      <c r="S231" s="72" t="str">
        <f>VLOOKUP($B231,'Standards Crosswalk'!$A:$I,9,FALSE)</f>
        <v>8.x</v>
      </c>
    </row>
    <row r="232" spans="1:19" ht="57.75" thickBot="1" x14ac:dyDescent="0.25">
      <c r="A232" s="71">
        <f t="shared" si="6"/>
        <v>230</v>
      </c>
      <c r="B232" s="77" t="s">
        <v>396</v>
      </c>
      <c r="C232" s="78" t="str">
        <f>VLOOKUP(B232,'HECVAT - Full'!A:E,2,FALSE)</f>
        <v>Are passwords visible in plain text, whether when stored or entered, including service level accounts (i.e. database accounts, etc.)?</v>
      </c>
      <c r="D232" s="71">
        <f>VLOOKUP(B232,'HECVAT - Full'!A:E,4,FALSE)</f>
        <v>0</v>
      </c>
      <c r="E232" s="79" t="b">
        <f>IF(Table1[[#This Row],[Column11]]&gt;20,TRUE,FALSE)</f>
        <v>1</v>
      </c>
      <c r="F232" s="79" t="s">
        <v>562</v>
      </c>
      <c r="G232" s="80" t="s">
        <v>20</v>
      </c>
      <c r="H232" s="81">
        <v>1</v>
      </c>
      <c r="I232" s="71">
        <f>VLOOKUP(B232,'HECVAT - Full'!A:E,3,FALSE)</f>
        <v>0</v>
      </c>
      <c r="J232" s="71">
        <f>IF(Table1[[#This Row],[Column7]]=Table1[[#This Row],[Column9]],1,0)</f>
        <v>0</v>
      </c>
      <c r="K232" s="71">
        <f>IF(Table1[[#This Row],[Column8]]=1,25,"")</f>
        <v>25</v>
      </c>
      <c r="L232" s="71">
        <f>IF(Table1[[#This Row],[Column8]]=1,J232*K232,"")</f>
        <v>0</v>
      </c>
      <c r="M232" s="72" t="str">
        <f>VLOOKUP($B232,'Standards Crosswalk'!$A:$H,3,FALSE)</f>
        <v>CSC 16</v>
      </c>
      <c r="N232" s="72" t="str">
        <f>VLOOKUP($B232,'Standards Crosswalk'!$A:$H,4,FALSE)</f>
        <v>§164.308(a)(4), 
§164.312(d)</v>
      </c>
      <c r="O232" s="72" t="str">
        <f>VLOOKUP($B232,'Standards Crosswalk'!$A:$H,5,FALSE)</f>
        <v>9.4.3</v>
      </c>
      <c r="P232" s="72" t="str">
        <f>VLOOKUP($B232,'Standards Crosswalk'!$A:$H,6,FALSE)</f>
        <v>ID.GV-3</v>
      </c>
      <c r="Q232" s="72" t="str">
        <f>VLOOKUP($B232,'Standards Crosswalk'!$A:$H,7,FALSE)</f>
        <v>3.5.10</v>
      </c>
      <c r="R232" s="72" t="str">
        <f>VLOOKUP($B232,'Standards Crosswalk'!$A:$H,8,FALSE)</f>
        <v>IA-5(1)</v>
      </c>
      <c r="S232" s="72" t="str">
        <f>VLOOKUP($B232,'Standards Crosswalk'!$A:$I,9,FALSE)</f>
        <v>8.x</v>
      </c>
    </row>
    <row r="233" spans="1:19" ht="57.75" thickBot="1" x14ac:dyDescent="0.25">
      <c r="A233" s="71">
        <f t="shared" si="6"/>
        <v>231</v>
      </c>
      <c r="B233" s="77" t="s">
        <v>397</v>
      </c>
      <c r="C233" s="78" t="str">
        <f>VLOOKUP(B233,'HECVAT - Full'!A:E,2,FALSE)</f>
        <v>If the application is institution-hosted, can all service level and administrative account passwords be changed by the institution?</v>
      </c>
      <c r="D233" s="71">
        <f>VLOOKUP(B233,'HECVAT - Full'!A:E,4,FALSE)</f>
        <v>0</v>
      </c>
      <c r="E233" s="79" t="b">
        <f>IF(Table1[[#This Row],[Column11]]&gt;20,TRUE,FALSE)</f>
        <v>0</v>
      </c>
      <c r="F233" s="79" t="s">
        <v>562</v>
      </c>
      <c r="G233" s="80" t="s">
        <v>17</v>
      </c>
      <c r="H233" s="81">
        <v>1</v>
      </c>
      <c r="I233" s="71">
        <f>VLOOKUP(B233,'HECVAT - Full'!A:E,3,FALSE)</f>
        <v>0</v>
      </c>
      <c r="J233" s="71">
        <f>IF(Table1[[#This Row],[Column7]]=Table1[[#This Row],[Column9]],1,0)</f>
        <v>0</v>
      </c>
      <c r="K233" s="71">
        <f>IF(Table1[[#This Row],[Column8]]=1,20,"")</f>
        <v>20</v>
      </c>
      <c r="L233" s="71">
        <f>IF(Table1[[#This Row],[Column8]]=1,J233*K233,"")</f>
        <v>0</v>
      </c>
      <c r="M233" s="72" t="str">
        <f>VLOOKUP($B233,'Standards Crosswalk'!$A:$H,3,FALSE)</f>
        <v>CSC 16</v>
      </c>
      <c r="N233" s="72" t="str">
        <f>VLOOKUP($B233,'Standards Crosswalk'!$A:$H,4,FALSE)</f>
        <v>§164.308(a)(4), 
§164.312(d)</v>
      </c>
      <c r="O233" s="72">
        <f>VLOOKUP($B233,'Standards Crosswalk'!$A:$H,5,FALSE)</f>
        <v>0</v>
      </c>
      <c r="P233" s="72" t="str">
        <f>VLOOKUP($B233,'Standards Crosswalk'!$A:$H,6,FALSE)</f>
        <v>ID.GV-3</v>
      </c>
      <c r="Q233" s="72">
        <f>VLOOKUP($B233,'Standards Crosswalk'!$A:$H,7,FALSE)</f>
        <v>0</v>
      </c>
      <c r="R233" s="72">
        <f>VLOOKUP($B233,'Standards Crosswalk'!$A:$H,8,FALSE)</f>
        <v>0</v>
      </c>
      <c r="S233" s="72" t="str">
        <f>VLOOKUP($B233,'Standards Crosswalk'!$A:$I,9,FALSE)</f>
        <v>8.x</v>
      </c>
    </row>
    <row r="234" spans="1:19" ht="100.5" thickBot="1" x14ac:dyDescent="0.25">
      <c r="A234" s="71">
        <f t="shared" si="6"/>
        <v>232</v>
      </c>
      <c r="B234" s="77" t="s">
        <v>398</v>
      </c>
      <c r="C234" s="78" t="str">
        <f>VLOOKUP(B234,'HECVAT - Full'!A:E,2,FALSE)</f>
        <v>Does your application provide the ability to define user access levels?</v>
      </c>
      <c r="D234" s="71">
        <f>VLOOKUP(B234,'HECVAT - Full'!A:E,4,FALSE)</f>
        <v>0</v>
      </c>
      <c r="E234" s="79" t="b">
        <f>IF(Table1[[#This Row],[Column11]]&gt;20,TRUE,FALSE)</f>
        <v>0</v>
      </c>
      <c r="F234" s="79" t="s">
        <v>562</v>
      </c>
      <c r="G234" s="80" t="s">
        <v>17</v>
      </c>
      <c r="H234" s="81">
        <v>1</v>
      </c>
      <c r="I234" s="71">
        <f>VLOOKUP(B234,'HECVAT - Full'!A:E,3,FALSE)</f>
        <v>0</v>
      </c>
      <c r="J234" s="71">
        <f>IF(Table1[[#This Row],[Column7]]=Table1[[#This Row],[Column9]],1,0)</f>
        <v>0</v>
      </c>
      <c r="K234" s="71">
        <f>IF(Table1[[#This Row],[Column8]]=1,20,"")</f>
        <v>20</v>
      </c>
      <c r="L234" s="71">
        <f>IF(Table1[[#This Row],[Column8]]=1,J234*K234,"")</f>
        <v>0</v>
      </c>
      <c r="M234" s="72" t="str">
        <f>VLOOKUP($B234,'Standards Crosswalk'!$A:$H,3,FALSE)</f>
        <v>CSC 16</v>
      </c>
      <c r="N234" s="72" t="str">
        <f>VLOOKUP($B234,'Standards Crosswalk'!$A:$H,4,FALSE)</f>
        <v>§164.308(a)(4), 
§164.312(a)(1), §164.312(a)(2)(i), 
§164.312(d)</v>
      </c>
      <c r="O234" s="72">
        <f>VLOOKUP($B234,'Standards Crosswalk'!$A:$H,5,FALSE)</f>
        <v>0</v>
      </c>
      <c r="P234" s="72" t="str">
        <f>VLOOKUP($B234,'Standards Crosswalk'!$A:$H,6,FALSE)</f>
        <v>ID.GV-3</v>
      </c>
      <c r="Q234" s="72" t="str">
        <f>VLOOKUP($B234,'Standards Crosswalk'!$A:$H,7,FALSE)</f>
        <v>3.1.2</v>
      </c>
      <c r="R234" s="72">
        <f>VLOOKUP($B234,'Standards Crosswalk'!$A:$H,8,FALSE)</f>
        <v>0</v>
      </c>
      <c r="S234" s="72" t="str">
        <f>VLOOKUP($B234,'Standards Crosswalk'!$A:$I,9,FALSE)</f>
        <v>8.x</v>
      </c>
    </row>
    <row r="235" spans="1:19" ht="100.5" thickBot="1" x14ac:dyDescent="0.25">
      <c r="A235" s="71">
        <f t="shared" si="6"/>
        <v>233</v>
      </c>
      <c r="B235" s="77" t="s">
        <v>399</v>
      </c>
      <c r="C235" s="78" t="str">
        <f>VLOOKUP(B235,'HECVAT - Full'!A:E,2,FALSE)</f>
        <v>Does your application support varying levels of access to administrative tasks defined individually per user?</v>
      </c>
      <c r="D235" s="71">
        <f>VLOOKUP(B235,'HECVAT - Full'!A:E,4,FALSE)</f>
        <v>0</v>
      </c>
      <c r="E235" s="79" t="b">
        <f>IF(Table1[[#This Row],[Column11]]&gt;20,TRUE,FALSE)</f>
        <v>0</v>
      </c>
      <c r="F235" s="79" t="s">
        <v>562</v>
      </c>
      <c r="G235" s="80" t="s">
        <v>17</v>
      </c>
      <c r="H235" s="81">
        <v>1</v>
      </c>
      <c r="I235" s="71">
        <f>VLOOKUP(B235,'HECVAT - Full'!A:E,3,FALSE)</f>
        <v>0</v>
      </c>
      <c r="J235" s="71">
        <f>IF(Table1[[#This Row],[Column7]]=Table1[[#This Row],[Column9]],1,0)</f>
        <v>0</v>
      </c>
      <c r="K235" s="71">
        <f>IF(Table1[[#This Row],[Column8]]=1,20,"")</f>
        <v>20</v>
      </c>
      <c r="L235" s="71">
        <f>IF(Table1[[#This Row],[Column8]]=1,J235*K235,"")</f>
        <v>0</v>
      </c>
      <c r="M235" s="72" t="str">
        <f>VLOOKUP($B235,'Standards Crosswalk'!$A:$H,3,FALSE)</f>
        <v>CSC 16, 5</v>
      </c>
      <c r="N235" s="72" t="str">
        <f>VLOOKUP($B235,'Standards Crosswalk'!$A:$H,4,FALSE)</f>
        <v>§164.308(a)(4),
§164.312(a)(1), §164.312(a)(2)(i), 
§164.312(d)</v>
      </c>
      <c r="O235" s="72" t="str">
        <f>VLOOKUP($B235,'Standards Crosswalk'!$A:$H,5,FALSE)</f>
        <v>9.1.1</v>
      </c>
      <c r="P235" s="72" t="str">
        <f>VLOOKUP($B235,'Standards Crosswalk'!$A:$H,6,FALSE)</f>
        <v>ID.GV-3</v>
      </c>
      <c r="Q235" s="72" t="str">
        <f>VLOOKUP($B235,'Standards Crosswalk'!$A:$H,7,FALSE)</f>
        <v>3.1.2, 3.1.5</v>
      </c>
      <c r="R235" s="72">
        <f>VLOOKUP($B235,'Standards Crosswalk'!$A:$H,8,FALSE)</f>
        <v>0</v>
      </c>
      <c r="S235" s="72" t="str">
        <f>VLOOKUP($B235,'Standards Crosswalk'!$A:$I,9,FALSE)</f>
        <v>8.x</v>
      </c>
    </row>
    <row r="236" spans="1:19" ht="100.5" thickBot="1" x14ac:dyDescent="0.25">
      <c r="A236" s="71">
        <f t="shared" si="6"/>
        <v>234</v>
      </c>
      <c r="B236" s="77" t="s">
        <v>400</v>
      </c>
      <c r="C236" s="78" t="str">
        <f>VLOOKUP(B236,'HECVAT - Full'!A:E,2,FALSE)</f>
        <v>Does your application support varying levels of access to records based on user ID?</v>
      </c>
      <c r="D236" s="71">
        <f>VLOOKUP(B236,'HECVAT - Full'!A:E,4,FALSE)</f>
        <v>0</v>
      </c>
      <c r="E236" s="79" t="b">
        <f>IF(Table1[[#This Row],[Column11]]&gt;20,TRUE,FALSE)</f>
        <v>0</v>
      </c>
      <c r="F236" s="79" t="s">
        <v>562</v>
      </c>
      <c r="G236" s="80" t="s">
        <v>17</v>
      </c>
      <c r="H236" s="81">
        <v>1</v>
      </c>
      <c r="I236" s="71">
        <f>VLOOKUP(B236,'HECVAT - Full'!A:E,3,FALSE)</f>
        <v>0</v>
      </c>
      <c r="J236" s="71">
        <f>IF(Table1[[#This Row],[Column7]]=Table1[[#This Row],[Column9]],1,0)</f>
        <v>0</v>
      </c>
      <c r="K236" s="71">
        <f>IF(Table1[[#This Row],[Column8]]=1,20,"")</f>
        <v>20</v>
      </c>
      <c r="L236" s="71">
        <f>IF(Table1[[#This Row],[Column8]]=1,J236*K236,"")</f>
        <v>0</v>
      </c>
      <c r="M236" s="72" t="str">
        <f>VLOOKUP($B236,'Standards Crosswalk'!$A:$H,3,FALSE)</f>
        <v>CSC 16</v>
      </c>
      <c r="N236" s="72" t="str">
        <f>VLOOKUP($B236,'Standards Crosswalk'!$A:$H,4,FALSE)</f>
        <v>§164.308(a)(4), 
§164.312(a)(1), §164.312(a)(2)(i),
§164.312(d)</v>
      </c>
      <c r="O236" s="72" t="str">
        <f>VLOOKUP($B236,'Standards Crosswalk'!$A:$H,5,FALSE)</f>
        <v>9.2.3</v>
      </c>
      <c r="P236" s="72" t="str">
        <f>VLOOKUP($B236,'Standards Crosswalk'!$A:$H,6,FALSE)</f>
        <v>ID.GV-3</v>
      </c>
      <c r="Q236" s="72" t="str">
        <f>VLOOKUP($B236,'Standards Crosswalk'!$A:$H,7,FALSE)</f>
        <v>3.1.2</v>
      </c>
      <c r="R236" s="72">
        <f>VLOOKUP($B236,'Standards Crosswalk'!$A:$H,8,FALSE)</f>
        <v>0</v>
      </c>
      <c r="S236" s="72" t="str">
        <f>VLOOKUP($B236,'Standards Crosswalk'!$A:$I,9,FALSE)</f>
        <v>8.x</v>
      </c>
    </row>
    <row r="237" spans="1:19" ht="57.75" thickBot="1" x14ac:dyDescent="0.25">
      <c r="A237" s="71">
        <f t="shared" si="6"/>
        <v>235</v>
      </c>
      <c r="B237" s="77" t="s">
        <v>401</v>
      </c>
      <c r="C237" s="78" t="str">
        <f>VLOOKUP(B237,'HECVAT - Full'!A:E,2,FALSE)</f>
        <v>Is there a limit to the number of groups a user can be assigned?</v>
      </c>
      <c r="D237" s="71">
        <f>VLOOKUP(B237,'HECVAT - Full'!A:E,4,FALSE)</f>
        <v>0</v>
      </c>
      <c r="E237" s="79" t="b">
        <f>IF(Table1[[#This Row],[Column11]]&gt;20,TRUE,FALSE)</f>
        <v>0</v>
      </c>
      <c r="F237" s="79" t="s">
        <v>562</v>
      </c>
      <c r="G237" s="80" t="s">
        <v>20</v>
      </c>
      <c r="H237" s="81">
        <v>1</v>
      </c>
      <c r="I237" s="71">
        <f>VLOOKUP(B237,'HECVAT - Full'!A:E,3,FALSE)</f>
        <v>0</v>
      </c>
      <c r="J237" s="71">
        <f>IF(Table1[[#This Row],[Column7]]=Table1[[#This Row],[Column9]],1,0)</f>
        <v>0</v>
      </c>
      <c r="K237" s="71">
        <f>IF(Table1[[#This Row],[Column8]]=1,20,"")</f>
        <v>20</v>
      </c>
      <c r="L237" s="71">
        <f>IF(Table1[[#This Row],[Column8]]=1,J237*K237,"")</f>
        <v>0</v>
      </c>
      <c r="M237" s="72" t="str">
        <f>VLOOKUP($B237,'Standards Crosswalk'!$A:$H,3,FALSE)</f>
        <v>CSC 16</v>
      </c>
      <c r="N237" s="72" t="str">
        <f>VLOOKUP($B237,'Standards Crosswalk'!$A:$H,4,FALSE)</f>
        <v>§164.308(a)(4), 
§164.312(a)(1)</v>
      </c>
      <c r="O237" s="72" t="str">
        <f>VLOOKUP($B237,'Standards Crosswalk'!$A:$H,5,FALSE)</f>
        <v>9.2.3</v>
      </c>
      <c r="P237" s="72" t="str">
        <f>VLOOKUP($B237,'Standards Crosswalk'!$A:$H,6,FALSE)</f>
        <v>ID.GV-3</v>
      </c>
      <c r="Q237" s="72">
        <f>VLOOKUP($B237,'Standards Crosswalk'!$A:$H,7,FALSE)</f>
        <v>0</v>
      </c>
      <c r="R237" s="72">
        <f>VLOOKUP($B237,'Standards Crosswalk'!$A:$H,8,FALSE)</f>
        <v>0</v>
      </c>
      <c r="S237" s="72">
        <f>VLOOKUP($B237,'Standards Crosswalk'!$A:$I,9,FALSE)</f>
        <v>0</v>
      </c>
    </row>
    <row r="238" spans="1:19" ht="72" thickBot="1" x14ac:dyDescent="0.25">
      <c r="A238" s="71">
        <f t="shared" si="6"/>
        <v>236</v>
      </c>
      <c r="B238" s="77" t="s">
        <v>402</v>
      </c>
      <c r="C238" s="78" t="str">
        <f>VLOOKUP(B238,'HECVAT - Full'!A:E,2,FALSE)</f>
        <v>Do accounts used for vendor supplied remote support abide by the same authentication policies and access logging as the rest of the system?</v>
      </c>
      <c r="D238" s="71">
        <f>VLOOKUP(B238,'HECVAT - Full'!A:E,4,FALSE)</f>
        <v>0</v>
      </c>
      <c r="E238" s="79" t="b">
        <f>IF(Table1[[#This Row],[Column11]]&gt;20,TRUE,FALSE)</f>
        <v>0</v>
      </c>
      <c r="F238" s="79" t="s">
        <v>562</v>
      </c>
      <c r="G238" s="80" t="s">
        <v>17</v>
      </c>
      <c r="H238" s="81">
        <v>1</v>
      </c>
      <c r="I238" s="71">
        <f>VLOOKUP(B238,'HECVAT - Full'!A:E,3,FALSE)</f>
        <v>0</v>
      </c>
      <c r="J238" s="71">
        <f>IF(Table1[[#This Row],[Column7]]=Table1[[#This Row],[Column9]],1,0)</f>
        <v>0</v>
      </c>
      <c r="K238" s="71">
        <f>IF(Table1[[#This Row],[Column8]]=1,20,"")</f>
        <v>20</v>
      </c>
      <c r="L238" s="71">
        <f>IF(Table1[[#This Row],[Column8]]=1,J238*K238,"")</f>
        <v>0</v>
      </c>
      <c r="M238" s="72" t="str">
        <f>VLOOKUP($B238,'Standards Crosswalk'!$A:$H,3,FALSE)</f>
        <v>CSC 6, CSC 16</v>
      </c>
      <c r="N238" s="72" t="str">
        <f>VLOOKUP($B238,'Standards Crosswalk'!$A:$H,4,FALSE)</f>
        <v>§164.308(a)(4), 
§164.312(a)(1)</v>
      </c>
      <c r="O238" s="72">
        <f>VLOOKUP($B238,'Standards Crosswalk'!$A:$H,5,FALSE)</f>
        <v>0</v>
      </c>
      <c r="P238" s="72" t="str">
        <f>VLOOKUP($B238,'Standards Crosswalk'!$A:$H,6,FALSE)</f>
        <v>ID.GV-3</v>
      </c>
      <c r="Q238" s="72" t="str">
        <f>VLOOKUP($B238,'Standards Crosswalk'!$A:$H,7,FALSE)</f>
        <v>3.3.1</v>
      </c>
      <c r="R238" s="72" t="str">
        <f>VLOOKUP($B238,'Standards Crosswalk'!$A:$H,8,FALSE)</f>
        <v>AU-2, AU-6, AU-12</v>
      </c>
      <c r="S238" s="72" t="str">
        <f>VLOOKUP($B238,'Standards Crosswalk'!$A:$I,9,FALSE)</f>
        <v>8.x</v>
      </c>
    </row>
    <row r="239" spans="1:19" ht="57.75" thickBot="1" x14ac:dyDescent="0.25">
      <c r="A239" s="71">
        <f t="shared" si="6"/>
        <v>237</v>
      </c>
      <c r="B239" s="77" t="s">
        <v>403</v>
      </c>
      <c r="C239" s="78" t="str">
        <f>VLOOKUP(B239,'HECVAT - Full'!A:E,2,FALSE)</f>
        <v xml:space="preserve">Does the application log record access including specific user, date/time of access, and originating IP or device? </v>
      </c>
      <c r="D239" s="71">
        <f>VLOOKUP(B239,'HECVAT - Full'!A:E,4,FALSE)</f>
        <v>0</v>
      </c>
      <c r="E239" s="79" t="b">
        <f>IF(Table1[[#This Row],[Column11]]&gt;20,TRUE,FALSE)</f>
        <v>0</v>
      </c>
      <c r="F239" s="79" t="s">
        <v>562</v>
      </c>
      <c r="G239" s="80" t="s">
        <v>17</v>
      </c>
      <c r="H239" s="81">
        <v>1</v>
      </c>
      <c r="I239" s="71">
        <f>VLOOKUP(B239,'HECVAT - Full'!A:E,3,FALSE)</f>
        <v>0</v>
      </c>
      <c r="J239" s="71">
        <f>IF(Table1[[#This Row],[Column7]]=Table1[[#This Row],[Column9]],1,0)</f>
        <v>0</v>
      </c>
      <c r="K239" s="71">
        <f>IF(Table1[[#This Row],[Column8]]=1,20,"")</f>
        <v>20</v>
      </c>
      <c r="L239" s="71">
        <f>IF(Table1[[#This Row],[Column8]]=1,J239*K239,"")</f>
        <v>0</v>
      </c>
      <c r="M239" s="72" t="str">
        <f>VLOOKUP($B239,'Standards Crosswalk'!$A:$H,3,FALSE)</f>
        <v>CSC 6</v>
      </c>
      <c r="N239" s="72" t="str">
        <f>VLOOKUP($B239,'Standards Crosswalk'!$A:$H,4,FALSE)</f>
        <v>§ 164.308(a)(1)(ii)(D)</v>
      </c>
      <c r="O239" s="72" t="str">
        <f>VLOOKUP($B239,'Standards Crosswalk'!$A:$H,5,FALSE)</f>
        <v>12.4.1</v>
      </c>
      <c r="P239" s="72" t="str">
        <f>VLOOKUP($B239,'Standards Crosswalk'!$A:$H,6,FALSE)</f>
        <v>ID.GV-3</v>
      </c>
      <c r="Q239" s="72" t="str">
        <f>VLOOKUP($B239,'Standards Crosswalk'!$A:$H,7,FALSE)</f>
        <v>3.3.2</v>
      </c>
      <c r="R239" s="72" t="str">
        <f>VLOOKUP($B239,'Standards Crosswalk'!$A:$H,8,FALSE)</f>
        <v>AU-3</v>
      </c>
      <c r="S239" s="72">
        <f>VLOOKUP($B239,'Standards Crosswalk'!$A:$I,9,FALSE)</f>
        <v>10.7</v>
      </c>
    </row>
    <row r="240" spans="1:19" ht="86.25" thickBot="1" x14ac:dyDescent="0.25">
      <c r="A240" s="71">
        <f t="shared" si="6"/>
        <v>238</v>
      </c>
      <c r="B240" s="77" t="s">
        <v>404</v>
      </c>
      <c r="C240" s="78" t="str">
        <f>VLOOKUP(B240,'HECVAT - Full'!A:E,2,FALSE)</f>
        <v>Does the application log administrative activity, such user account access changes and password changes, including specific user, date/time of changes, and originating IP or device?</v>
      </c>
      <c r="D240" s="71">
        <f>VLOOKUP(B240,'HECVAT - Full'!A:E,4,FALSE)</f>
        <v>0</v>
      </c>
      <c r="E240" s="79" t="b">
        <f>IF(Table1[[#This Row],[Column11]]&gt;20,TRUE,FALSE)</f>
        <v>0</v>
      </c>
      <c r="F240" s="79" t="s">
        <v>562</v>
      </c>
      <c r="G240" s="80" t="s">
        <v>17</v>
      </c>
      <c r="H240" s="81">
        <v>1</v>
      </c>
      <c r="I240" s="71">
        <f>VLOOKUP(B240,'HECVAT - Full'!A:E,3,FALSE)</f>
        <v>0</v>
      </c>
      <c r="J240" s="71">
        <f>IF(Table1[[#This Row],[Column7]]=Table1[[#This Row],[Column9]],1,0)</f>
        <v>0</v>
      </c>
      <c r="K240" s="71">
        <f>IF(Table1[[#This Row],[Column8]]=1,20,"")</f>
        <v>20</v>
      </c>
      <c r="L240" s="71">
        <f>IF(Table1[[#This Row],[Column8]]=1,J240*K240,"")</f>
        <v>0</v>
      </c>
      <c r="M240" s="72" t="str">
        <f>VLOOKUP($B240,'Standards Crosswalk'!$A:$H,3,FALSE)</f>
        <v>CSC 6</v>
      </c>
      <c r="N240" s="72" t="str">
        <f>VLOOKUP($B240,'Standards Crosswalk'!$A:$H,4,FALSE)</f>
        <v>§164.312(b)</v>
      </c>
      <c r="O240" s="72" t="str">
        <f>VLOOKUP($B240,'Standards Crosswalk'!$A:$H,5,FALSE)</f>
        <v>12.4.1</v>
      </c>
      <c r="P240" s="72" t="str">
        <f>VLOOKUP($B240,'Standards Crosswalk'!$A:$H,6,FALSE)</f>
        <v>ID.GV-3</v>
      </c>
      <c r="Q240" s="72">
        <f>VLOOKUP($B240,'Standards Crosswalk'!$A:$H,7,FALSE)</f>
        <v>0</v>
      </c>
      <c r="R240" s="72">
        <f>VLOOKUP($B240,'Standards Crosswalk'!$A:$H,8,FALSE)</f>
        <v>0</v>
      </c>
      <c r="S240" s="72">
        <f>VLOOKUP($B240,'Standards Crosswalk'!$A:$I,9,FALSE)</f>
        <v>10.7</v>
      </c>
    </row>
    <row r="241" spans="1:25" ht="29.25" thickBot="1" x14ac:dyDescent="0.25">
      <c r="A241" s="71">
        <f t="shared" si="6"/>
        <v>239</v>
      </c>
      <c r="B241" s="77" t="s">
        <v>405</v>
      </c>
      <c r="C241" s="78" t="str">
        <f>VLOOKUP(B241,'HECVAT - Full'!A:E,2,FALSE)</f>
        <v>How long does the application keep access/change logs?</v>
      </c>
      <c r="D241" s="71">
        <f>VLOOKUP(B241,'HECVAT - Full'!A:E,4,FALSE)</f>
        <v>0</v>
      </c>
      <c r="E241" s="79" t="b">
        <f>IF(Table1[[#This Row],[Column11]]&gt;20,TRUE,FALSE)</f>
        <v>0</v>
      </c>
      <c r="F241" s="79" t="s">
        <v>562</v>
      </c>
      <c r="G241" s="80" t="s">
        <v>17</v>
      </c>
      <c r="H241" s="81">
        <v>1</v>
      </c>
      <c r="I241" s="71">
        <f>VLOOKUP(B241,'HECVAT - Full'!A:E,3,FALSE)</f>
        <v>0</v>
      </c>
      <c r="J241" s="71">
        <f>IF(VLOOKUP(Table1[[#This Row],[Column2]],'Analyst Report'!$A$41:$G$88,7,FALSE)="Yes",1,0)</f>
        <v>0</v>
      </c>
      <c r="K241" s="71">
        <f>IF(Table1[[#This Row],[Column8]]=1,20,"")</f>
        <v>20</v>
      </c>
      <c r="L241" s="71">
        <f>IF(Table1[[#This Row],[Column8]]=1,J241*K241,"")</f>
        <v>0</v>
      </c>
      <c r="M241" s="72" t="str">
        <f>VLOOKUP($B241,'Standards Crosswalk'!$A:$H,3,FALSE)</f>
        <v>CSC 6</v>
      </c>
      <c r="N241" s="72" t="str">
        <f>VLOOKUP($B241,'Standards Crosswalk'!$A:$H,4,FALSE)</f>
        <v>§164.312(b)</v>
      </c>
      <c r="O241" s="72" t="str">
        <f>VLOOKUP($B241,'Standards Crosswalk'!$A:$H,5,FALSE)</f>
        <v>12.4.1</v>
      </c>
      <c r="P241" s="72" t="str">
        <f>VLOOKUP($B241,'Standards Crosswalk'!$A:$H,6,FALSE)</f>
        <v>ID.GV-3</v>
      </c>
      <c r="Q241" s="72">
        <f>VLOOKUP($B241,'Standards Crosswalk'!$A:$H,7,FALSE)</f>
        <v>0</v>
      </c>
      <c r="R241" s="72">
        <f>VLOOKUP($B241,'Standards Crosswalk'!$A:$H,8,FALSE)</f>
        <v>0</v>
      </c>
      <c r="S241" s="72">
        <f>VLOOKUP($B241,'Standards Crosswalk'!$A:$I,9,FALSE)</f>
        <v>10.7</v>
      </c>
      <c r="T241" s="94"/>
      <c r="U241" s="94"/>
      <c r="V241" s="94"/>
      <c r="W241" s="94"/>
      <c r="X241" s="94"/>
      <c r="Y241" s="94"/>
    </row>
    <row r="242" spans="1:25" ht="29.25" thickBot="1" x14ac:dyDescent="0.25">
      <c r="A242" s="71">
        <f t="shared" si="6"/>
        <v>240</v>
      </c>
      <c r="B242" s="77" t="s">
        <v>406</v>
      </c>
      <c r="C242" s="78" t="str">
        <f>VLOOKUP(B242,'HECVAT - Full'!A:E,2,FALSE)</f>
        <v xml:space="preserve">Can the application logs be archived? </v>
      </c>
      <c r="D242" s="71">
        <f>VLOOKUP(B242,'HECVAT - Full'!A:E,4,FALSE)</f>
        <v>0</v>
      </c>
      <c r="E242" s="79" t="b">
        <f>IF(Table1[[#This Row],[Column11]]&gt;20,TRUE,FALSE)</f>
        <v>0</v>
      </c>
      <c r="F242" s="79" t="s">
        <v>562</v>
      </c>
      <c r="G242" s="80" t="s">
        <v>17</v>
      </c>
      <c r="H242" s="81">
        <v>1</v>
      </c>
      <c r="I242" s="71">
        <f>VLOOKUP(B242,'HECVAT - Full'!A:E,3,FALSE)</f>
        <v>0</v>
      </c>
      <c r="J242" s="71">
        <f>IF(Table1[[#This Row],[Column7]]=Table1[[#This Row],[Column9]],1,0)</f>
        <v>0</v>
      </c>
      <c r="K242" s="71">
        <f>IF(Table1[[#This Row],[Column8]]=1,20,"")</f>
        <v>20</v>
      </c>
      <c r="L242" s="71">
        <f>IF(Table1[[#This Row],[Column8]]=1,J242*K242,"")</f>
        <v>0</v>
      </c>
      <c r="M242" s="72" t="str">
        <f>VLOOKUP($B242,'Standards Crosswalk'!$A:$H,3,FALSE)</f>
        <v>CSC 6</v>
      </c>
      <c r="N242" s="72" t="str">
        <f>VLOOKUP($B242,'Standards Crosswalk'!$A:$H,4,FALSE)</f>
        <v>§164.312(b)</v>
      </c>
      <c r="O242" s="72" t="str">
        <f>VLOOKUP($B242,'Standards Crosswalk'!$A:$H,5,FALSE)</f>
        <v>12.4.1</v>
      </c>
      <c r="P242" s="72" t="str">
        <f>VLOOKUP($B242,'Standards Crosswalk'!$A:$H,6,FALSE)</f>
        <v>ID.GV-3</v>
      </c>
      <c r="Q242" s="72">
        <f>VLOOKUP($B242,'Standards Crosswalk'!$A:$H,7,FALSE)</f>
        <v>0</v>
      </c>
      <c r="R242" s="72">
        <f>VLOOKUP($B242,'Standards Crosswalk'!$A:$H,8,FALSE)</f>
        <v>0</v>
      </c>
      <c r="S242" s="72">
        <f>VLOOKUP($B242,'Standards Crosswalk'!$A:$I,9,FALSE)</f>
        <v>10.7</v>
      </c>
    </row>
    <row r="243" spans="1:25" ht="29.25" thickBot="1" x14ac:dyDescent="0.25">
      <c r="A243" s="71">
        <f t="shared" si="6"/>
        <v>241</v>
      </c>
      <c r="B243" s="77" t="s">
        <v>407</v>
      </c>
      <c r="C243" s="78" t="str">
        <f>VLOOKUP(B243,'HECVAT - Full'!A:E,2,FALSE)</f>
        <v xml:space="preserve">Can the application logs be saved externally? </v>
      </c>
      <c r="D243" s="71">
        <f>VLOOKUP(B243,'HECVAT - Full'!A:E,4,FALSE)</f>
        <v>0</v>
      </c>
      <c r="E243" s="79" t="b">
        <f>IF(Table1[[#This Row],[Column11]]&gt;20,TRUE,FALSE)</f>
        <v>0</v>
      </c>
      <c r="F243" s="79" t="s">
        <v>562</v>
      </c>
      <c r="G243" s="80" t="s">
        <v>17</v>
      </c>
      <c r="H243" s="81">
        <v>1</v>
      </c>
      <c r="I243" s="71">
        <f>VLOOKUP(B243,'HECVAT - Full'!A:E,3,FALSE)</f>
        <v>0</v>
      </c>
      <c r="J243" s="71">
        <f>IF(Table1[[#This Row],[Column7]]=Table1[[#This Row],[Column9]],1,0)</f>
        <v>0</v>
      </c>
      <c r="K243" s="71">
        <f>IF(Table1[[#This Row],[Column8]]=1,20,"")</f>
        <v>20</v>
      </c>
      <c r="L243" s="71">
        <f>IF(Table1[[#This Row],[Column8]]=1,J243*K243,"")</f>
        <v>0</v>
      </c>
      <c r="M243" s="72" t="str">
        <f>VLOOKUP($B243,'Standards Crosswalk'!$A:$H,3,FALSE)</f>
        <v>CSC 6</v>
      </c>
      <c r="N243" s="72" t="str">
        <f>VLOOKUP($B243,'Standards Crosswalk'!$A:$H,4,FALSE)</f>
        <v>§164.312(b)</v>
      </c>
      <c r="O243" s="72" t="str">
        <f>VLOOKUP($B243,'Standards Crosswalk'!$A:$H,5,FALSE)</f>
        <v>12.4.1</v>
      </c>
      <c r="P243" s="72" t="str">
        <f>VLOOKUP($B243,'Standards Crosswalk'!$A:$H,6,FALSE)</f>
        <v>ID.GV-3</v>
      </c>
      <c r="Q243" s="72">
        <f>VLOOKUP($B243,'Standards Crosswalk'!$A:$H,7,FALSE)</f>
        <v>0</v>
      </c>
      <c r="R243" s="72">
        <f>VLOOKUP($B243,'Standards Crosswalk'!$A:$H,8,FALSE)</f>
        <v>0</v>
      </c>
      <c r="S243" s="72">
        <f>VLOOKUP($B243,'Standards Crosswalk'!$A:$I,9,FALSE)</f>
        <v>10.7</v>
      </c>
    </row>
    <row r="244" spans="1:25" ht="43.5" thickBot="1" x14ac:dyDescent="0.25">
      <c r="A244" s="71">
        <f t="shared" si="6"/>
        <v>242</v>
      </c>
      <c r="B244" s="77" t="s">
        <v>408</v>
      </c>
      <c r="C244" s="78" t="str">
        <f>VLOOKUP(B244,'HECVAT - Full'!A:E,2,FALSE)</f>
        <v>Does your data backup and retention policies and practices meet HIPAA requirements?</v>
      </c>
      <c r="D244" s="71">
        <f>VLOOKUP(B244,'HECVAT - Full'!A:E,4,FALSE)</f>
        <v>0</v>
      </c>
      <c r="E244" s="79" t="b">
        <f>IF(Table1[[#This Row],[Column11]]&gt;20,TRUE,FALSE)</f>
        <v>0</v>
      </c>
      <c r="F244" s="79" t="s">
        <v>562</v>
      </c>
      <c r="G244" s="80" t="s">
        <v>17</v>
      </c>
      <c r="H244" s="81">
        <v>1</v>
      </c>
      <c r="I244" s="71">
        <f>VLOOKUP(B244,'HECVAT - Full'!A:E,3,FALSE)</f>
        <v>0</v>
      </c>
      <c r="J244" s="71">
        <f>IF(Table1[[#This Row],[Column7]]=Table1[[#This Row],[Column9]],1,0)</f>
        <v>0</v>
      </c>
      <c r="K244" s="71">
        <f>IF(Table1[[#This Row],[Column8]]=1,20,"")</f>
        <v>20</v>
      </c>
      <c r="L244" s="71">
        <f>IF(Table1[[#This Row],[Column8]]=1,J244*K244,"")</f>
        <v>0</v>
      </c>
      <c r="M244" s="72" t="str">
        <f>VLOOKUP($B244,'Standards Crosswalk'!$A:$H,3,FALSE)</f>
        <v>CSC 10</v>
      </c>
      <c r="N244" s="72" t="str">
        <f>VLOOKUP($B244,'Standards Crosswalk'!$A:$H,4,FALSE)</f>
        <v>§164.312(a)(2)(ii)</v>
      </c>
      <c r="O244" s="72" t="str">
        <f>VLOOKUP($B244,'Standards Crosswalk'!$A:$H,5,FALSE)</f>
        <v>18.1.1</v>
      </c>
      <c r="P244" s="72" t="str">
        <f>VLOOKUP($B244,'Standards Crosswalk'!$A:$H,6,FALSE)</f>
        <v>ID.GV-3</v>
      </c>
      <c r="Q244" s="72">
        <f>VLOOKUP($B244,'Standards Crosswalk'!$A:$H,7,FALSE)</f>
        <v>0</v>
      </c>
      <c r="R244" s="72">
        <f>VLOOKUP($B244,'Standards Crosswalk'!$A:$H,8,FALSE)</f>
        <v>0</v>
      </c>
      <c r="S244" s="72">
        <f>VLOOKUP($B244,'Standards Crosswalk'!$A:$I,9,FALSE)</f>
        <v>10.7</v>
      </c>
    </row>
    <row r="245" spans="1:25" ht="43.5" thickBot="1" x14ac:dyDescent="0.25">
      <c r="A245" s="71">
        <f t="shared" si="6"/>
        <v>243</v>
      </c>
      <c r="B245" s="77" t="s">
        <v>409</v>
      </c>
      <c r="C245" s="78" t="str">
        <f>VLOOKUP(B245,'HECVAT - Full'!A:E,2,FALSE)</f>
        <v>Do you have a disaster recovery plan and emergency mode operation plan?</v>
      </c>
      <c r="D245" s="71">
        <f>VLOOKUP(B245,'HECVAT - Full'!A:E,4,FALSE)</f>
        <v>0</v>
      </c>
      <c r="E245" s="79" t="b">
        <f>IF(Table1[[#This Row],[Column11]]&gt;20,TRUE,FALSE)</f>
        <v>0</v>
      </c>
      <c r="F245" s="79" t="s">
        <v>562</v>
      </c>
      <c r="G245" s="80" t="s">
        <v>17</v>
      </c>
      <c r="H245" s="81">
        <v>1</v>
      </c>
      <c r="I245" s="71">
        <f>VLOOKUP(B245,'HECVAT - Full'!A:E,3,FALSE)</f>
        <v>0</v>
      </c>
      <c r="J245" s="71">
        <f>IF(Table1[[#This Row],[Column7]]=Table1[[#This Row],[Column9]],1,0)</f>
        <v>0</v>
      </c>
      <c r="K245" s="71">
        <f>IF(Table1[[#This Row],[Column8]]=1,20,"")</f>
        <v>20</v>
      </c>
      <c r="L245" s="71">
        <f>IF(Table1[[#This Row],[Column8]]=1,J245*K245,"")</f>
        <v>0</v>
      </c>
      <c r="M245" s="72" t="str">
        <f>VLOOKUP($B245,'Standards Crosswalk'!$A:$H,3,FALSE)</f>
        <v>CSC 10</v>
      </c>
      <c r="N245" s="72" t="str">
        <f>VLOOKUP($B245,'Standards Crosswalk'!$A:$H,4,FALSE)</f>
        <v>§164.308(a)(7)(i)</v>
      </c>
      <c r="O245" s="72" t="str">
        <f>VLOOKUP($B245,'Standards Crosswalk'!$A:$H,5,FALSE)</f>
        <v>17.1.1</v>
      </c>
      <c r="P245" s="72" t="str">
        <f>VLOOKUP($B245,'Standards Crosswalk'!$A:$H,6,FALSE)</f>
        <v>ID.GV-3</v>
      </c>
      <c r="Q245" s="72" t="str">
        <f>VLOOKUP($B245,'Standards Crosswalk'!$A:$H,7,FALSE)</f>
        <v>3.12.2</v>
      </c>
      <c r="R245" s="72">
        <f>VLOOKUP($B245,'Standards Crosswalk'!$A:$H,8,FALSE)</f>
        <v>0</v>
      </c>
      <c r="S245" s="72">
        <f>VLOOKUP($B245,'Standards Crosswalk'!$A:$I,9,FALSE)</f>
        <v>12.1</v>
      </c>
    </row>
    <row r="246" spans="1:25" ht="29.25" thickBot="1" x14ac:dyDescent="0.25">
      <c r="A246" s="71">
        <f t="shared" si="6"/>
        <v>244</v>
      </c>
      <c r="B246" s="77" t="s">
        <v>410</v>
      </c>
      <c r="C246" s="78" t="str">
        <f>VLOOKUP(B246,'HECVAT - Full'!A:E,2,FALSE)</f>
        <v>Have the policies/plans mentioned above been tested?</v>
      </c>
      <c r="D246" s="71">
        <f>VLOOKUP(B246,'HECVAT - Full'!A:E,4,FALSE)</f>
        <v>0</v>
      </c>
      <c r="E246" s="79" t="b">
        <f>IF(Table1[[#This Row],[Column11]]&gt;20,TRUE,FALSE)</f>
        <v>0</v>
      </c>
      <c r="F246" s="79" t="s">
        <v>562</v>
      </c>
      <c r="G246" s="80" t="s">
        <v>17</v>
      </c>
      <c r="H246" s="81">
        <v>1</v>
      </c>
      <c r="I246" s="71">
        <f>VLOOKUP(B246,'HECVAT - Full'!A:E,3,FALSE)</f>
        <v>0</v>
      </c>
      <c r="J246" s="71">
        <f>IF(Table1[[#This Row],[Column7]]=Table1[[#This Row],[Column9]],1,0)</f>
        <v>0</v>
      </c>
      <c r="K246" s="71">
        <f>IF(Table1[[#This Row],[Column8]]=1,20,"")</f>
        <v>20</v>
      </c>
      <c r="L246" s="71">
        <f>IF(Table1[[#This Row],[Column8]]=1,J246*K246,"")</f>
        <v>0</v>
      </c>
      <c r="M246" s="72" t="str">
        <f>VLOOKUP($B246,'Standards Crosswalk'!$A:$H,3,FALSE)</f>
        <v>CSC 10</v>
      </c>
      <c r="N246" s="72" t="str">
        <f>VLOOKUP($B246,'Standards Crosswalk'!$A:$H,4,FALSE)</f>
        <v>§164.308(a)(7)(i)</v>
      </c>
      <c r="O246" s="72" t="str">
        <f>VLOOKUP($B246,'Standards Crosswalk'!$A:$H,5,FALSE)</f>
        <v>17.1.3</v>
      </c>
      <c r="P246" s="72" t="str">
        <f>VLOOKUP($B246,'Standards Crosswalk'!$A:$H,6,FALSE)</f>
        <v>ID.GV-3</v>
      </c>
      <c r="Q246" s="72" t="str">
        <f>VLOOKUP($B246,'Standards Crosswalk'!$A:$H,7,FALSE)</f>
        <v>3.6.3, 3.12.2</v>
      </c>
      <c r="R246" s="72">
        <f>VLOOKUP($B246,'Standards Crosswalk'!$A:$H,8,FALSE)</f>
        <v>0</v>
      </c>
      <c r="S246" s="72">
        <f>VLOOKUP($B246,'Standards Crosswalk'!$A:$I,9,FALSE)</f>
        <v>12.1</v>
      </c>
    </row>
    <row r="247" spans="1:25" ht="29.25" thickBot="1" x14ac:dyDescent="0.25">
      <c r="A247" s="71">
        <f t="shared" si="6"/>
        <v>245</v>
      </c>
      <c r="B247" s="77" t="s">
        <v>411</v>
      </c>
      <c r="C247" s="78" t="str">
        <f>VLOOKUP(B247,'HECVAT - Full'!A:E,2,FALSE)</f>
        <v>Can you provide a HIPAA compliance attestation document?</v>
      </c>
      <c r="D247" s="71">
        <f>VLOOKUP(B247,'HECVAT - Full'!A:E,4,FALSE)</f>
        <v>0</v>
      </c>
      <c r="E247" s="79" t="b">
        <f>IF(Table1[[#This Row],[Column11]]&gt;20,TRUE,FALSE)</f>
        <v>0</v>
      </c>
      <c r="F247" s="79" t="s">
        <v>562</v>
      </c>
      <c r="G247" s="80" t="s">
        <v>17</v>
      </c>
      <c r="H247" s="81">
        <v>1</v>
      </c>
      <c r="I247" s="71">
        <f>VLOOKUP(B247,'HECVAT - Full'!A:E,3,FALSE)</f>
        <v>0</v>
      </c>
      <c r="J247" s="71">
        <f>IF(Table1[[#This Row],[Column7]]=Table1[[#This Row],[Column9]],1,0)</f>
        <v>0</v>
      </c>
      <c r="K247" s="71">
        <f>IF(Table1[[#This Row],[Column8]]=1,20,"")</f>
        <v>20</v>
      </c>
      <c r="L247" s="71">
        <f>IF(Table1[[#This Row],[Column8]]=1,J247*K247,"")</f>
        <v>0</v>
      </c>
      <c r="M247" s="72" t="str">
        <f>VLOOKUP($B247,'Standards Crosswalk'!$A:$H,3,FALSE)</f>
        <v>CSC 10</v>
      </c>
      <c r="N247" s="72" t="str">
        <f>VLOOKUP($B247,'Standards Crosswalk'!$A:$H,4,FALSE)</f>
        <v>§164.308(b)(2)</v>
      </c>
      <c r="O247" s="72" t="str">
        <f>VLOOKUP($B247,'Standards Crosswalk'!$A:$H,5,FALSE)</f>
        <v>18.1.1</v>
      </c>
      <c r="P247" s="72" t="str">
        <f>VLOOKUP($B247,'Standards Crosswalk'!$A:$H,6,FALSE)</f>
        <v>ID.GV-3</v>
      </c>
      <c r="Q247" s="72">
        <f>VLOOKUP($B247,'Standards Crosswalk'!$A:$H,7,FALSE)</f>
        <v>0</v>
      </c>
      <c r="R247" s="72">
        <f>VLOOKUP($B247,'Standards Crosswalk'!$A:$H,8,FALSE)</f>
        <v>0</v>
      </c>
      <c r="S247" s="72">
        <f>VLOOKUP($B247,'Standards Crosswalk'!$A:$I,9,FALSE)</f>
        <v>10.7</v>
      </c>
    </row>
    <row r="248" spans="1:25" ht="86.25" thickBot="1" x14ac:dyDescent="0.25">
      <c r="A248" s="71">
        <f t="shared" si="6"/>
        <v>246</v>
      </c>
      <c r="B248" s="77" t="s">
        <v>412</v>
      </c>
      <c r="C248" s="78" t="str">
        <f>VLOOKUP(B248,'HECVAT - Full'!A:E,2,FALSE)</f>
        <v>Are you willing to enter into a Business Associate Agreement (BAA)?</v>
      </c>
      <c r="D248" s="71">
        <f>VLOOKUP(B248,'HECVAT - Full'!A:E,4,FALSE)</f>
        <v>0</v>
      </c>
      <c r="E248" s="79" t="b">
        <f>IF(Table1[[#This Row],[Column11]]&gt;20,TRUE,FALSE)</f>
        <v>0</v>
      </c>
      <c r="F248" s="79" t="s">
        <v>562</v>
      </c>
      <c r="G248" s="80" t="s">
        <v>17</v>
      </c>
      <c r="H248" s="81">
        <v>1</v>
      </c>
      <c r="I248" s="71">
        <f>VLOOKUP(B248,'HECVAT - Full'!A:E,3,FALSE)</f>
        <v>0</v>
      </c>
      <c r="J248" s="71">
        <f>IF(Table1[[#This Row],[Column7]]=Table1[[#This Row],[Column9]],1,0)</f>
        <v>0</v>
      </c>
      <c r="K248" s="71">
        <f>IF(Table1[[#This Row],[Column8]]=1,20,"")</f>
        <v>20</v>
      </c>
      <c r="L248" s="71">
        <f>IF(Table1[[#This Row],[Column8]]=1,J248*K248,"")</f>
        <v>0</v>
      </c>
      <c r="M248" s="72" t="str">
        <f>VLOOKUP($B248,'Standards Crosswalk'!$A:$H,3,FALSE)</f>
        <v>CSC 10</v>
      </c>
      <c r="N248" s="72" t="str">
        <f>VLOOKUP($B248,'Standards Crosswalk'!$A:$H,4,FALSE)</f>
        <v>§164.308(b)(1),
§164.308(b)(3), §164.314(a)(1)(i)</v>
      </c>
      <c r="O248" s="72" t="str">
        <f>VLOOKUP($B248,'Standards Crosswalk'!$A:$H,5,FALSE)</f>
        <v>18.1.1</v>
      </c>
      <c r="P248" s="72" t="str">
        <f>VLOOKUP($B248,'Standards Crosswalk'!$A:$H,6,FALSE)</f>
        <v>ID.GV-3</v>
      </c>
      <c r="Q248" s="72">
        <f>VLOOKUP($B248,'Standards Crosswalk'!$A:$H,7,FALSE)</f>
        <v>0</v>
      </c>
      <c r="R248" s="72">
        <f>VLOOKUP($B248,'Standards Crosswalk'!$A:$H,8,FALSE)</f>
        <v>0</v>
      </c>
      <c r="S248" s="72">
        <f>VLOOKUP($B248,'Standards Crosswalk'!$A:$I,9,FALSE)</f>
        <v>0</v>
      </c>
    </row>
    <row r="249" spans="1:25" ht="114.75" thickBot="1" x14ac:dyDescent="0.25">
      <c r="A249" s="71">
        <f t="shared" si="6"/>
        <v>247</v>
      </c>
      <c r="B249" s="77" t="s">
        <v>413</v>
      </c>
      <c r="C249" s="78" t="str">
        <f>VLOOKUP(B249,'HECVAT - Full'!A:E,2,FALSE)</f>
        <v>Have you entered into a BAA with all subcontractors who may have access to protected health information (PHI)?</v>
      </c>
      <c r="D249" s="71">
        <f>VLOOKUP(B249,'HECVAT - Full'!A:E,4,FALSE)</f>
        <v>0</v>
      </c>
      <c r="E249" s="79" t="b">
        <f>IF(Table1[[#This Row],[Column11]]&gt;20,TRUE,FALSE)</f>
        <v>0</v>
      </c>
      <c r="F249" s="79" t="s">
        <v>562</v>
      </c>
      <c r="G249" s="80" t="s">
        <v>17</v>
      </c>
      <c r="H249" s="81">
        <v>1</v>
      </c>
      <c r="I249" s="71">
        <f>VLOOKUP(B249,'HECVAT - Full'!A:E,3,FALSE)</f>
        <v>0</v>
      </c>
      <c r="J249" s="71">
        <f>IF(Table1[[#This Row],[Column7]]=Table1[[#This Row],[Column9]],1,0)</f>
        <v>0</v>
      </c>
      <c r="K249" s="71">
        <f>IF(Table1[[#This Row],[Column8]]=1,20,"")</f>
        <v>20</v>
      </c>
      <c r="L249" s="71">
        <f>IF(Table1[[#This Row],[Column8]]=1,J249*K249,"")</f>
        <v>0</v>
      </c>
      <c r="M249" s="72" t="str">
        <f>VLOOKUP($B249,'Standards Crosswalk'!$A:$H,3,FALSE)</f>
        <v>CSC 10</v>
      </c>
      <c r="N249" s="72" t="str">
        <f>VLOOKUP($B249,'Standards Crosswalk'!$A:$H,4,FALSE)</f>
        <v>§164.308(a)(3)(i), §164.308(b)(1), 
§164.308(b)(3), §164.314(a)(1)(i)</v>
      </c>
      <c r="O249" s="72" t="str">
        <f>VLOOKUP($B249,'Standards Crosswalk'!$A:$H,5,FALSE)</f>
        <v>18.1.1</v>
      </c>
      <c r="P249" s="72" t="str">
        <f>VLOOKUP($B249,'Standards Crosswalk'!$A:$H,6,FALSE)</f>
        <v>ID.GV-3</v>
      </c>
      <c r="Q249" s="72">
        <f>VLOOKUP($B249,'Standards Crosswalk'!$A:$H,7,FALSE)</f>
        <v>0</v>
      </c>
      <c r="R249" s="72">
        <f>VLOOKUP($B249,'Standards Crosswalk'!$A:$H,8,FALSE)</f>
        <v>0</v>
      </c>
      <c r="S249" s="72">
        <f>VLOOKUP($B249,'Standards Crosswalk'!$A:$I,9,FALSE)</f>
        <v>12.8</v>
      </c>
    </row>
    <row r="250" spans="1:25" ht="43.5" thickBot="1" x14ac:dyDescent="0.25">
      <c r="A250" s="71">
        <f t="shared" si="6"/>
        <v>248</v>
      </c>
      <c r="B250" s="77" t="s">
        <v>414</v>
      </c>
      <c r="C250" s="78" t="str">
        <f>VLOOKUP(B250,'HECVAT - Full'!A:E,2,FALSE)</f>
        <v>Do your systems or products store, process, or transmit cardholder (payment/credit/debt card) data?</v>
      </c>
      <c r="D250" s="71">
        <f>VLOOKUP(B250,'HECVAT - Full'!A:E,4,FALSE)</f>
        <v>0</v>
      </c>
      <c r="E250" s="79" t="b">
        <f>IF(Table1[[#This Row],[Column11]]&gt;20,TRUE,FALSE)</f>
        <v>0</v>
      </c>
      <c r="F250" s="86" t="s">
        <v>2045</v>
      </c>
      <c r="G250" s="80" t="s">
        <v>20</v>
      </c>
      <c r="H250" s="81">
        <v>1</v>
      </c>
      <c r="I250" s="71">
        <f>VLOOKUP(B250,'HECVAT - Full'!A:E,3,FALSE)</f>
        <v>0</v>
      </c>
      <c r="J250" s="71">
        <f>IF(Table1[[#This Row],[Column7]]=Table1[[#This Row],[Column9]],1,0)</f>
        <v>0</v>
      </c>
      <c r="K250" s="71">
        <f>IF(Table1[[#This Row],[Column8]]=1,15,"")</f>
        <v>15</v>
      </c>
      <c r="L250" s="71">
        <f>IF(Table1[[#This Row],[Column8]]=1,J250*K250,"")</f>
        <v>0</v>
      </c>
      <c r="M250" s="72" t="str">
        <f>VLOOKUP($B250,'Standards Crosswalk'!$A:$H,3,FALSE)</f>
        <v>CSC 10</v>
      </c>
      <c r="N250" s="72">
        <f>VLOOKUP($B250,'Standards Crosswalk'!$A:$H,4,FALSE)</f>
        <v>0</v>
      </c>
      <c r="O250" s="72" t="str">
        <f>VLOOKUP($B250,'Standards Crosswalk'!$A:$H,5,FALSE)</f>
        <v>18.1.1</v>
      </c>
      <c r="P250" s="72" t="str">
        <f>VLOOKUP($B250,'Standards Crosswalk'!$A:$H,6,FALSE)</f>
        <v>ID.GV-3</v>
      </c>
      <c r="Q250" s="72">
        <f>VLOOKUP($B250,'Standards Crosswalk'!$A:$H,7,FALSE)</f>
        <v>0</v>
      </c>
      <c r="R250" s="72">
        <f>VLOOKUP($B250,'Standards Crosswalk'!$A:$H,8,FALSE)</f>
        <v>0</v>
      </c>
      <c r="S250" s="72">
        <f>VLOOKUP($B250,'Standards Crosswalk'!$A:$I,9,FALSE)</f>
        <v>12.8</v>
      </c>
    </row>
    <row r="251" spans="1:25" ht="43.5" thickBot="1" x14ac:dyDescent="0.25">
      <c r="A251" s="71">
        <f t="shared" si="6"/>
        <v>249</v>
      </c>
      <c r="B251" s="77" t="s">
        <v>415</v>
      </c>
      <c r="C251" s="78" t="str">
        <f>VLOOKUP(B251,'HECVAT - Full'!A:E,2,FALSE)</f>
        <v>Are you compliant with the Payment Card Industry Data Security Standard (PCI DSS)?</v>
      </c>
      <c r="D251" s="71">
        <f>VLOOKUP(B251,'HECVAT - Full'!A:E,4,FALSE)</f>
        <v>0</v>
      </c>
      <c r="E251" s="79" t="b">
        <f>IF(Table1[[#This Row],[Column11]]&gt;20,TRUE,FALSE)</f>
        <v>0</v>
      </c>
      <c r="F251" s="86" t="s">
        <v>2045</v>
      </c>
      <c r="G251" s="80" t="s">
        <v>17</v>
      </c>
      <c r="H251" s="81">
        <v>1</v>
      </c>
      <c r="I251" s="71">
        <f>VLOOKUP(B251,'HECVAT - Full'!A:E,3,FALSE)</f>
        <v>0</v>
      </c>
      <c r="J251" s="71">
        <f>IF(Table1[[#This Row],[Column7]]=Table1[[#This Row],[Column9]],1,0)</f>
        <v>0</v>
      </c>
      <c r="K251" s="71">
        <f>IF(Table1[[#This Row],[Column8]]=1,20,"")</f>
        <v>20</v>
      </c>
      <c r="L251" s="71">
        <f>IF(Table1[[#This Row],[Column8]]=1,J251*K251,"")</f>
        <v>0</v>
      </c>
      <c r="M251" s="72" t="str">
        <f>VLOOKUP($B251,'Standards Crosswalk'!$A:$H,3,FALSE)</f>
        <v>CSC 10</v>
      </c>
      <c r="N251" s="72">
        <f>VLOOKUP($B251,'Standards Crosswalk'!$A:$H,4,FALSE)</f>
        <v>0</v>
      </c>
      <c r="O251" s="72" t="str">
        <f>VLOOKUP($B251,'Standards Crosswalk'!$A:$H,5,FALSE)</f>
        <v>18.1.1</v>
      </c>
      <c r="P251" s="72" t="str">
        <f>VLOOKUP($B251,'Standards Crosswalk'!$A:$H,6,FALSE)</f>
        <v>ID.GV-3</v>
      </c>
      <c r="Q251" s="72">
        <f>VLOOKUP($B251,'Standards Crosswalk'!$A:$H,7,FALSE)</f>
        <v>0</v>
      </c>
      <c r="R251" s="72">
        <f>VLOOKUP($B251,'Standards Crosswalk'!$A:$H,8,FALSE)</f>
        <v>0</v>
      </c>
      <c r="S251" s="72">
        <f>VLOOKUP($B251,'Standards Crosswalk'!$A:$I,9,FALSE)</f>
        <v>12.8</v>
      </c>
    </row>
    <row r="252" spans="1:25" ht="57.75" thickBot="1" x14ac:dyDescent="0.25">
      <c r="A252" s="71">
        <f t="shared" si="6"/>
        <v>250</v>
      </c>
      <c r="B252" s="77" t="s">
        <v>416</v>
      </c>
      <c r="C252" s="78" t="str">
        <f>VLOOKUP(B252,'HECVAT - Full'!A:E,2,FALSE)</f>
        <v>Do you have a current, executed within the past year, Attestation of Compliance (AoC) or Report on Compliance (RoC)?</v>
      </c>
      <c r="D252" s="71">
        <f>VLOOKUP(B252,'HECVAT - Full'!A:E,4,FALSE)</f>
        <v>0</v>
      </c>
      <c r="E252" s="79" t="b">
        <f>IF(Table1[[#This Row],[Column11]]&gt;20,TRUE,FALSE)</f>
        <v>1</v>
      </c>
      <c r="F252" s="86" t="s">
        <v>2045</v>
      </c>
      <c r="G252" s="80" t="s">
        <v>17</v>
      </c>
      <c r="H252" s="81">
        <v>1</v>
      </c>
      <c r="I252" s="71">
        <f>VLOOKUP(B252,'HECVAT - Full'!A:E,3,FALSE)</f>
        <v>0</v>
      </c>
      <c r="J252" s="71">
        <f>IF(Table1[[#This Row],[Column7]]=Table1[[#This Row],[Column9]],1,0)</f>
        <v>0</v>
      </c>
      <c r="K252" s="71">
        <f>IF(Table1[[#This Row],[Column8]]=1,25,"")</f>
        <v>25</v>
      </c>
      <c r="L252" s="71">
        <f>IF(Table1[[#This Row],[Column8]]=1,J252*K252,"")</f>
        <v>0</v>
      </c>
      <c r="M252" s="72" t="str">
        <f>VLOOKUP($B252,'Standards Crosswalk'!$A:$H,3,FALSE)</f>
        <v>CSC 10</v>
      </c>
      <c r="N252" s="72">
        <f>VLOOKUP($B252,'Standards Crosswalk'!$A:$H,4,FALSE)</f>
        <v>0</v>
      </c>
      <c r="O252" s="72" t="str">
        <f>VLOOKUP($B252,'Standards Crosswalk'!$A:$H,5,FALSE)</f>
        <v>18.1.1</v>
      </c>
      <c r="P252" s="72" t="str">
        <f>VLOOKUP($B252,'Standards Crosswalk'!$A:$H,6,FALSE)</f>
        <v>ID.GV-3</v>
      </c>
      <c r="Q252" s="72">
        <f>VLOOKUP($B252,'Standards Crosswalk'!$A:$H,7,FALSE)</f>
        <v>0</v>
      </c>
      <c r="R252" s="72">
        <f>VLOOKUP($B252,'Standards Crosswalk'!$A:$H,8,FALSE)</f>
        <v>0</v>
      </c>
      <c r="S252" s="72">
        <f>VLOOKUP($B252,'Standards Crosswalk'!$A:$I,9,FALSE)</f>
        <v>12.8</v>
      </c>
    </row>
    <row r="253" spans="1:25" ht="29.25" thickBot="1" x14ac:dyDescent="0.25">
      <c r="A253" s="71">
        <f t="shared" si="6"/>
        <v>251</v>
      </c>
      <c r="B253" s="77" t="s">
        <v>417</v>
      </c>
      <c r="C253" s="78" t="str">
        <f>VLOOKUP(B253,'HECVAT - Full'!A:E,2,FALSE)</f>
        <v>Are you classified as a service provider?</v>
      </c>
      <c r="D253" s="71">
        <f>VLOOKUP(B253,'HECVAT - Full'!A:E,4,FALSE)</f>
        <v>0</v>
      </c>
      <c r="E253" s="79" t="b">
        <f>IF(Table1[[#This Row],[Column11]]&gt;20,TRUE,FALSE)</f>
        <v>0</v>
      </c>
      <c r="F253" s="86" t="s">
        <v>2045</v>
      </c>
      <c r="G253" s="80" t="s">
        <v>17</v>
      </c>
      <c r="H253" s="81">
        <v>1</v>
      </c>
      <c r="I253" s="71">
        <f>VLOOKUP(B253,'HECVAT - Full'!A:E,3,FALSE)</f>
        <v>0</v>
      </c>
      <c r="J253" s="71">
        <f>IF(Table1[[#This Row],[Column7]]=Table1[[#This Row],[Column9]],1,0)</f>
        <v>0</v>
      </c>
      <c r="K253" s="71">
        <f>IF(Table1[[#This Row],[Column8]]=1,20,"")</f>
        <v>20</v>
      </c>
      <c r="L253" s="71">
        <f>IF(Table1[[#This Row],[Column8]]=1,J253*K253,"")</f>
        <v>0</v>
      </c>
      <c r="M253" s="72">
        <f>VLOOKUP($B253,'Standards Crosswalk'!$A:$H,3,FALSE)</f>
        <v>0</v>
      </c>
      <c r="N253" s="72">
        <f>VLOOKUP($B253,'Standards Crosswalk'!$A:$H,4,FALSE)</f>
        <v>0</v>
      </c>
      <c r="O253" s="72">
        <f>VLOOKUP($B253,'Standards Crosswalk'!$A:$H,5,FALSE)</f>
        <v>0</v>
      </c>
      <c r="P253" s="72" t="str">
        <f>VLOOKUP($B253,'Standards Crosswalk'!$A:$H,6,FALSE)</f>
        <v>ID.GV-3</v>
      </c>
      <c r="Q253" s="72">
        <f>VLOOKUP($B253,'Standards Crosswalk'!$A:$H,7,FALSE)</f>
        <v>0</v>
      </c>
      <c r="R253" s="72">
        <f>VLOOKUP($B253,'Standards Crosswalk'!$A:$H,8,FALSE)</f>
        <v>0</v>
      </c>
      <c r="S253" s="72">
        <f>VLOOKUP($B253,'Standards Crosswalk'!$A:$I,9,FALSE)</f>
        <v>12.8</v>
      </c>
    </row>
    <row r="254" spans="1:25" ht="29.25" thickBot="1" x14ac:dyDescent="0.25">
      <c r="A254" s="71">
        <f t="shared" si="6"/>
        <v>252</v>
      </c>
      <c r="B254" s="77" t="s">
        <v>418</v>
      </c>
      <c r="C254" s="78" t="str">
        <f>VLOOKUP(B254,'HECVAT - Full'!A:E,2,FALSE)</f>
        <v xml:space="preserve">Are you on the list of VISA approved service providers? </v>
      </c>
      <c r="D254" s="71">
        <f>VLOOKUP(B254,'HECVAT - Full'!A:E,4,FALSE)</f>
        <v>0</v>
      </c>
      <c r="E254" s="79" t="b">
        <f>IF(Table1[[#This Row],[Column11]]&gt;20,TRUE,FALSE)</f>
        <v>0</v>
      </c>
      <c r="F254" s="86" t="s">
        <v>2045</v>
      </c>
      <c r="G254" s="80" t="s">
        <v>17</v>
      </c>
      <c r="H254" s="81">
        <v>1</v>
      </c>
      <c r="I254" s="71">
        <f>VLOOKUP(B254,'HECVAT - Full'!A:E,3,FALSE)</f>
        <v>0</v>
      </c>
      <c r="J254" s="71">
        <f>IF(Table1[[#This Row],[Column7]]=Table1[[#This Row],[Column9]],1,0)</f>
        <v>0</v>
      </c>
      <c r="K254" s="71">
        <f>IF(Table1[[#This Row],[Column8]]=1,20,"")</f>
        <v>20</v>
      </c>
      <c r="L254" s="71">
        <f>IF(Table1[[#This Row],[Column8]]=1,J254*K254,"")</f>
        <v>0</v>
      </c>
      <c r="M254" s="72">
        <f>VLOOKUP($B254,'Standards Crosswalk'!$A:$H,3,FALSE)</f>
        <v>0</v>
      </c>
      <c r="N254" s="72">
        <f>VLOOKUP($B254,'Standards Crosswalk'!$A:$H,4,FALSE)</f>
        <v>0</v>
      </c>
      <c r="O254" s="72">
        <f>VLOOKUP($B254,'Standards Crosswalk'!$A:$H,5,FALSE)</f>
        <v>0</v>
      </c>
      <c r="P254" s="72" t="str">
        <f>VLOOKUP($B254,'Standards Crosswalk'!$A:$H,6,FALSE)</f>
        <v>ID.GV-3</v>
      </c>
      <c r="Q254" s="72">
        <f>VLOOKUP($B254,'Standards Crosswalk'!$A:$H,7,FALSE)</f>
        <v>0</v>
      </c>
      <c r="R254" s="72">
        <f>VLOOKUP($B254,'Standards Crosswalk'!$A:$H,8,FALSE)</f>
        <v>0</v>
      </c>
      <c r="S254" s="72">
        <f>VLOOKUP($B254,'Standards Crosswalk'!$A:$I,9,FALSE)</f>
        <v>12.8</v>
      </c>
    </row>
    <row r="255" spans="1:25" ht="29.25" thickBot="1" x14ac:dyDescent="0.25">
      <c r="A255" s="71">
        <f t="shared" si="6"/>
        <v>253</v>
      </c>
      <c r="B255" s="77" t="s">
        <v>419</v>
      </c>
      <c r="C255" s="96" t="str">
        <f>VLOOKUP(B255,'HECVAT - Full'!A:E,2,FALSE)</f>
        <v>Are you classified as a merchant?  If so, what level (1, 2, 3, 4)?</v>
      </c>
      <c r="D255" s="94">
        <f>VLOOKUP(B255,'HECVAT - Full'!A:E,4,FALSE)</f>
        <v>0</v>
      </c>
      <c r="E255" s="79" t="b">
        <f>IF(Table1[[#This Row],[Column11]]&gt;20,TRUE,FALSE)</f>
        <v>1</v>
      </c>
      <c r="F255" s="86" t="s">
        <v>2045</v>
      </c>
      <c r="G255" s="80" t="s">
        <v>17</v>
      </c>
      <c r="H255" s="81">
        <v>1</v>
      </c>
      <c r="I255" s="94">
        <f>VLOOKUP(B255,'HECVAT - Full'!A:E,3,FALSE)</f>
        <v>0</v>
      </c>
      <c r="J255" s="71">
        <f>IF(VLOOKUP(Table1[[#This Row],[Column2]],'Analyst Report'!$A$41:$G$88,7,FALSE)="Yes",1,0)</f>
        <v>0</v>
      </c>
      <c r="K255" s="71">
        <f>IF(Table1[[#This Row],[Column8]]=1,25,"")</f>
        <v>25</v>
      </c>
      <c r="L255" s="71">
        <f>IF(Table1[[#This Row],[Column8]]=1,J255*K255,"")</f>
        <v>0</v>
      </c>
      <c r="M255" s="100">
        <f>VLOOKUP($B255,'Standards Crosswalk'!$A:$H,3,FALSE)</f>
        <v>0</v>
      </c>
      <c r="N255" s="100">
        <f>VLOOKUP($B255,'Standards Crosswalk'!$A:$H,4,FALSE)</f>
        <v>0</v>
      </c>
      <c r="O255" s="100">
        <f>VLOOKUP($B255,'Standards Crosswalk'!$A:$H,5,FALSE)</f>
        <v>0</v>
      </c>
      <c r="P255" s="100" t="str">
        <f>VLOOKUP($B255,'Standards Crosswalk'!$A:$H,6,FALSE)</f>
        <v>ID.GV-3</v>
      </c>
      <c r="Q255" s="100">
        <f>VLOOKUP($B255,'Standards Crosswalk'!$A:$H,7,FALSE)</f>
        <v>0</v>
      </c>
      <c r="R255" s="100">
        <f>VLOOKUP($B255,'Standards Crosswalk'!$A:$H,8,FALSE)</f>
        <v>0</v>
      </c>
      <c r="S255" s="72">
        <f>VLOOKUP($B255,'Standards Crosswalk'!$A:$I,9,FALSE)</f>
        <v>12.8</v>
      </c>
      <c r="T255" s="94"/>
      <c r="U255" s="94"/>
      <c r="V255" s="94"/>
      <c r="W255" s="94"/>
      <c r="X255" s="94"/>
      <c r="Y255" s="94"/>
    </row>
    <row r="256" spans="1:25" ht="43.5" thickBot="1" x14ac:dyDescent="0.25">
      <c r="A256" s="71">
        <f t="shared" si="6"/>
        <v>254</v>
      </c>
      <c r="B256" s="77" t="s">
        <v>420</v>
      </c>
      <c r="C256" s="96" t="str">
        <f>VLOOKUP(B256,'HECVAT - Full'!A:E,2,FALSE)</f>
        <v>Describe the architecture employed by the system to verify and authorize credit card transactions.</v>
      </c>
      <c r="D256" s="94">
        <f>VLOOKUP(B256,'HECVAT - Full'!A:E,4,FALSE)</f>
        <v>0</v>
      </c>
      <c r="E256" s="79" t="b">
        <f>IF(Table1[[#This Row],[Column11]]&gt;20,TRUE,FALSE)</f>
        <v>0</v>
      </c>
      <c r="F256" s="86" t="s">
        <v>2045</v>
      </c>
      <c r="G256" s="80" t="s">
        <v>17</v>
      </c>
      <c r="H256" s="81">
        <v>1</v>
      </c>
      <c r="I256" s="94">
        <f>VLOOKUP(B256,'HECVAT - Full'!A:E,3,FALSE)</f>
        <v>0</v>
      </c>
      <c r="J256" s="71">
        <f>IF(VLOOKUP(Table1[[#This Row],[Column2]],'Analyst Report'!$A$41:$G$88,7,FALSE)="Yes",1,0)</f>
        <v>0</v>
      </c>
      <c r="K256" s="71">
        <f>IF(Table1[[#This Row],[Column8]]=1,20,"")</f>
        <v>20</v>
      </c>
      <c r="L256" s="71">
        <f>IF(Table1[[#This Row],[Column8]]=1,J256*K256,"")</f>
        <v>0</v>
      </c>
      <c r="M256" s="100" t="str">
        <f>VLOOKUP($B256,'Standards Crosswalk'!$A:$H,3,FALSE)</f>
        <v>CSC 1, CSC 2</v>
      </c>
      <c r="N256" s="100">
        <f>VLOOKUP($B256,'Standards Crosswalk'!$A:$H,4,FALSE)</f>
        <v>0</v>
      </c>
      <c r="O256" s="100">
        <f>VLOOKUP($B256,'Standards Crosswalk'!$A:$H,5,FALSE)</f>
        <v>0</v>
      </c>
      <c r="P256" s="100" t="str">
        <f>VLOOKUP($B256,'Standards Crosswalk'!$A:$H,6,FALSE)</f>
        <v>ID.GV-3</v>
      </c>
      <c r="Q256" s="100">
        <f>VLOOKUP($B256,'Standards Crosswalk'!$A:$H,7,FALSE)</f>
        <v>0</v>
      </c>
      <c r="R256" s="100">
        <f>VLOOKUP($B256,'Standards Crosswalk'!$A:$H,8,FALSE)</f>
        <v>0</v>
      </c>
      <c r="S256" s="72" t="str">
        <f>VLOOKUP($B256,'Standards Crosswalk'!$A:$I,9,FALSE)</f>
        <v>PCI Scope</v>
      </c>
      <c r="T256" s="94"/>
      <c r="U256" s="94"/>
      <c r="V256" s="94"/>
      <c r="W256" s="94"/>
      <c r="X256" s="94"/>
      <c r="Y256" s="94"/>
    </row>
    <row r="257" spans="1:25" ht="43.5" thickBot="1" x14ac:dyDescent="0.25">
      <c r="A257" s="71">
        <f t="shared" si="6"/>
        <v>255</v>
      </c>
      <c r="B257" s="77" t="s">
        <v>421</v>
      </c>
      <c r="C257" s="96" t="str">
        <f>VLOOKUP(B257,'HECVAT - Full'!A:E,2,FALSE)</f>
        <v xml:space="preserve">What payment processors/gateways does the system support? </v>
      </c>
      <c r="D257" s="94">
        <f>VLOOKUP(B257,'HECVAT - Full'!A:E,4,FALSE)</f>
        <v>0</v>
      </c>
      <c r="E257" s="79" t="b">
        <f>IF(Table1[[#This Row],[Column11]]&gt;20,TRUE,FALSE)</f>
        <v>0</v>
      </c>
      <c r="F257" s="86" t="s">
        <v>2045</v>
      </c>
      <c r="G257" s="80" t="s">
        <v>17</v>
      </c>
      <c r="H257" s="81">
        <v>1</v>
      </c>
      <c r="I257" s="94">
        <f>VLOOKUP(B257,'HECVAT - Full'!A:E,3,FALSE)</f>
        <v>0</v>
      </c>
      <c r="J257" s="71">
        <f>IF(VLOOKUP(Table1[[#This Row],[Column2]],'Analyst Report'!$A$41:$G$88,7,FALSE)="Yes",1,0)</f>
        <v>0</v>
      </c>
      <c r="K257" s="71">
        <f>IF(Table1[[#This Row],[Column8]]=1,20,"")</f>
        <v>20</v>
      </c>
      <c r="L257" s="71">
        <f>IF(Table1[[#This Row],[Column8]]=1,J257*K257,"")</f>
        <v>0</v>
      </c>
      <c r="M257" s="100" t="str">
        <f>VLOOKUP($B257,'Standards Crosswalk'!$A:$H,3,FALSE)</f>
        <v>CSC 18</v>
      </c>
      <c r="N257" s="100">
        <f>VLOOKUP($B257,'Standards Crosswalk'!$A:$H,4,FALSE)</f>
        <v>0</v>
      </c>
      <c r="O257" s="100">
        <f>VLOOKUP($B257,'Standards Crosswalk'!$A:$H,5,FALSE)</f>
        <v>0</v>
      </c>
      <c r="P257" s="100" t="str">
        <f>VLOOKUP($B257,'Standards Crosswalk'!$A:$H,6,FALSE)</f>
        <v>ID.GV-3</v>
      </c>
      <c r="Q257" s="100">
        <f>VLOOKUP($B257,'Standards Crosswalk'!$A:$H,7,FALSE)</f>
        <v>0</v>
      </c>
      <c r="R257" s="100">
        <f>VLOOKUP($B257,'Standards Crosswalk'!$A:$H,8,FALSE)</f>
        <v>0</v>
      </c>
      <c r="S257" s="72">
        <f>VLOOKUP($B257,'Standards Crosswalk'!$A:$I,9,FALSE)</f>
        <v>12.8</v>
      </c>
      <c r="T257" s="94"/>
      <c r="U257" s="94"/>
      <c r="V257" s="94"/>
      <c r="W257" s="94"/>
      <c r="X257" s="94"/>
      <c r="Y257" s="94"/>
    </row>
    <row r="258" spans="1:25" ht="29.25" thickBot="1" x14ac:dyDescent="0.25">
      <c r="A258" s="71">
        <f t="shared" si="6"/>
        <v>256</v>
      </c>
      <c r="B258" s="77" t="s">
        <v>422</v>
      </c>
      <c r="C258" s="78" t="str">
        <f>VLOOKUP(B258,'HECVAT - Full'!A:E,2,FALSE)</f>
        <v>Can the application be installed in a PCI DSS compliant manner ?</v>
      </c>
      <c r="D258" s="71">
        <f>VLOOKUP(B258,'HECVAT - Full'!A:E,4,FALSE)</f>
        <v>0</v>
      </c>
      <c r="E258" s="79" t="b">
        <f>IF(Table1[[#This Row],[Column11]]&gt;20,TRUE,FALSE)</f>
        <v>1</v>
      </c>
      <c r="F258" s="86" t="s">
        <v>2045</v>
      </c>
      <c r="G258" s="80" t="s">
        <v>17</v>
      </c>
      <c r="H258" s="81">
        <v>1</v>
      </c>
      <c r="I258" s="71">
        <f>VLOOKUP(B258,'HECVAT - Full'!A:E,3,FALSE)</f>
        <v>0</v>
      </c>
      <c r="J258" s="71">
        <f>IF(Table1[[#This Row],[Column7]]=Table1[[#This Row],[Column9]],1,0)</f>
        <v>0</v>
      </c>
      <c r="K258" s="71">
        <f>IF(Table1[[#This Row],[Column8]]=1,25,"")</f>
        <v>25</v>
      </c>
      <c r="L258" s="71">
        <f>IF(Table1[[#This Row],[Column8]]=1,J258*K258,"")</f>
        <v>0</v>
      </c>
      <c r="M258" s="72" t="str">
        <f>VLOOKUP($B258,'Standards Crosswalk'!$A:$H,3,FALSE)</f>
        <v>CSC 10</v>
      </c>
      <c r="N258" s="72">
        <f>VLOOKUP($B258,'Standards Crosswalk'!$A:$H,4,FALSE)</f>
        <v>0</v>
      </c>
      <c r="O258" s="72">
        <f>VLOOKUP($B258,'Standards Crosswalk'!$A:$H,5,FALSE)</f>
        <v>0</v>
      </c>
      <c r="P258" s="72" t="str">
        <f>VLOOKUP($B258,'Standards Crosswalk'!$A:$H,6,FALSE)</f>
        <v>ID.GV-3</v>
      </c>
      <c r="Q258" s="72">
        <f>VLOOKUP($B258,'Standards Crosswalk'!$A:$H,7,FALSE)</f>
        <v>0</v>
      </c>
      <c r="R258" s="72">
        <f>VLOOKUP($B258,'Standards Crosswalk'!$A:$H,8,FALSE)</f>
        <v>0</v>
      </c>
      <c r="S258" s="72">
        <f>VLOOKUP($B258,'Standards Crosswalk'!$A:$I,9,FALSE)</f>
        <v>12.8</v>
      </c>
    </row>
    <row r="259" spans="1:25" ht="29.25" thickBot="1" x14ac:dyDescent="0.25">
      <c r="A259" s="71">
        <f t="shared" si="6"/>
        <v>257</v>
      </c>
      <c r="B259" s="77" t="s">
        <v>423</v>
      </c>
      <c r="C259" s="78" t="str">
        <f>VLOOKUP(B259,'HECVAT - Full'!A:E,2,FALSE)</f>
        <v xml:space="preserve">Is the application listed as an approved PA-DSS application? </v>
      </c>
      <c r="D259" s="71">
        <f>VLOOKUP(B259,'HECVAT - Full'!A:E,4,FALSE)</f>
        <v>0</v>
      </c>
      <c r="E259" s="79" t="b">
        <f>IF(Table1[[#This Row],[Column11]]&gt;20,TRUE,FALSE)</f>
        <v>0</v>
      </c>
      <c r="F259" s="86" t="s">
        <v>2045</v>
      </c>
      <c r="G259" s="80" t="s">
        <v>17</v>
      </c>
      <c r="H259" s="81">
        <v>1</v>
      </c>
      <c r="I259" s="71">
        <f>VLOOKUP(B259,'HECVAT - Full'!A:E,3,FALSE)</f>
        <v>0</v>
      </c>
      <c r="J259" s="71">
        <f>IF(Table1[[#This Row],[Column7]]=Table1[[#This Row],[Column9]],1,0)</f>
        <v>0</v>
      </c>
      <c r="K259" s="71">
        <f>IF(Table1[[#This Row],[Column8]]=1,20,"")</f>
        <v>20</v>
      </c>
      <c r="L259" s="71">
        <f>IF(Table1[[#This Row],[Column8]]=1,J259*K259,"")</f>
        <v>0</v>
      </c>
      <c r="M259" s="72">
        <f>VLOOKUP($B259,'Standards Crosswalk'!$A:$H,3,FALSE)</f>
        <v>0</v>
      </c>
      <c r="N259" s="72">
        <f>VLOOKUP($B259,'Standards Crosswalk'!$A:$H,4,FALSE)</f>
        <v>0</v>
      </c>
      <c r="O259" s="72">
        <f>VLOOKUP($B259,'Standards Crosswalk'!$A:$H,5,FALSE)</f>
        <v>0</v>
      </c>
      <c r="P259" s="72" t="str">
        <f>VLOOKUP($B259,'Standards Crosswalk'!$A:$H,6,FALSE)</f>
        <v>ID.GV-3</v>
      </c>
      <c r="Q259" s="72">
        <f>VLOOKUP($B259,'Standards Crosswalk'!$A:$H,7,FALSE)</f>
        <v>0</v>
      </c>
      <c r="R259" s="72">
        <f>VLOOKUP($B259,'Standards Crosswalk'!$A:$H,8,FALSE)</f>
        <v>0</v>
      </c>
      <c r="S259" s="72">
        <f>VLOOKUP($B259,'Standards Crosswalk'!$A:$I,9,FALSE)</f>
        <v>12.8</v>
      </c>
    </row>
    <row r="260" spans="1:25" ht="57.75" thickBot="1" x14ac:dyDescent="0.25">
      <c r="A260" s="71">
        <f t="shared" ref="A260:A268" si="7">A259+1</f>
        <v>258</v>
      </c>
      <c r="B260" s="77" t="s">
        <v>424</v>
      </c>
      <c r="C260" s="78" t="str">
        <f>VLOOKUP(B260,'HECVAT - Full'!A:E,2,FALSE)</f>
        <v>Does the system or products use a third party to collect, store, process, or transmit cardholder (payment/credit/debt card) data?</v>
      </c>
      <c r="D260" s="71">
        <f>VLOOKUP(B260,'HECVAT - Full'!A:E,4,FALSE)</f>
        <v>0</v>
      </c>
      <c r="E260" s="79" t="b">
        <f>IF(Table1[[#This Row],[Column11]]&gt;20,TRUE,FALSE)</f>
        <v>0</v>
      </c>
      <c r="F260" s="86" t="s">
        <v>2045</v>
      </c>
      <c r="G260" s="80" t="s">
        <v>20</v>
      </c>
      <c r="H260" s="81">
        <v>1</v>
      </c>
      <c r="I260" s="71">
        <f>VLOOKUP(B260,'HECVAT - Full'!A:E,3,FALSE)</f>
        <v>0</v>
      </c>
      <c r="J260" s="71">
        <f>IF(Table1[[#This Row],[Column7]]=Table1[[#This Row],[Column9]],1,0)</f>
        <v>0</v>
      </c>
      <c r="K260" s="71">
        <f>IF(Table1[[#This Row],[Column8]]=1,20,"")</f>
        <v>20</v>
      </c>
      <c r="L260" s="71">
        <f>IF(Table1[[#This Row],[Column8]]=1,J260*K260,"")</f>
        <v>0</v>
      </c>
      <c r="M260" s="72" t="str">
        <f>VLOOKUP($B260,'Standards Crosswalk'!$A:$H,3,FALSE)</f>
        <v>CSC 12, CSC 13</v>
      </c>
      <c r="N260" s="72">
        <f>VLOOKUP($B260,'Standards Crosswalk'!$A:$H,4,FALSE)</f>
        <v>0</v>
      </c>
      <c r="O260" s="72">
        <f>VLOOKUP($B260,'Standards Crosswalk'!$A:$H,5,FALSE)</f>
        <v>0</v>
      </c>
      <c r="P260" s="72" t="str">
        <f>VLOOKUP($B260,'Standards Crosswalk'!$A:$H,6,FALSE)</f>
        <v>ID.GV-3</v>
      </c>
      <c r="Q260" s="72">
        <f>VLOOKUP($B260,'Standards Crosswalk'!$A:$H,7,FALSE)</f>
        <v>0</v>
      </c>
      <c r="R260" s="72">
        <f>VLOOKUP($B260,'Standards Crosswalk'!$A:$H,8,FALSE)</f>
        <v>0</v>
      </c>
      <c r="S260" s="72">
        <f>VLOOKUP($B260,'Standards Crosswalk'!$A:$I,9,FALSE)</f>
        <v>12.8</v>
      </c>
    </row>
    <row r="261" spans="1:25" ht="100.5" thickBot="1" x14ac:dyDescent="0.25">
      <c r="A261" s="71">
        <f t="shared" si="7"/>
        <v>259</v>
      </c>
      <c r="B261" s="77" t="s">
        <v>425</v>
      </c>
      <c r="C261" s="78" t="str">
        <f>VLOOKUP(B261,'HECVAT - Full'!A:E,2,FALSE)</f>
        <v xml:space="preserve">Include documentation describing the systems' abilities to comply with the PCI DSS and any features or capabilities of the system that must be added or changed in order to operate in compliance with the standards. </v>
      </c>
      <c r="D261" s="71">
        <f>VLOOKUP(B261,'HECVAT - Full'!A:E,4,FALSE)</f>
        <v>0</v>
      </c>
      <c r="E261" s="79" t="b">
        <f>IF(Table1[[#This Row],[Column11]]&gt;20,TRUE,FALSE)</f>
        <v>0</v>
      </c>
      <c r="F261" s="86" t="s">
        <v>2045</v>
      </c>
      <c r="G261" s="80" t="s">
        <v>20</v>
      </c>
      <c r="H261" s="81">
        <v>1</v>
      </c>
      <c r="I261" s="71">
        <f>VLOOKUP(B261,'HECVAT - Full'!A:E,3,FALSE)</f>
        <v>0</v>
      </c>
      <c r="J261" s="71">
        <f>IF(VLOOKUP(Table1[[#This Row],[Column2]],'Analyst Report'!$A$41:$G$88,7,FALSE)="Yes",1,0)</f>
        <v>0</v>
      </c>
      <c r="K261" s="71">
        <f>IF(Table1[[#This Row],[Column8]]=1,20,"")</f>
        <v>20</v>
      </c>
      <c r="L261" s="71">
        <f>IF(Table1[[#This Row],[Column8]]=1,J261*K261,"")</f>
        <v>0</v>
      </c>
      <c r="M261" s="72" t="str">
        <f>VLOOKUP($B261,'Standards Crosswalk'!$A:$H,3,FALSE)</f>
        <v>CSC 10</v>
      </c>
      <c r="N261" s="72">
        <f>VLOOKUP($B261,'Standards Crosswalk'!$A:$H,4,FALSE)</f>
        <v>0</v>
      </c>
      <c r="O261" s="72">
        <f>VLOOKUP($B261,'Standards Crosswalk'!$A:$H,5,FALSE)</f>
        <v>0</v>
      </c>
      <c r="P261" s="72" t="str">
        <f>VLOOKUP($B261,'Standards Crosswalk'!$A:$H,6,FALSE)</f>
        <v>ID.GV-3</v>
      </c>
      <c r="Q261" s="72">
        <f>VLOOKUP($B261,'Standards Crosswalk'!$A:$H,7,FALSE)</f>
        <v>0</v>
      </c>
      <c r="R261" s="72">
        <f>VLOOKUP($B261,'Standards Crosswalk'!$A:$H,8,FALSE)</f>
        <v>0</v>
      </c>
      <c r="S261" s="72">
        <f>VLOOKUP($B261,'Standards Crosswalk'!$A:$I,9,FALSE)</f>
        <v>12.8</v>
      </c>
    </row>
    <row r="262" spans="1:25" ht="57.75" thickBot="1" x14ac:dyDescent="0.25">
      <c r="A262" s="71">
        <f t="shared" si="7"/>
        <v>260</v>
      </c>
      <c r="B262" s="127" t="s">
        <v>177</v>
      </c>
      <c r="C262" s="128" t="str">
        <f>VLOOKUP(B262,'HECVAT - Full'!A:E,2,FALSE)</f>
        <v>Describe your organization’s business background and ownership structure, including all parent and subsidiary relationships.</v>
      </c>
      <c r="D262" s="126">
        <f>VLOOKUP(B262,'HECVAT - Full'!A:E,4,FALSE)</f>
        <v>0</v>
      </c>
      <c r="E262" s="129" t="b">
        <f>IF(Table1[[#This Row],[Column11]]&gt;20,TRUE,FALSE)</f>
        <v>0</v>
      </c>
      <c r="F262" s="130" t="s">
        <v>2559</v>
      </c>
      <c r="G262" s="131"/>
      <c r="H262" s="132">
        <v>1</v>
      </c>
      <c r="I262" s="126">
        <f>VLOOKUP(B262,'HECVAT - Full'!A:E,3,FALSE)</f>
        <v>0</v>
      </c>
      <c r="J262" s="126">
        <f>IF(VLOOKUP(Table1[[#This Row],[Column2]],'Analyst Report'!$A$38:$G$88,7,FALSE)="Yes",1,0)</f>
        <v>0</v>
      </c>
      <c r="K262" s="126">
        <f>IF(Table1[[#This Row],[Column8]]=1,10,"")</f>
        <v>10</v>
      </c>
      <c r="L262" s="71">
        <f>IF(Table1[[#This Row],[Column8]]=1,J262*K262,"")</f>
        <v>0</v>
      </c>
      <c r="M262" s="133">
        <f>VLOOKUP($B262,'Standards Crosswalk'!$A:$H,3,FALSE)</f>
        <v>0</v>
      </c>
      <c r="N262" s="133">
        <f>VLOOKUP($B262,'Standards Crosswalk'!$A:$H,4,FALSE)</f>
        <v>0</v>
      </c>
      <c r="O262" s="133">
        <f>VLOOKUP($B262,'Standards Crosswalk'!$A:$H,5,FALSE)</f>
        <v>0</v>
      </c>
      <c r="P262" s="133">
        <f>VLOOKUP($B262,'Standards Crosswalk'!$A:$H,6,FALSE)</f>
        <v>0</v>
      </c>
      <c r="Q262" s="133">
        <f>VLOOKUP($B262,'Standards Crosswalk'!$A:$H,7,FALSE)</f>
        <v>0</v>
      </c>
      <c r="R262" s="133">
        <f>VLOOKUP($B262,'Standards Crosswalk'!$A:$H,8,FALSE)</f>
        <v>0</v>
      </c>
      <c r="S262" s="133">
        <f>VLOOKUP($B262,'Standards Crosswalk'!$A:$I,9,FALSE)</f>
        <v>12.8</v>
      </c>
    </row>
    <row r="263" spans="1:25" ht="43.5" thickBot="1" x14ac:dyDescent="0.25">
      <c r="A263" s="71">
        <f t="shared" si="7"/>
        <v>261</v>
      </c>
      <c r="B263" s="127" t="s">
        <v>178</v>
      </c>
      <c r="C263" s="128" t="str">
        <f>VLOOKUP(B263,'HECVAT - Full'!A:E,2,FALSE)</f>
        <v>Describe how long your organization has conducted business in this product area.</v>
      </c>
      <c r="D263" s="126">
        <f>VLOOKUP(B263,'HECVAT - Full'!A:E,4,FALSE)</f>
        <v>0</v>
      </c>
      <c r="E263" s="129" t="b">
        <f>IF(Table1[[#This Row],[Column11]]&gt;20,TRUE,FALSE)</f>
        <v>0</v>
      </c>
      <c r="F263" s="130" t="s">
        <v>2559</v>
      </c>
      <c r="G263" s="131"/>
      <c r="H263" s="132">
        <v>1</v>
      </c>
      <c r="I263" s="126">
        <f>VLOOKUP(B263,'HECVAT - Full'!A:E,3,FALSE)</f>
        <v>0</v>
      </c>
      <c r="J263" s="126">
        <f>IF(VLOOKUP(Table1[[#This Row],[Column2]],'Analyst Report'!$A$38:$G$88,7,FALSE)="Yes",1,0)</f>
        <v>0</v>
      </c>
      <c r="K263" s="126">
        <f>IF(Table1[[#This Row],[Column8]]=1,10,"")</f>
        <v>10</v>
      </c>
      <c r="L263" s="71">
        <f>IF(Table1[[#This Row],[Column8]]=1,J263*K263,"")</f>
        <v>0</v>
      </c>
      <c r="M263" s="133">
        <f>VLOOKUP($B263,'Standards Crosswalk'!$A:$H,3,FALSE)</f>
        <v>0</v>
      </c>
      <c r="N263" s="133">
        <f>VLOOKUP($B263,'Standards Crosswalk'!$A:$H,4,FALSE)</f>
        <v>0</v>
      </c>
      <c r="O263" s="133">
        <f>VLOOKUP($B263,'Standards Crosswalk'!$A:$H,5,FALSE)</f>
        <v>0</v>
      </c>
      <c r="P263" s="133">
        <f>VLOOKUP($B263,'Standards Crosswalk'!$A:$H,6,FALSE)</f>
        <v>0</v>
      </c>
      <c r="Q263" s="133">
        <f>VLOOKUP($B263,'Standards Crosswalk'!$A:$H,7,FALSE)</f>
        <v>0</v>
      </c>
      <c r="R263" s="133">
        <f>VLOOKUP($B263,'Standards Crosswalk'!$A:$H,8,FALSE)</f>
        <v>0</v>
      </c>
      <c r="S263" s="133">
        <f>VLOOKUP($B263,'Standards Crosswalk'!$A:$I,9,FALSE)</f>
        <v>12.8</v>
      </c>
    </row>
    <row r="264" spans="1:25" ht="29.25" thickBot="1" x14ac:dyDescent="0.25">
      <c r="A264" s="71">
        <f t="shared" si="7"/>
        <v>262</v>
      </c>
      <c r="B264" s="127" t="s">
        <v>179</v>
      </c>
      <c r="C264" s="128" t="str">
        <f>VLOOKUP(B264,'HECVAT - Full'!A:E,2,FALSE)</f>
        <v>Do you have existing higher education customers?</v>
      </c>
      <c r="D264" s="126">
        <f>VLOOKUP(B264,'HECVAT - Full'!A:E,4,FALSE)</f>
        <v>0</v>
      </c>
      <c r="E264" s="129" t="b">
        <f>IF(Table1[[#This Row],[Column11]]&gt;20,TRUE,FALSE)</f>
        <v>0</v>
      </c>
      <c r="F264" s="130" t="s">
        <v>2559</v>
      </c>
      <c r="G264" s="131" t="s">
        <v>17</v>
      </c>
      <c r="H264" s="132">
        <v>1</v>
      </c>
      <c r="I264" s="126">
        <f>VLOOKUP(B264,'HECVAT - Full'!A:E,3,FALSE)</f>
        <v>0</v>
      </c>
      <c r="J264" s="71">
        <f>IF(Table1[[#This Row],[Column7]]=Table1[[#This Row],[Column9]],1,0)</f>
        <v>0</v>
      </c>
      <c r="K264" s="126">
        <f>IF(Table1[[#This Row],[Column8]]=1,10,"")</f>
        <v>10</v>
      </c>
      <c r="L264" s="71">
        <f>IF(Table1[[#This Row],[Column8]]=1,J264*K264,"")</f>
        <v>0</v>
      </c>
      <c r="M264" s="133">
        <f>VLOOKUP($B264,'Standards Crosswalk'!$A:$H,3,FALSE)</f>
        <v>0</v>
      </c>
      <c r="N264" s="133">
        <f>VLOOKUP($B264,'Standards Crosswalk'!$A:$H,4,FALSE)</f>
        <v>0</v>
      </c>
      <c r="O264" s="133" t="str">
        <f>VLOOKUP($B264,'Standards Crosswalk'!$A:$H,5,FALSE)</f>
        <v>15.2.1</v>
      </c>
      <c r="P264" s="133">
        <f>VLOOKUP($B264,'Standards Crosswalk'!$A:$H,6,FALSE)</f>
        <v>0</v>
      </c>
      <c r="Q264" s="133">
        <f>VLOOKUP($B264,'Standards Crosswalk'!$A:$H,7,FALSE)</f>
        <v>0</v>
      </c>
      <c r="R264" s="133">
        <f>VLOOKUP($B264,'Standards Crosswalk'!$A:$H,8,FALSE)</f>
        <v>0</v>
      </c>
      <c r="S264" s="133">
        <f>VLOOKUP($B264,'Standards Crosswalk'!$A:$I,9,FALSE)</f>
        <v>12.8</v>
      </c>
    </row>
    <row r="265" spans="1:25" ht="29.25" thickBot="1" x14ac:dyDescent="0.25">
      <c r="A265" s="71">
        <f t="shared" si="7"/>
        <v>263</v>
      </c>
      <c r="B265" s="127" t="s">
        <v>180</v>
      </c>
      <c r="C265" s="128" t="str">
        <f>VLOOKUP(B265,'HECVAT - Full'!A:E,2,FALSE)</f>
        <v>Have you had a significant breach in the last 5 years?</v>
      </c>
      <c r="D265" s="126">
        <f>VLOOKUP(B265,'HECVAT - Full'!A:E,4,FALSE)</f>
        <v>0</v>
      </c>
      <c r="E265" s="129" t="b">
        <f>IF(Table1[[#This Row],[Column11]]&gt;20,TRUE,FALSE)</f>
        <v>1</v>
      </c>
      <c r="F265" s="130" t="s">
        <v>2559</v>
      </c>
      <c r="G265" s="131" t="s">
        <v>20</v>
      </c>
      <c r="H265" s="132">
        <v>1</v>
      </c>
      <c r="I265" s="126">
        <f>VLOOKUP(B265,'HECVAT - Full'!A:E,3,FALSE)</f>
        <v>0</v>
      </c>
      <c r="J265" s="71">
        <f>IF(Table1[[#This Row],[Column7]]=Table1[[#This Row],[Column9]],1,0)</f>
        <v>0</v>
      </c>
      <c r="K265" s="126">
        <f>IF(Table1[[#This Row],[Column8]]=1,25,"")</f>
        <v>25</v>
      </c>
      <c r="L265" s="71">
        <f>IF(Table1[[#This Row],[Column8]]=1,J265*K265,"")</f>
        <v>0</v>
      </c>
      <c r="M265" s="133">
        <f>VLOOKUP($B265,'Standards Crosswalk'!$A:$H,3,FALSE)</f>
        <v>0</v>
      </c>
      <c r="N265" s="133">
        <f>VLOOKUP($B265,'Standards Crosswalk'!$A:$H,4,FALSE)</f>
        <v>0</v>
      </c>
      <c r="O265" s="133">
        <f>VLOOKUP($B265,'Standards Crosswalk'!$A:$H,5,FALSE)</f>
        <v>0</v>
      </c>
      <c r="P265" s="133">
        <f>VLOOKUP($B265,'Standards Crosswalk'!$A:$H,6,FALSE)</f>
        <v>0</v>
      </c>
      <c r="Q265" s="133">
        <f>VLOOKUP($B265,'Standards Crosswalk'!$A:$H,7,FALSE)</f>
        <v>0</v>
      </c>
      <c r="R265" s="133">
        <f>VLOOKUP($B265,'Standards Crosswalk'!$A:$H,8,FALSE)</f>
        <v>0</v>
      </c>
      <c r="S265" s="133">
        <f>VLOOKUP($B265,'Standards Crosswalk'!$A:$I,9,FALSE)</f>
        <v>0</v>
      </c>
    </row>
    <row r="266" spans="1:25" ht="29.25" thickBot="1" x14ac:dyDescent="0.25">
      <c r="A266" s="71">
        <f t="shared" si="7"/>
        <v>264</v>
      </c>
      <c r="B266" s="127" t="s">
        <v>181</v>
      </c>
      <c r="C266" s="128" t="str">
        <f>VLOOKUP(B266,'HECVAT - Full'!A:E,2,FALSE)</f>
        <v>Do you have a dedicated Information Security staff or office?</v>
      </c>
      <c r="D266" s="126">
        <f>VLOOKUP(B266,'HECVAT - Full'!A:E,4,FALSE)</f>
        <v>0</v>
      </c>
      <c r="E266" s="129" t="b">
        <f>IF(Table1[[#This Row],[Column11]]&gt;20,TRUE,FALSE)</f>
        <v>1</v>
      </c>
      <c r="F266" s="130" t="s">
        <v>2559</v>
      </c>
      <c r="G266" s="131" t="s">
        <v>17</v>
      </c>
      <c r="H266" s="132">
        <v>1</v>
      </c>
      <c r="I266" s="126">
        <f>VLOOKUP(B266,'HECVAT - Full'!A:E,3,FALSE)</f>
        <v>0</v>
      </c>
      <c r="J266" s="71">
        <f>IF(Table1[[#This Row],[Column7]]=Table1[[#This Row],[Column9]],1,0)</f>
        <v>0</v>
      </c>
      <c r="K266" s="126">
        <f>IF(Table1[[#This Row],[Column8]]=1,25,"")</f>
        <v>25</v>
      </c>
      <c r="L266" s="71">
        <f>IF(Table1[[#This Row],[Column8]]=1,J266*K266,"")</f>
        <v>0</v>
      </c>
      <c r="M266" s="133">
        <f>VLOOKUP($B266,'Standards Crosswalk'!$A:$H,3,FALSE)</f>
        <v>0</v>
      </c>
      <c r="N266" s="133">
        <f>VLOOKUP($B266,'Standards Crosswalk'!$A:$H,4,FALSE)</f>
        <v>0</v>
      </c>
      <c r="O266" s="133" t="str">
        <f>VLOOKUP($B266,'Standards Crosswalk'!$A:$H,5,FALSE)</f>
        <v>15.2.1</v>
      </c>
      <c r="P266" s="133">
        <f>VLOOKUP($B266,'Standards Crosswalk'!$A:$H,6,FALSE)</f>
        <v>0</v>
      </c>
      <c r="Q266" s="133">
        <f>VLOOKUP($B266,'Standards Crosswalk'!$A:$H,7,FALSE)</f>
        <v>0</v>
      </c>
      <c r="R266" s="133">
        <f>VLOOKUP($B266,'Standards Crosswalk'!$A:$H,8,FALSE)</f>
        <v>0</v>
      </c>
      <c r="S266" s="133" t="str">
        <f>VLOOKUP($B266,'Standards Crosswalk'!$A:$I,9,FALSE)</f>
        <v>12.8, 12.5</v>
      </c>
    </row>
    <row r="267" spans="1:25" ht="72" thickBot="1" x14ac:dyDescent="0.25">
      <c r="A267" s="71">
        <f t="shared" si="7"/>
        <v>265</v>
      </c>
      <c r="B267" s="127" t="s">
        <v>182</v>
      </c>
      <c r="C267" s="128" t="str">
        <f>VLOOKUP(B267,'HECVAT - Full'!A:E,2,FALSE)</f>
        <v>Do you have a dedicated Software and System Development team(s)? (e.g. Customer Support, Implementation, Product Management, etc.)</v>
      </c>
      <c r="D267" s="126">
        <f>VLOOKUP(B267,'HECVAT - Full'!A:E,4,FALSE)</f>
        <v>0</v>
      </c>
      <c r="E267" s="129" t="b">
        <f>IF(Table1[[#This Row],[Column11]]&gt;20,TRUE,FALSE)</f>
        <v>0</v>
      </c>
      <c r="F267" s="130" t="s">
        <v>2559</v>
      </c>
      <c r="G267" s="131" t="s">
        <v>17</v>
      </c>
      <c r="H267" s="132">
        <v>1</v>
      </c>
      <c r="I267" s="126">
        <f>VLOOKUP(B267,'HECVAT - Full'!A:E,3,FALSE)</f>
        <v>0</v>
      </c>
      <c r="J267" s="126">
        <f>IF(Table1[[#This Row],[Column7]]=Table1[[#This Row],[Column9]],1,0)</f>
        <v>0</v>
      </c>
      <c r="K267" s="126">
        <f>IF(Table1[[#This Row],[Column8]]=1,15,"")</f>
        <v>15</v>
      </c>
      <c r="L267" s="71">
        <f>IF(Table1[[#This Row],[Column8]]=1,J267*K267,"")</f>
        <v>0</v>
      </c>
      <c r="M267" s="133">
        <f>VLOOKUP($B267,'Standards Crosswalk'!$A:$H,3,FALSE)</f>
        <v>0</v>
      </c>
      <c r="N267" s="133">
        <f>VLOOKUP($B267,'Standards Crosswalk'!$A:$H,4,FALSE)</f>
        <v>0</v>
      </c>
      <c r="O267" s="133" t="str">
        <f>VLOOKUP($B267,'Standards Crosswalk'!$A:$H,5,FALSE)</f>
        <v>14.2.1</v>
      </c>
      <c r="P267" s="133">
        <f>VLOOKUP($B267,'Standards Crosswalk'!$A:$H,6,FALSE)</f>
        <v>0</v>
      </c>
      <c r="Q267" s="133">
        <f>VLOOKUP($B267,'Standards Crosswalk'!$A:$H,7,FALSE)</f>
        <v>0</v>
      </c>
      <c r="R267" s="133" t="str">
        <f>VLOOKUP($B267,'Standards Crosswalk'!$A:$H,8,FALSE)</f>
        <v xml:space="preserve">SA-3, SA-15, SC-2, PM-2, PM-10, SI-5,PM-3 </v>
      </c>
      <c r="S267" s="133">
        <f>VLOOKUP($B267,'Standards Crosswalk'!$A:$I,9,FALSE)</f>
        <v>12.8</v>
      </c>
    </row>
    <row r="268" spans="1:25" ht="57" x14ac:dyDescent="0.2">
      <c r="A268" s="71">
        <f t="shared" si="7"/>
        <v>266</v>
      </c>
      <c r="B268" s="127" t="s">
        <v>430</v>
      </c>
      <c r="C268" s="128" t="str">
        <f>VLOOKUP(B268,'HECVAT - Full'!A:E,2,FALSE)</f>
        <v>Use this area to share information about your environment that will assist those who are assessing your company data security program.</v>
      </c>
      <c r="D268" s="126">
        <f>VLOOKUP(B268,'HECVAT - Full'!A:E,4,FALSE)</f>
        <v>0</v>
      </c>
      <c r="E268" s="129" t="b">
        <f>IF(Table1[[#This Row],[Column11]]&gt;20,TRUE,FALSE)</f>
        <v>1</v>
      </c>
      <c r="F268" s="130" t="s">
        <v>2559</v>
      </c>
      <c r="G268" s="131"/>
      <c r="H268" s="132">
        <v>1</v>
      </c>
      <c r="I268" s="126">
        <f>VLOOKUP(B268,'HECVAT - Full'!A:E,3,FALSE)</f>
        <v>0</v>
      </c>
      <c r="J268" s="126">
        <f>IF(VLOOKUP(Table1[[#This Row],[Column2]],'Analyst Report'!$A$38:$G$88,7,FALSE)="Yes",1,0)</f>
        <v>0</v>
      </c>
      <c r="K268" s="126">
        <f>IF(Table1[[#This Row],[Column8]]=1,25,"")</f>
        <v>25</v>
      </c>
      <c r="L268" s="71">
        <f>IF(Table1[[#This Row],[Column8]]=1,J268*K268,"")</f>
        <v>0</v>
      </c>
      <c r="M268" s="133">
        <f>VLOOKUP($B268,'Standards Crosswalk'!$A:$H,3,FALSE)</f>
        <v>0</v>
      </c>
      <c r="N268" s="133">
        <f>VLOOKUP($B268,'Standards Crosswalk'!$A:$H,4,FALSE)</f>
        <v>0</v>
      </c>
      <c r="O268" s="133" t="str">
        <f>VLOOKUP($B268,'Standards Crosswalk'!$A:$H,5,FALSE)</f>
        <v>15.2.1</v>
      </c>
      <c r="P268" s="133">
        <f>VLOOKUP($B268,'Standards Crosswalk'!$A:$H,6,FALSE)</f>
        <v>0</v>
      </c>
      <c r="Q268" s="133">
        <f>VLOOKUP($B268,'Standards Crosswalk'!$A:$H,7,FALSE)</f>
        <v>0</v>
      </c>
      <c r="R268" s="133">
        <f>VLOOKUP($B268,'Standards Crosswalk'!$A:$H,8,FALSE)</f>
        <v>0</v>
      </c>
      <c r="S268" s="133">
        <f>VLOOKUP($B268,'Standards Crosswalk'!$A:$I,9,FALSE)</f>
        <v>12.8</v>
      </c>
    </row>
  </sheetData>
  <pageMargins left="0.7" right="0.7" top="0.75" bottom="0.75" header="0.3" footer="0.3"/>
  <pageSetup orientation="portrait" verticalDpi="0" r:id="rId1"/>
  <ignoredErrors>
    <ignoredError sqref="I261:I268 I20:I22" calculatedColum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D i a g r a m O b j e c t K e y & g t ; & l t ; K e y & g t ; C o l u m n s \ C o l u m n 2 & l t ; / K e y & g t ; & l t ; / D i a g r a m O b j e c t K e y & g t ; & l t ; D i a g r a m O b j e c t K e y & g t ; & l t ; K e y & g t ; C o l u m n s \ C o l u m n 3 & l t ; / K e y & g t ; & l t ; / D i a g r a m O b j e c t K e y & g t ; & l t ; D i a g r a m O b j e c t K e y & g t ; & l t ; K e y & g t ; C o l u m n s \ C o l u m n 4 & l t ; / K e y & g t ; & l t ; / D i a g r a m O b j e c t K e y & g t ; & l t ; D i a g r a m O b j e c t K e y & g t ; & l t ; K e y & g t ; C o l u m n s \ C o l u m n 5 & l t ; / K e y & g t ; & l t ; / D i a g r a m O b j e c t K e y & g t ; & l t ; D i a g r a m O b j e c t K e y & g t ; & l t ; K e y & g t ; C o l u m n s \ C o l u m n 6 & l t ; / K e y & g t ; & l t ; / D i a g r a m O b j e c t K e y & g t ; & l t ; D i a g r a m O b j e c t K e y & g t ; & l t ; K e y & g t ; C o l u m n s \ C o l u m n 7 & l t ; / K e y & g t ; & l t ; / D i a g r a m O b j e c t K e y & g t ; & l t ; D i a g r a m O b j e c t K e y & g t ; & l t ; K e y & g t ; C o l u m n s \ C o l u m n 8 & l t ; / K e y & g t ; & l t ; / D i a g r a m O b j e c t K e y & g t ; & l t ; D i a g r a m O b j e c t K e y & g t ; & l t ; K e y & g t ; C o l u m n s \ C o l u m n 9 & l t ; / K e y & g t ; & l t ; / D i a g r a m O b j e c t K e y & g t ; & l t ; D i a g r a m O b j e c t K e y & g t ; & l t ; K e y & g t ; C o l u m n s \ C o l u m n 1 0 & l t ; / K e y & g t ; & l t ; / D i a g r a m O b j e c t K e y & g t ; & l t ; D i a g r a m O b j e c t K e y & g t ; & l t ; K e y & g t ; C o l u m n s \ C o l u m n 1 1 & l t ; / K e y & g t ; & l t ; / D i a g r a m O b j e c t K e y & g t ; & l t ; D i a g r a m O b j e c t K e y & g t ; & l t ; K e y & g t ; C o l u m n s \ C o l u m n 1 2 & l t ; / K e y & g t ; & l t ; / D i a g r a m O b j e c t K e y & g t ; & l t ; D i a g r a m O b j e c t K e y & g t ; & l t ; K e y & g t ; C o l u m n s \ C o l u m n 1 3 & l t ; / K e y & g t ; & l t ; / D i a g r a m O b j e c t K e y & g t ; & l t ; D i a g r a m O b j e c t K e y & g t ; & l t ; K e y & g t ; C o l u m n s \ C o l u m n 1 4 & l t ; / K e y & g t ; & l t ; / D i a g r a m O b j e c t K e y & g t ; & l t ; D i a g r a m O b j e c t K e y & g t ; & l t ; K e y & g t ; C o l u m n s \ C o l u m n 1 5 & l t ; / K e y & g t ; & l t ; / D i a g r a m O b j e c t K e y & g t ; & l t ; D i a g r a m O b j e c t K e y & g t ; & l t ; K e y & g t ; C o l u m n s \ C o l u m n 1 6 & l t ; / K e y & g t ; & l t ; / D i a g r a m O b j e c t K e y & g t ; & l t ; D i a g r a m O b j e c t K e y & g t ; & l t ; K e y & g t ; C o l u m n s \ C o l u m n 1 7 & l t ; / K e y & g t ; & l t ; / D i a g r a m O b j e c t K e y & g t ; & l t ; D i a g r a m O b j e c t K e y & g t ; & l t ; K e y & g t ; C o l u m n s \ C o l u m n 1 8 & l t ; / K e y & g t ; & l t ; / D i a g r a m O b j e c t K e y & g t ; & l t ; D i a g r a m O b j e c t K e y & g t ; & l t ; K e y & g t ; C o l u m n s \ C o l u m n 2 5 & l t ; / K e y & g t ; & l t ; / D i a g r a m O b j e c t K e y & g t ; & l t ; D i a g r a m O b j e c t K e y & g t ; & l t ; K e y & g t ; C o l u m n s \ A d d   C o l u m n 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a : K e y V a l u e O f D i a g r a m O b j e c t K e y a n y T y p e z b w N T n L X & g t ; & l t ; a : K e y & g t ; & l t ; K e y & g t ; C o l u m n s \ C o l u m n 2 & l t ; / K e y & g t ; & l t ; / a : K e y & g t ; & l t ; a : V a l u e   i : t y p e = " M e a s u r e G r i d N o d e V i e w S t a t e " & g t ; & l t ; C o l u m n & g t ; 1 & l t ; / C o l u m n & g t ; & l t ; L a y e d O u t & g t ; t r u e & l t ; / L a y e d O u t & g t ; & l t ; / a : V a l u e & g t ; & l t ; / a : K e y V a l u e O f D i a g r a m O b j e c t K e y a n y T y p e z b w N T n L X & g t ; & l t ; a : K e y V a l u e O f D i a g r a m O b j e c t K e y a n y T y p e z b w N T n L X & g t ; & l t ; a : K e y & g t ; & l t ; K e y & g t ; C o l u m n s \ C o l u m n 3 & l t ; / K e y & g t ; & l t ; / a : K e y & g t ; & l t ; a : V a l u e   i : t y p e = " M e a s u r e G r i d N o d e V i e w S t a t e " & g t ; & l t ; C o l u m n & g t ; 2 & l t ; / C o l u m n & g t ; & l t ; L a y e d O u t & g t ; t r u e & l t ; / L a y e d O u t & g t ; & l t ; / a : V a l u e & g t ; & l t ; / a : K e y V a l u e O f D i a g r a m O b j e c t K e y a n y T y p e z b w N T n L X & g t ; & l t ; a : K e y V a l u e O f D i a g r a m O b j e c t K e y a n y T y p e z b w N T n L X & g t ; & l t ; a : K e y & g t ; & l t ; K e y & g t ; C o l u m n s \ C o l u m n 4 & l t ; / K e y & g t ; & l t ; / a : K e y & g t ; & l t ; a : V a l u e   i : t y p e = " M e a s u r e G r i d N o d e V i e w S t a t e " & g t ; & l t ; C o l u m n & g t ; 3 & l t ; / C o l u m n & g t ; & l t ; L a y e d O u t & g t ; t r u e & l t ; / L a y e d O u t & g t ; & l t ; / a : V a l u e & g t ; & l t ; / a : K e y V a l u e O f D i a g r a m O b j e c t K e y a n y T y p e z b w N T n L X & g t ; & l t ; a : K e y V a l u e O f D i a g r a m O b j e c t K e y a n y T y p e z b w N T n L X & g t ; & l t ; a : K e y & g t ; & l t ; K e y & g t ; C o l u m n s \ C o l u m n 5 & l t ; / K e y & g t ; & l t ; / a : K e y & g t ; & l t ; a : V a l u e   i : t y p e = " M e a s u r e G r i d N o d e V i e w S t a t e " & g t ; & l t ; C o l u m n & g t ; 4 & l t ; / C o l u m n & g t ; & l t ; L a y e d O u t & g t ; t r u e & l t ; / L a y e d O u t & g t ; & l t ; / a : V a l u e & g t ; & l t ; / a : K e y V a l u e O f D i a g r a m O b j e c t K e y a n y T y p e z b w N T n L X & g t ; & l t ; a : K e y V a l u e O f D i a g r a m O b j e c t K e y a n y T y p e z b w N T n L X & g t ; & l t ; a : K e y & g t ; & l t ; K e y & g t ; C o l u m n s \ C o l u m n 6 & l t ; / K e y & g t ; & l t ; / a : K e y & g t ; & l t ; a : V a l u e   i : t y p e = " M e a s u r e G r i d N o d e V i e w S t a t e " & g t ; & l t ; C o l u m n & g t ; 5 & l t ; / C o l u m n & g t ; & l t ; L a y e d O u t & g t ; t r u e & l t ; / L a y e d O u t & g t ; & l t ; / a : V a l u e & g t ; & l t ; / a : K e y V a l u e O f D i a g r a m O b j e c t K e y a n y T y p e z b w N T n L X & g t ; & l t ; a : K e y V a l u e O f D i a g r a m O b j e c t K e y a n y T y p e z b w N T n L X & g t ; & l t ; a : K e y & g t ; & l t ; K e y & g t ; C o l u m n s \ C o l u m n 7 & l t ; / K e y & g t ; & l t ; / a : K e y & g t ; & l t ; a : V a l u e   i : t y p e = " M e a s u r e G r i d N o d e V i e w S t a t e " & g t ; & l t ; C o l u m n & g t ; 6 & l t ; / C o l u m n & g t ; & l t ; L a y e d O u t & g t ; t r u e & l t ; / L a y e d O u t & g t ; & l t ; / a : V a l u e & g t ; & l t ; / a : K e y V a l u e O f D i a g r a m O b j e c t K e y a n y T y p e z b w N T n L X & g t ; & l t ; a : K e y V a l u e O f D i a g r a m O b j e c t K e y a n y T y p e z b w N T n L X & g t ; & l t ; a : K e y & g t ; & l t ; K e y & g t ; C o l u m n s \ C o l u m n 8 & l t ; / K e y & g t ; & l t ; / a : K e y & g t ; & l t ; a : V a l u e   i : t y p e = " M e a s u r e G r i d N o d e V i e w S t a t e " & g t ; & l t ; C o l u m n & g t ; 7 & l t ; / C o l u m n & g t ; & l t ; L a y e d O u t & g t ; t r u e & l t ; / L a y e d O u t & g t ; & l t ; / a : V a l u e & g t ; & l t ; / a : K e y V a l u e O f D i a g r a m O b j e c t K e y a n y T y p e z b w N T n L X & g t ; & l t ; a : K e y V a l u e O f D i a g r a m O b j e c t K e y a n y T y p e z b w N T n L X & g t ; & l t ; a : K e y & g t ; & l t ; K e y & g t ; C o l u m n s \ C o l u m n 9 & l t ; / K e y & g t ; & l t ; / a : K e y & g t ; & l t ; a : V a l u e   i : t y p e = " M e a s u r e G r i d N o d e V i e w S t a t e " & g t ; & l t ; C o l u m n & g t ; 8 & l t ; / C o l u m n & g t ; & l t ; L a y e d O u t & g t ; t r u e & l t ; / L a y e d O u t & g t ; & l t ; / a : V a l u e & g t ; & l t ; / a : K e y V a l u e O f D i a g r a m O b j e c t K e y a n y T y p e z b w N T n L X & g t ; & l t ; a : K e y V a l u e O f D i a g r a m O b j e c t K e y a n y T y p e z b w N T n L X & g t ; & l t ; a : K e y & g t ; & l t ; K e y & g t ; C o l u m n s \ C o l u m n 1 0 & l t ; / K e y & g t ; & l t ; / a : K e y & g t ; & l t ; a : V a l u e   i : t y p e = " M e a s u r e G r i d N o d e V i e w S t a t e " & g t ; & l t ; C o l u m n & g t ; 9 & l t ; / C o l u m n & g t ; & l t ; L a y e d O u t & g t ; t r u e & l t ; / L a y e d O u t & g t ; & l t ; / a : V a l u e & g t ; & l t ; / a : K e y V a l u e O f D i a g r a m O b j e c t K e y a n y T y p e z b w N T n L X & g t ; & l t ; a : K e y V a l u e O f D i a g r a m O b j e c t K e y a n y T y p e z b w N T n L X & g t ; & l t ; a : K e y & g t ; & l t ; K e y & g t ; C o l u m n s \ C o l u m n 1 1 & l t ; / K e y & g t ; & l t ; / a : K e y & g t ; & l t ; a : V a l u e   i : t y p e = " M e a s u r e G r i d N o d e V i e w S t a t e " & g t ; & l t ; C o l u m n & g t ; 1 0 & l t ; / C o l u m n & g t ; & l t ; L a y e d O u t & g t ; t r u e & l t ; / L a y e d O u t & g t ; & l t ; / a : V a l u e & g t ; & l t ; / a : K e y V a l u e O f D i a g r a m O b j e c t K e y a n y T y p e z b w N T n L X & g t ; & l t ; a : K e y V a l u e O f D i a g r a m O b j e c t K e y a n y T y p e z b w N T n L X & g t ; & l t ; a : K e y & g t ; & l t ; K e y & g t ; C o l u m n s \ C o l u m n 1 2 & l t ; / K e y & g t ; & l t ; / a : K e y & g t ; & l t ; a : V a l u e   i : t y p e = " M e a s u r e G r i d N o d e V i e w S t a t e " & g t ; & l t ; C o l u m n & g t ; 1 1 & l t ; / C o l u m n & g t ; & l t ; L a y e d O u t & g t ; t r u e & l t ; / L a y e d O u t & g t ; & l t ; / a : V a l u e & g t ; & l t ; / a : K e y V a l u e O f D i a g r a m O b j e c t K e y a n y T y p e z b w N T n L X & g t ; & l t ; a : K e y V a l u e O f D i a g r a m O b j e c t K e y a n y T y p e z b w N T n L X & g t ; & l t ; a : K e y & g t ; & l t ; K e y & g t ; C o l u m n s \ C o l u m n 1 3 & l t ; / K e y & g t ; & l t ; / a : K e y & g t ; & l t ; a : V a l u e   i : t y p e = " M e a s u r e G r i d N o d e V i e w S t a t e " & g t ; & l t ; C o l u m n & g t ; 1 2 & l t ; / C o l u m n & g t ; & l t ; L a y e d O u t & g t ; t r u e & l t ; / L a y e d O u t & g t ; & l t ; / a : V a l u e & g t ; & l t ; / a : K e y V a l u e O f D i a g r a m O b j e c t K e y a n y T y p e z b w N T n L X & g t ; & l t ; a : K e y V a l u e O f D i a g r a m O b j e c t K e y a n y T y p e z b w N T n L X & g t ; & l t ; a : K e y & g t ; & l t ; K e y & g t ; C o l u m n s \ C o l u m n 1 4 & l t ; / K e y & g t ; & l t ; / a : K e y & g t ; & l t ; a : V a l u e   i : t y p e = " M e a s u r e G r i d N o d e V i e w S t a t e " & g t ; & l t ; C o l u m n & g t ; 1 3 & l t ; / C o l u m n & g t ; & l t ; L a y e d O u t & g t ; t r u e & l t ; / L a y e d O u t & g t ; & l t ; / a : V a l u e & g t ; & l t ; / a : K e y V a l u e O f D i a g r a m O b j e c t K e y a n y T y p e z b w N T n L X & g t ; & l t ; a : K e y V a l u e O f D i a g r a m O b j e c t K e y a n y T y p e z b w N T n L X & g t ; & l t ; a : K e y & g t ; & l t ; K e y & g t ; C o l u m n s \ C o l u m n 1 5 & l t ; / K e y & g t ; & l t ; / a : K e y & g t ; & l t ; a : V a l u e   i : t y p e = " M e a s u r e G r i d N o d e V i e w S t a t e " & g t ; & l t ; C o l u m n & g t ; 1 4 & l t ; / C o l u m n & g t ; & l t ; L a y e d O u t & g t ; t r u e & l t ; / L a y e d O u t & g t ; & l t ; / a : V a l u e & g t ; & l t ; / a : K e y V a l u e O f D i a g r a m O b j e c t K e y a n y T y p e z b w N T n L X & g t ; & l t ; a : K e y V a l u e O f D i a g r a m O b j e c t K e y a n y T y p e z b w N T n L X & g t ; & l t ; a : K e y & g t ; & l t ; K e y & g t ; C o l u m n s \ C o l u m n 1 6 & l t ; / K e y & g t ; & l t ; / a : K e y & g t ; & l t ; a : V a l u e   i : t y p e = " M e a s u r e G r i d N o d e V i e w S t a t e " & g t ; & l t ; C o l u m n & g t ; 1 5 & l t ; / C o l u m n & g t ; & l t ; L a y e d O u t & g t ; t r u e & l t ; / L a y e d O u t & g t ; & l t ; / a : V a l u e & g t ; & l t ; / a : K e y V a l u e O f D i a g r a m O b j e c t K e y a n y T y p e z b w N T n L X & g t ; & l t ; a : K e y V a l u e O f D i a g r a m O b j e c t K e y a n y T y p e z b w N T n L X & g t ; & l t ; a : K e y & g t ; & l t ; K e y & g t ; C o l u m n s \ C o l u m n 1 7 & l t ; / K e y & g t ; & l t ; / a : K e y & g t ; & l t ; a : V a l u e   i : t y p e = " M e a s u r e G r i d N o d e V i e w S t a t e " & g t ; & l t ; C o l u m n & g t ; 1 6 & l t ; / C o l u m n & g t ; & l t ; L a y e d O u t & g t ; t r u e & l t ; / L a y e d O u t & g t ; & l t ; / a : V a l u e & g t ; & l t ; / a : K e y V a l u e O f D i a g r a m O b j e c t K e y a n y T y p e z b w N T n L X & g t ; & l t ; a : K e y V a l u e O f D i a g r a m O b j e c t K e y a n y T y p e z b w N T n L X & g t ; & l t ; a : K e y & g t ; & l t ; K e y & g t ; C o l u m n s \ C o l u m n 1 8 & l t ; / K e y & g t ; & l t ; / a : K e y & g t ; & l t ; a : V a l u e   i : t y p e = " M e a s u r e G r i d N o d e V i e w S t a t e " & g t ; & l t ; C o l u m n & g t ; 1 7 & l t ; / C o l u m n & g t ; & l t ; L a y e d O u t & g t ; t r u e & l t ; / L a y e d O u t & g t ; & l t ; / a : V a l u e & g t ; & l t ; / a : K e y V a l u e O f D i a g r a m O b j e c t K e y a n y T y p e z b w N T n L X & g t ; & l t ; a : K e y V a l u e O f D i a g r a m O b j e c t K e y a n y T y p e z b w N T n L X & g t ; & l t ; a : K e y & g t ; & l t ; K e y & g t ; C o l u m n s \ C o l u m n 2 5 & l t ; / K e y & g t ; & l t ; / a : K e y & g t ; & l t ; a : V a l u e   i : t y p e = " M e a s u r e G r i d N o d e V i e w S t a t e " & g t ; & l t ; C o l u m n & g t ; 1 8 & l t ; / C o l u m n & g t ; & l t ; L a y e d O u t & g t ; t r u e & l t ; / L a y e d O u t & g t ; & l t ; / a : V a l u e & g t ; & l t ; / a : K e y V a l u e O f D i a g r a m O b j e c t K e y a n y T y p e z b w N T n L X & g t ; & l t ; a : K e y V a l u e O f D i a g r a m O b j e c t K e y a n y T y p e z b w N T n L X & g t ; & l t ; a : K e y & g t ; & l t ; K e y & g t ; C o l u m n s \ A d d   C o l u m n 2 & l t ; / K e y & g t ; & l t ; / a : K e y & g t ; & l t ; a : V a l u e   i : t y p e = " M e a s u r e G r i d N o d e V i e w S t a t e " & g t ; & l t ; C o l u m n & g t ; 1 9 & l t ; / C o l u m n & g t ; & l t ; L a y e d O u t & g t ; t r u e & l t ; / L a y e d O u t & g t ; & l t ; / a : V a l u e & g t ; & l t ; / a : K e y V a l u e O f D i a g r a m O b j e c t K e y a n y T y p e z b w N T n L X & g t ; & l t ; / V i e w S t a t e s & g t ; & l t ; / D i a g r a m M a n a g e r . S e r i a l i z a b l e D i a g r a m & g t ; & l t ; / A r r a y O f D i a g r a m M a n a g e r . S e r i a l i z a b l e D i a g r a m & g t ; < / 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l t ; / K e y & g t ; & l t ; V a l u e   x m l n s : a = " h t t p : / / s c h e m a s . d a t a c o n t r a c t . o r g / 2 0 0 4 / 0 7 / M i c r o s o f t . A n a l y s i s S e r v i c e s . C o m m o n " & g t ; & l t ; a : H a s F o c u s & g t ; t r u e & l t ; / a : H a s F o c u s & g t ; & l t ; a : S i z e A t D p i 9 6 & g t ; 1 3 7 & 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T a b l e O r d e r " > < C u s t o m C o n t e n t > T a b l e 1 < / C u s t o m C o n t e n t > < / G e m i n i > 
</file>

<file path=customXml/item14.xml>��< ? x m l   v e r s i o n = " 1 . 0 "   e n c o d i n g = " U T F - 1 6 " ? > < G e m i n i   x m l n s = " h t t p : / / g e m i n i / p i v o t c u s t o m i z a t i o n / S h o w H i d d e n " > < C u s t o m C o n t e n t > < ! [ C D A T A [ T r u e ] ] > < / C u s t o m C o n t e n t > < / G e m i n i > 
</file>

<file path=customXml/item15.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 t r u e < / U p d a t e N e e d e d > < R o w C o u n t > 0 < / R o w C o u n t > < / L i n k e d T a b l e I n f o > < / L i n k e d T a b l e L i s t > < / L i n k e d T a b l e s > ] ] > < / C u s t o m C o n t e n t > < / G e m i n i > 
</file>

<file path=customXml/item17.xml>��< ? x m l   v e r s i o n = " 1 . 0 "   e n c o d i n g = " U T F - 1 6 " ? > < G e m i n i   x m l n s = " h t t p : / / g e m i n i / p i v o t c u s t o m i z a t i o n / P o w e r P i v o t V e r s i o n " > < C u s t o m C o n t e n t > < ! [ C D A T A [ 1 1 . 0 . 9 1 6 6 . 1 8 8 ] ] > < / C u s t o m C o n t e n t > < / G e m i n i > 
</file>

<file path=customXml/item18.xml>��< ? x m l   v e r s i o n = " 1 . 0 "   e n c o d i n g = " U T F - 1 6 " ? > < G e m i n i   x m l n s = " h t t p : / / g e m i n i / p i v o t c u s t o m i z a t i o n / M a n u a l C a l c M o d e " > < C u s t o m C o n t e n t > < ! [ C D A T A [ F a l s 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C o u n t I n S a n d b o x " > < C u s t o m C o n t e n t > < ! [ C D A T A [ 1 ] ] > < / C u s t o m C o n t e n t > < / G e m i n i > 
</file>

<file path=customXml/item6.xml>��< ? x m l   v e r s i o n = " 1 . 0 "   e n c o d i n g = " U T F - 1 6 " ? > < G e m i n i   x m l n s = " h t t p : / / g e m i n i / p i v o t c u s t o m i z a t i o n / I s S a n d b o x E m b e d d e d " > < C u s t o m C o n t e n t > < ! [ C D A T A [ y e s ] ] > < / C u s t o m C o n t e n t > < / G e m i n i > 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 2 0 1 9 - 0 1 - 2 2 T 1 5 : 0 1 : 1 1 . 3 1 7 6 4 6 1 - 0 8 : 0 0 < / L a s t P r o c e s s e d T i m e > < / D a t a M o d e l i n g S a n d b o x . S e r i a l i z e d S a n d b o x E r r o r C a c h 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AF6C041D-C5EF-48EF-8803-B23DAFDDB1AE}">
  <ds:schemaRefs>
    <ds:schemaRef ds:uri="http://gemini/pivotcustomization/Diagrams"/>
  </ds:schemaRefs>
</ds:datastoreItem>
</file>

<file path=customXml/itemProps10.xml><?xml version="1.0" encoding="utf-8"?>
<ds:datastoreItem xmlns:ds="http://schemas.openxmlformats.org/officeDocument/2006/customXml" ds:itemID="{E8509290-1D31-454C-ABE9-597B7BC26FF2}">
  <ds:schemaRefs>
    <ds:schemaRef ds:uri="http://gemini/pivotcustomization/LinkedTableUpdateMode"/>
  </ds:schemaRefs>
</ds:datastoreItem>
</file>

<file path=customXml/itemProps1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12.xml><?xml version="1.0" encoding="utf-8"?>
<ds:datastoreItem xmlns:ds="http://schemas.openxmlformats.org/officeDocument/2006/customXml" ds:itemID="{632494E3-8034-4AA9-8C70-7ED600066978}">
  <ds:schemaRefs>
    <ds:schemaRef ds:uri="http://gemini/pivotcustomization/MeasureGridState"/>
  </ds:schemaRefs>
</ds:datastoreItem>
</file>

<file path=customXml/itemProps13.xml><?xml version="1.0" encoding="utf-8"?>
<ds:datastoreItem xmlns:ds="http://schemas.openxmlformats.org/officeDocument/2006/customXml" ds:itemID="{9E2D3966-F91F-49BB-ACE1-431B53104A6E}">
  <ds:schemaRefs>
    <ds:schemaRef ds:uri="http://gemini/pivotcustomization/TableOrder"/>
  </ds:schemaRefs>
</ds:datastoreItem>
</file>

<file path=customXml/itemProps14.xml><?xml version="1.0" encoding="utf-8"?>
<ds:datastoreItem xmlns:ds="http://schemas.openxmlformats.org/officeDocument/2006/customXml" ds:itemID="{176CEB72-EE98-4849-BA7A-265FD178663A}">
  <ds:schemaRefs>
    <ds:schemaRef ds:uri="http://gemini/pivotcustomization/ShowHidden"/>
  </ds:schemaRefs>
</ds:datastoreItem>
</file>

<file path=customXml/itemProps15.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16.xml><?xml version="1.0" encoding="utf-8"?>
<ds:datastoreItem xmlns:ds="http://schemas.openxmlformats.org/officeDocument/2006/customXml" ds:itemID="{5E408239-B2E4-4FD9-8B1C-020866B82B72}">
  <ds:schemaRefs/>
</ds:datastoreItem>
</file>

<file path=customXml/itemProps17.xml><?xml version="1.0" encoding="utf-8"?>
<ds:datastoreItem xmlns:ds="http://schemas.openxmlformats.org/officeDocument/2006/customXml" ds:itemID="{6F56B467-C743-420E-89ED-6745F6A4B70B}">
  <ds:schemaRefs/>
</ds:datastoreItem>
</file>

<file path=customXml/itemProps18.xml><?xml version="1.0" encoding="utf-8"?>
<ds:datastoreItem xmlns:ds="http://schemas.openxmlformats.org/officeDocument/2006/customXml" ds:itemID="{581EE562-5F7F-4099-8FD8-896D8134E32C}">
  <ds:schemaRefs>
    <ds:schemaRef ds:uri="http://gemini/pivotcustomization/ManualCalcMode"/>
  </ds:schemaRefs>
</ds:datastoreItem>
</file>

<file path=customXml/itemProps2.xml><?xml version="1.0" encoding="utf-8"?>
<ds:datastoreItem xmlns:ds="http://schemas.openxmlformats.org/officeDocument/2006/customXml" ds:itemID="{6773EFD6-D913-4B49-B4C1-3038A601F144}">
  <ds:schemaRefs>
    <ds:schemaRef ds:uri="http://gemini/pivotcustomization/ShowImplicitMeasures"/>
  </ds:schemaRefs>
</ds:datastoreItem>
</file>

<file path=customXml/itemProps3.xml><?xml version="1.0" encoding="utf-8"?>
<ds:datastoreItem xmlns:ds="http://schemas.openxmlformats.org/officeDocument/2006/customXml" ds:itemID="{C320B382-AAED-4159-A304-00FF657D7954}">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5.xml><?xml version="1.0" encoding="utf-8"?>
<ds:datastoreItem xmlns:ds="http://schemas.openxmlformats.org/officeDocument/2006/customXml" ds:itemID="{110ABE5C-6AFF-49FC-9F3F-29AFDCDD80DB}">
  <ds:schemaRefs>
    <ds:schemaRef ds:uri="http://gemini/pivotcustomization/TableCountInSandbox"/>
  </ds:schemaRefs>
</ds:datastoreItem>
</file>

<file path=customXml/itemProps6.xml><?xml version="1.0" encoding="utf-8"?>
<ds:datastoreItem xmlns:ds="http://schemas.openxmlformats.org/officeDocument/2006/customXml" ds:itemID="{A21A3BC1-6951-472B-A2EE-CCC2B7A3EA6B}">
  <ds:schemaRefs/>
</ds:datastoreItem>
</file>

<file path=customXml/itemProps7.xml><?xml version="1.0" encoding="utf-8"?>
<ds:datastoreItem xmlns:ds="http://schemas.openxmlformats.org/officeDocument/2006/customXml" ds:itemID="{BB33A5B0-9B30-4EC1-B196-AA0C08779EB0}">
  <ds:schemaRefs/>
</ds:datastoreItem>
</file>

<file path=customXml/itemProps8.xml><?xml version="1.0" encoding="utf-8"?>
<ds:datastoreItem xmlns:ds="http://schemas.openxmlformats.org/officeDocument/2006/customXml" ds:itemID="{4EFEA8F8-79F4-471A-AA5A-5624A6C1632E}">
  <ds:schemaRefs/>
</ds:datastoreItem>
</file>

<file path=customXml/itemProps9.xml><?xml version="1.0" encoding="utf-8"?>
<ds:datastoreItem xmlns:ds="http://schemas.openxmlformats.org/officeDocument/2006/customXml" ds:itemID="{F5A3C41F-8B32-40FA-A81E-C73F1904B030}">
  <ds:schemaRefs>
    <ds:schemaRef ds:uri="http://gemini/pivotcustomization/ClientWindowXM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vt:lpstr>
      <vt:lpstr>Standards Crosswalk</vt:lpstr>
      <vt:lpstr>Analyst Report</vt:lpstr>
      <vt:lpstr>Analyst Reference</vt:lpstr>
      <vt:lpstr>Summary Report</vt:lpstr>
      <vt:lpstr>Crosswalk Detail</vt:lpstr>
      <vt:lpstr>Questions</vt:lpstr>
      <vt:lpstr>High Risk Non-Compliant</vt:lpstr>
      <vt:lpstr>Acknowledgments</vt:lpstr>
      <vt:lpstr>ChangeLog</vt:lpstr>
      <vt:lpstr>Values</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Bryner, Bruce A</dc:creator>
  <cp:lastModifiedBy>jc115</cp:lastModifiedBy>
  <cp:revision/>
  <dcterms:created xsi:type="dcterms:W3CDTF">2015-03-06T14:56:12Z</dcterms:created>
  <dcterms:modified xsi:type="dcterms:W3CDTF">2019-11-21T17:09:12Z</dcterms:modified>
</cp:coreProperties>
</file>