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finlay4k/Dropbox/Manuscripts/2017 Bjorndahl Kenosee/Data files for Gavin/"/>
    </mc:Choice>
  </mc:AlternateContent>
  <bookViews>
    <workbookView xWindow="17980" yWindow="6440" windowWidth="28880" windowHeight="15700" firstSheet="1" activeTab="4"/>
  </bookViews>
  <sheets>
    <sheet name="eff calc" sheetId="1" r:id="rId1"/>
    <sheet name="decay corr" sheetId="2" r:id="rId2"/>
    <sheet name="activity calc 1" sheetId="4" r:id="rId3"/>
    <sheet name="activity calc CRS A" sheetId="3" r:id="rId4"/>
    <sheet name="age calculation CRS B" sheetId="5" r:id="rId5"/>
    <sheet name="CSM CRS calc" sheetId="6" r:id="rId6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" i="5" l="1"/>
  <c r="I36" i="5"/>
  <c r="U5" i="5"/>
  <c r="S22" i="3"/>
  <c r="AC22" i="3"/>
  <c r="S23" i="5"/>
  <c r="X23" i="5"/>
  <c r="S24" i="5"/>
  <c r="X24" i="5"/>
  <c r="S25" i="5"/>
  <c r="X25" i="5"/>
  <c r="S26" i="5"/>
  <c r="W26" i="5"/>
  <c r="X26" i="5"/>
  <c r="S24" i="3"/>
  <c r="AC24" i="3"/>
  <c r="BF24" i="3"/>
  <c r="S25" i="3"/>
  <c r="AC25" i="3"/>
  <c r="U25" i="3"/>
  <c r="AN17" i="3"/>
  <c r="AN16" i="3"/>
  <c r="AN15" i="3"/>
  <c r="AM16" i="3"/>
  <c r="AM17" i="3"/>
  <c r="AM18" i="3"/>
  <c r="AM19" i="3"/>
  <c r="AM20" i="3"/>
  <c r="AM21" i="3"/>
  <c r="AM22" i="3"/>
  <c r="AM23" i="3"/>
  <c r="AM24" i="3"/>
  <c r="AM25" i="3"/>
  <c r="AM26" i="3"/>
  <c r="AM15" i="3"/>
  <c r="Q23" i="3"/>
  <c r="AA23" i="3"/>
  <c r="R23" i="3"/>
  <c r="AB23" i="3"/>
  <c r="S23" i="3"/>
  <c r="AC23" i="3"/>
  <c r="BF23" i="3"/>
  <c r="T23" i="3"/>
  <c r="AD23" i="3"/>
  <c r="U23" i="3"/>
  <c r="AE23" i="3"/>
  <c r="V23" i="3"/>
  <c r="AF23" i="3"/>
  <c r="W23" i="3"/>
  <c r="AG23" i="3"/>
  <c r="BJ23" i="3"/>
  <c r="X23" i="3"/>
  <c r="AH23" i="3"/>
  <c r="Y23" i="3"/>
  <c r="AI23" i="3"/>
  <c r="Z23" i="3"/>
  <c r="AJ23" i="3"/>
  <c r="AK23" i="3"/>
  <c r="AL23" i="3"/>
  <c r="AN23" i="3"/>
  <c r="AO23" i="3"/>
  <c r="BM23" i="3"/>
  <c r="Q24" i="3"/>
  <c r="AA24" i="3"/>
  <c r="AP24" i="3"/>
  <c r="R24" i="3"/>
  <c r="AB24" i="3"/>
  <c r="T24" i="3"/>
  <c r="AD24" i="3"/>
  <c r="BG24" i="3"/>
  <c r="U24" i="3"/>
  <c r="AE24" i="3"/>
  <c r="V24" i="3"/>
  <c r="AF24" i="3"/>
  <c r="W24" i="3"/>
  <c r="AG24" i="3"/>
  <c r="BJ24" i="3"/>
  <c r="X24" i="3"/>
  <c r="AH24" i="3"/>
  <c r="Y24" i="3"/>
  <c r="AI24" i="3"/>
  <c r="Z24" i="3"/>
  <c r="AJ24" i="3"/>
  <c r="AK24" i="3"/>
  <c r="AL24" i="3"/>
  <c r="AN24" i="3"/>
  <c r="AO24" i="3"/>
  <c r="BM24" i="3"/>
  <c r="Q25" i="3"/>
  <c r="AA25" i="3"/>
  <c r="R25" i="3"/>
  <c r="AB25" i="3"/>
  <c r="T25" i="3"/>
  <c r="AD25" i="3"/>
  <c r="AE25" i="3"/>
  <c r="V25" i="3"/>
  <c r="AF25" i="3"/>
  <c r="W25" i="3"/>
  <c r="AG25" i="3"/>
  <c r="X25" i="3"/>
  <c r="AH25" i="3"/>
  <c r="Y25" i="3"/>
  <c r="AI25" i="3"/>
  <c r="Z25" i="3"/>
  <c r="AJ25" i="3"/>
  <c r="AK25" i="3"/>
  <c r="AL25" i="3"/>
  <c r="AN25" i="3"/>
  <c r="BH25" i="3"/>
  <c r="AO25" i="3"/>
  <c r="BM25" i="3"/>
  <c r="Q26" i="3"/>
  <c r="AA26" i="3"/>
  <c r="R26" i="3"/>
  <c r="AB26" i="3"/>
  <c r="AQ26" i="3"/>
  <c r="S26" i="3"/>
  <c r="AC26" i="3"/>
  <c r="T26" i="3"/>
  <c r="AD26" i="3"/>
  <c r="BG26" i="3"/>
  <c r="U26" i="3"/>
  <c r="AE26" i="3"/>
  <c r="V26" i="3"/>
  <c r="AF26" i="3"/>
  <c r="BI26" i="3"/>
  <c r="W26" i="3"/>
  <c r="AG26" i="3"/>
  <c r="X26" i="3"/>
  <c r="AH26" i="3"/>
  <c r="BK26" i="3"/>
  <c r="AT26" i="3"/>
  <c r="Y26" i="3"/>
  <c r="AI26" i="3"/>
  <c r="Z26" i="3"/>
  <c r="AJ26" i="3"/>
  <c r="AW26" i="3"/>
  <c r="AK26" i="3"/>
  <c r="AL26" i="3"/>
  <c r="AN26" i="3"/>
  <c r="AO26" i="3"/>
  <c r="BM26" i="3"/>
  <c r="Q16" i="3"/>
  <c r="AA16" i="3"/>
  <c r="R16" i="3"/>
  <c r="AB16" i="3"/>
  <c r="S16" i="3"/>
  <c r="AC16" i="3"/>
  <c r="BF16" i="3"/>
  <c r="T16" i="3"/>
  <c r="AD16" i="3"/>
  <c r="U16" i="3"/>
  <c r="AE16" i="3"/>
  <c r="V16" i="3"/>
  <c r="AF16" i="3"/>
  <c r="W16" i="3"/>
  <c r="AG16" i="3"/>
  <c r="X16" i="3"/>
  <c r="AH16" i="3"/>
  <c r="Y16" i="3"/>
  <c r="AI16" i="3"/>
  <c r="Z16" i="3"/>
  <c r="AJ16" i="3"/>
  <c r="AK16" i="3"/>
  <c r="AL16" i="3"/>
  <c r="AO16" i="3"/>
  <c r="BM16" i="3"/>
  <c r="Q17" i="3"/>
  <c r="AA17" i="3"/>
  <c r="R17" i="3"/>
  <c r="AB17" i="3"/>
  <c r="AQ17" i="3"/>
  <c r="S17" i="3"/>
  <c r="AC17" i="3"/>
  <c r="BF17" i="3"/>
  <c r="T17" i="3"/>
  <c r="AD17" i="3"/>
  <c r="BG17" i="3"/>
  <c r="U17" i="3"/>
  <c r="AE17" i="3"/>
  <c r="BH17" i="3"/>
  <c r="V17" i="3"/>
  <c r="AF17" i="3"/>
  <c r="BI17" i="3"/>
  <c r="W17" i="3"/>
  <c r="AG17" i="3"/>
  <c r="BJ17" i="3"/>
  <c r="X17" i="3"/>
  <c r="AH17" i="3"/>
  <c r="BK17" i="3"/>
  <c r="AT17" i="3"/>
  <c r="Y17" i="3"/>
  <c r="AI17" i="3"/>
  <c r="AV17" i="3"/>
  <c r="Z17" i="3"/>
  <c r="AJ17" i="3"/>
  <c r="AW17" i="3"/>
  <c r="AK17" i="3"/>
  <c r="AL17" i="3"/>
  <c r="AO17" i="3"/>
  <c r="BM17" i="3"/>
  <c r="Q18" i="3"/>
  <c r="AA18" i="3"/>
  <c r="R18" i="3"/>
  <c r="AB18" i="3"/>
  <c r="S18" i="3"/>
  <c r="AC18" i="3"/>
  <c r="T18" i="3"/>
  <c r="AD18" i="3"/>
  <c r="U18" i="3"/>
  <c r="AE18" i="3"/>
  <c r="V18" i="3"/>
  <c r="AF18" i="3"/>
  <c r="W18" i="3"/>
  <c r="AG18" i="3"/>
  <c r="BJ18" i="3"/>
  <c r="X18" i="3"/>
  <c r="AH18" i="3"/>
  <c r="Y18" i="3"/>
  <c r="AI18" i="3"/>
  <c r="Z18" i="3"/>
  <c r="AJ18" i="3"/>
  <c r="AK18" i="3"/>
  <c r="AL18" i="3"/>
  <c r="AN18" i="3"/>
  <c r="AO18" i="3"/>
  <c r="BM18" i="3"/>
  <c r="Q19" i="3"/>
  <c r="AA19" i="3"/>
  <c r="R19" i="3"/>
  <c r="AB19" i="3"/>
  <c r="S19" i="3"/>
  <c r="AC19" i="3"/>
  <c r="T19" i="3"/>
  <c r="AD19" i="3"/>
  <c r="BG19" i="3"/>
  <c r="U19" i="3"/>
  <c r="AE19" i="3"/>
  <c r="V19" i="3"/>
  <c r="AF19" i="3"/>
  <c r="W19" i="3"/>
  <c r="AG19" i="3"/>
  <c r="BJ19" i="3"/>
  <c r="X19" i="3"/>
  <c r="AH19" i="3"/>
  <c r="Y19" i="3"/>
  <c r="AI19" i="3"/>
  <c r="Z19" i="3"/>
  <c r="AJ19" i="3"/>
  <c r="AK19" i="3"/>
  <c r="AL19" i="3"/>
  <c r="AN19" i="3"/>
  <c r="AO19" i="3"/>
  <c r="BM19" i="3"/>
  <c r="Q20" i="3"/>
  <c r="AA20" i="3"/>
  <c r="R20" i="3"/>
  <c r="AB20" i="3"/>
  <c r="AQ20" i="3"/>
  <c r="S20" i="3"/>
  <c r="AC20" i="3"/>
  <c r="BF20" i="3"/>
  <c r="T20" i="3"/>
  <c r="AD20" i="3"/>
  <c r="U20" i="3"/>
  <c r="AE20" i="3"/>
  <c r="V20" i="3"/>
  <c r="AF20" i="3"/>
  <c r="BI20" i="3"/>
  <c r="W20" i="3"/>
  <c r="AG20" i="3"/>
  <c r="X20" i="3"/>
  <c r="AH20" i="3"/>
  <c r="Y20" i="3"/>
  <c r="AI20" i="3"/>
  <c r="Z20" i="3"/>
  <c r="AJ20" i="3"/>
  <c r="AW20" i="3"/>
  <c r="AK20" i="3"/>
  <c r="AL20" i="3"/>
  <c r="AN20" i="3"/>
  <c r="AO20" i="3"/>
  <c r="BM20" i="3"/>
  <c r="Q21" i="3"/>
  <c r="AA21" i="3"/>
  <c r="R21" i="3"/>
  <c r="AB21" i="3"/>
  <c r="S21" i="3"/>
  <c r="AC21" i="3"/>
  <c r="T21" i="3"/>
  <c r="AD21" i="3"/>
  <c r="U21" i="3"/>
  <c r="AE21" i="3"/>
  <c r="V21" i="3"/>
  <c r="AF21" i="3"/>
  <c r="W21" i="3"/>
  <c r="AG21" i="3"/>
  <c r="X21" i="3"/>
  <c r="AH21" i="3"/>
  <c r="Y21" i="3"/>
  <c r="AI21" i="3"/>
  <c r="AV21" i="3"/>
  <c r="Z21" i="3"/>
  <c r="AJ21" i="3"/>
  <c r="AK21" i="3"/>
  <c r="AL21" i="3"/>
  <c r="AN21" i="3"/>
  <c r="AO21" i="3"/>
  <c r="BM21" i="3"/>
  <c r="Q22" i="3"/>
  <c r="AA22" i="3"/>
  <c r="R22" i="3"/>
  <c r="AB22" i="3"/>
  <c r="AQ22" i="3"/>
  <c r="T22" i="3"/>
  <c r="AD22" i="3"/>
  <c r="U22" i="3"/>
  <c r="AE22" i="3"/>
  <c r="V22" i="3"/>
  <c r="AF22" i="3"/>
  <c r="W22" i="3"/>
  <c r="AG22" i="3"/>
  <c r="BJ22" i="3"/>
  <c r="X22" i="3"/>
  <c r="AH22" i="3"/>
  <c r="Y22" i="3"/>
  <c r="AI22" i="3"/>
  <c r="Z22" i="3"/>
  <c r="AJ22" i="3"/>
  <c r="AK22" i="3"/>
  <c r="AL22" i="3"/>
  <c r="AN22" i="3"/>
  <c r="AO22" i="3"/>
  <c r="BM22" i="3"/>
  <c r="G43" i="3"/>
  <c r="G44" i="3"/>
  <c r="G45" i="3"/>
  <c r="G46" i="3"/>
  <c r="G47" i="3"/>
  <c r="G48" i="3"/>
  <c r="G49" i="3"/>
  <c r="G50" i="3"/>
  <c r="G51" i="3"/>
  <c r="G52" i="3"/>
  <c r="G53" i="3"/>
  <c r="X15" i="5"/>
  <c r="S15" i="5"/>
  <c r="T15" i="5"/>
  <c r="U15" i="5"/>
  <c r="U6" i="5"/>
  <c r="AL15" i="3"/>
  <c r="S17" i="5"/>
  <c r="S18" i="5"/>
  <c r="S19" i="5"/>
  <c r="S21" i="5"/>
  <c r="S22" i="5"/>
  <c r="C29" i="4"/>
  <c r="B29" i="4"/>
  <c r="K12" i="1"/>
  <c r="S16" i="5"/>
  <c r="G42" i="3"/>
  <c r="U7" i="5"/>
  <c r="AL6" i="3"/>
  <c r="AK15" i="3"/>
  <c r="Q15" i="3"/>
  <c r="AA15" i="3"/>
  <c r="B18" i="4"/>
  <c r="B21" i="4"/>
  <c r="E18" i="4"/>
  <c r="E21" i="4"/>
  <c r="C17" i="2"/>
  <c r="B15" i="1"/>
  <c r="B19" i="1"/>
  <c r="B23" i="1"/>
  <c r="B24" i="1"/>
  <c r="L11" i="1"/>
  <c r="M11" i="1"/>
  <c r="N11" i="1"/>
  <c r="O11" i="1"/>
  <c r="L12" i="1"/>
  <c r="M12" i="1"/>
  <c r="N12" i="1"/>
  <c r="O12" i="1"/>
  <c r="K11" i="1"/>
  <c r="C15" i="1"/>
  <c r="C19" i="1"/>
  <c r="C23" i="1"/>
  <c r="Y15" i="3"/>
  <c r="AI15" i="3"/>
  <c r="AV15" i="3"/>
  <c r="R15" i="3"/>
  <c r="AB15" i="3"/>
  <c r="AQ15" i="3"/>
  <c r="X15" i="3"/>
  <c r="AH15" i="3"/>
  <c r="BK15" i="3"/>
  <c r="AT15" i="3"/>
  <c r="Z15" i="3"/>
  <c r="AJ15" i="3"/>
  <c r="AW15" i="3"/>
  <c r="S15" i="3"/>
  <c r="AC15" i="3"/>
  <c r="BF15" i="3"/>
  <c r="U15" i="3"/>
  <c r="AE15" i="3"/>
  <c r="BH15" i="3"/>
  <c r="G21" i="6"/>
  <c r="H21" i="6"/>
  <c r="W15" i="3"/>
  <c r="AG15" i="3"/>
  <c r="BJ15" i="3"/>
  <c r="C18" i="4"/>
  <c r="D18" i="4"/>
  <c r="D21" i="4"/>
  <c r="D24" i="4"/>
  <c r="D26" i="4"/>
  <c r="G4" i="6"/>
  <c r="H4" i="6"/>
  <c r="B16" i="1"/>
  <c r="B20" i="1"/>
  <c r="C16" i="1"/>
  <c r="C20" i="1"/>
  <c r="D15" i="1"/>
  <c r="D19" i="1"/>
  <c r="D23" i="1"/>
  <c r="E15" i="1"/>
  <c r="E19" i="1"/>
  <c r="E23" i="1"/>
  <c r="F15" i="1"/>
  <c r="F19" i="1"/>
  <c r="F23" i="1"/>
  <c r="D16" i="1"/>
  <c r="D20" i="1"/>
  <c r="E16" i="1"/>
  <c r="E20" i="1"/>
  <c r="F16" i="1"/>
  <c r="F20" i="1"/>
  <c r="I20" i="2"/>
  <c r="D29" i="4"/>
  <c r="F18" i="4"/>
  <c r="F21" i="4"/>
  <c r="F24" i="4"/>
  <c r="E29" i="4"/>
  <c r="F29" i="4"/>
  <c r="AL4" i="3"/>
  <c r="AL5" i="3"/>
  <c r="AL7" i="3"/>
  <c r="T15" i="3"/>
  <c r="AD15" i="3"/>
  <c r="BG15" i="3"/>
  <c r="V15" i="3"/>
  <c r="AF15" i="3"/>
  <c r="BI15" i="3"/>
  <c r="AO15" i="3"/>
  <c r="BM15" i="3"/>
  <c r="X11" i="5"/>
  <c r="X12" i="5"/>
  <c r="X13" i="5"/>
  <c r="G5" i="6"/>
  <c r="H5" i="6"/>
  <c r="G6" i="6"/>
  <c r="H6" i="6"/>
  <c r="J19" i="6"/>
  <c r="K19" i="6"/>
  <c r="G7" i="6"/>
  <c r="H7" i="6"/>
  <c r="G8" i="6"/>
  <c r="H8" i="6"/>
  <c r="G9" i="6"/>
  <c r="H9" i="6"/>
  <c r="G10" i="6"/>
  <c r="H10" i="6"/>
  <c r="G11" i="6"/>
  <c r="H11" i="6"/>
  <c r="G12" i="6"/>
  <c r="H12" i="6"/>
  <c r="I8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I12" i="6"/>
  <c r="C24" i="1"/>
  <c r="C21" i="4"/>
  <c r="C22" i="4"/>
  <c r="B24" i="4"/>
  <c r="B26" i="4"/>
  <c r="E24" i="4"/>
  <c r="E26" i="4"/>
  <c r="E22" i="4"/>
  <c r="E25" i="4"/>
  <c r="E27" i="4"/>
  <c r="F26" i="4"/>
  <c r="F22" i="4"/>
  <c r="D22" i="4"/>
  <c r="D25" i="4"/>
  <c r="D27" i="4"/>
  <c r="H18" i="2"/>
  <c r="H21" i="2"/>
  <c r="D24" i="1"/>
  <c r="C24" i="4"/>
  <c r="S20" i="5"/>
  <c r="I21" i="6"/>
  <c r="I19" i="6"/>
  <c r="I20" i="6"/>
  <c r="J11" i="6"/>
  <c r="K11" i="6"/>
  <c r="I7" i="6"/>
  <c r="I18" i="6"/>
  <c r="I15" i="6"/>
  <c r="F24" i="1"/>
  <c r="J13" i="6"/>
  <c r="K13" i="6"/>
  <c r="I14" i="6"/>
  <c r="I13" i="6"/>
  <c r="E24" i="1"/>
  <c r="L17" i="2"/>
  <c r="L20" i="2"/>
  <c r="D17" i="2"/>
  <c r="D20" i="2"/>
  <c r="M18" i="2"/>
  <c r="M21" i="2"/>
  <c r="M17" i="2"/>
  <c r="M20" i="2"/>
  <c r="N17" i="2"/>
  <c r="N20" i="2"/>
  <c r="G17" i="2"/>
  <c r="G20" i="2"/>
  <c r="J18" i="2"/>
  <c r="J21" i="2"/>
  <c r="J17" i="2"/>
  <c r="J20" i="2"/>
  <c r="E17" i="2"/>
  <c r="E20" i="2"/>
  <c r="K17" i="2"/>
  <c r="K20" i="2"/>
  <c r="E18" i="2"/>
  <c r="E21" i="2"/>
  <c r="I18" i="2"/>
  <c r="F18" i="2"/>
  <c r="F21" i="2"/>
  <c r="L18" i="2"/>
  <c r="L21" i="2"/>
  <c r="N18" i="2"/>
  <c r="N21" i="2"/>
  <c r="G18" i="2"/>
  <c r="G21" i="2"/>
  <c r="K18" i="2"/>
  <c r="K21" i="2"/>
  <c r="F17" i="2"/>
  <c r="F20" i="2"/>
  <c r="H17" i="2"/>
  <c r="H20" i="2"/>
  <c r="H14" i="4"/>
  <c r="C26" i="4"/>
  <c r="B22" i="4"/>
  <c r="B25" i="4"/>
  <c r="B27" i="4"/>
  <c r="J16" i="6"/>
  <c r="K16" i="6"/>
  <c r="I16" i="6"/>
  <c r="I10" i="6"/>
  <c r="I6" i="6"/>
  <c r="J14" i="6"/>
  <c r="K14" i="6"/>
  <c r="J9" i="6"/>
  <c r="K9" i="6"/>
  <c r="I4" i="6"/>
  <c r="J20" i="6"/>
  <c r="K20" i="6"/>
  <c r="I5" i="6"/>
  <c r="J5" i="6"/>
  <c r="K5" i="6"/>
  <c r="J18" i="6"/>
  <c r="K18" i="6"/>
  <c r="J7" i="6"/>
  <c r="K7" i="6"/>
  <c r="I9" i="6"/>
  <c r="I17" i="6"/>
  <c r="I11" i="6"/>
  <c r="F25" i="4"/>
  <c r="F27" i="4"/>
  <c r="H22" i="6"/>
  <c r="L4" i="6"/>
  <c r="J10" i="6"/>
  <c r="K10" i="6"/>
  <c r="C25" i="4"/>
  <c r="C27" i="4"/>
  <c r="J6" i="6"/>
  <c r="K6" i="6"/>
  <c r="J8" i="6"/>
  <c r="K8" i="6"/>
  <c r="J21" i="6"/>
  <c r="J17" i="6"/>
  <c r="K17" i="6"/>
  <c r="J15" i="6"/>
  <c r="K15" i="6"/>
  <c r="J12" i="6"/>
  <c r="K12" i="6"/>
  <c r="D18" i="2"/>
  <c r="D21" i="2"/>
  <c r="I21" i="2"/>
  <c r="X17" i="5"/>
  <c r="X16" i="5"/>
  <c r="X18" i="5"/>
  <c r="X19" i="5"/>
  <c r="X20" i="5"/>
  <c r="X21" i="5"/>
  <c r="X22" i="5"/>
  <c r="T16" i="5"/>
  <c r="T17" i="5"/>
  <c r="BB26" i="3"/>
  <c r="AP17" i="3"/>
  <c r="AP15" i="3"/>
  <c r="AP21" i="3"/>
  <c r="AV22" i="3"/>
  <c r="BJ21" i="3"/>
  <c r="BF21" i="3"/>
  <c r="AV19" i="3"/>
  <c r="BI19" i="3"/>
  <c r="AQ19" i="3"/>
  <c r="AV18" i="3"/>
  <c r="BH18" i="3"/>
  <c r="BK22" i="3"/>
  <c r="AT22" i="3"/>
  <c r="AW21" i="3"/>
  <c r="AQ21" i="3"/>
  <c r="AV20" i="3"/>
  <c r="BH20" i="3"/>
  <c r="BK19" i="3"/>
  <c r="AT19" i="3"/>
  <c r="BH19" i="3"/>
  <c r="AP19" i="3"/>
  <c r="BG18" i="3"/>
  <c r="BG16" i="3"/>
  <c r="BJ26" i="3"/>
  <c r="BF26" i="3"/>
  <c r="AS26" i="3"/>
  <c r="BK24" i="3"/>
  <c r="AT24" i="3"/>
  <c r="BK23" i="3"/>
  <c r="AT23" i="3"/>
  <c r="BG23" i="3"/>
  <c r="BF22" i="3"/>
  <c r="AW22" i="3"/>
  <c r="BI22" i="3"/>
  <c r="BK21" i="3"/>
  <c r="AT21" i="3"/>
  <c r="BG21" i="3"/>
  <c r="AW19" i="3"/>
  <c r="BF19" i="3"/>
  <c r="AS19" i="3"/>
  <c r="AW18" i="3"/>
  <c r="BI18" i="3"/>
  <c r="AQ18" i="3"/>
  <c r="BI16" i="3"/>
  <c r="AQ16" i="3"/>
  <c r="AV26" i="3"/>
  <c r="BH26" i="3"/>
  <c r="AP26" i="3"/>
  <c r="BG25" i="3"/>
  <c r="AW24" i="3"/>
  <c r="BI24" i="3"/>
  <c r="AQ24" i="3"/>
  <c r="BB24" i="3"/>
  <c r="AW23" i="3"/>
  <c r="BI23" i="3"/>
  <c r="AQ23" i="3"/>
  <c r="AS17" i="3"/>
  <c r="BA17" i="3"/>
  <c r="AV16" i="3"/>
  <c r="BH16" i="3"/>
  <c r="AS16" i="3"/>
  <c r="AV24" i="3"/>
  <c r="BH24" i="3"/>
  <c r="AS24" i="3"/>
  <c r="BA24" i="3"/>
  <c r="AV23" i="3"/>
  <c r="BH23" i="3"/>
  <c r="AS23" i="3"/>
  <c r="AP23" i="3"/>
  <c r="V17" i="5"/>
  <c r="AH17" i="5"/>
  <c r="U17" i="5"/>
  <c r="T18" i="5"/>
  <c r="V16" i="5"/>
  <c r="AH16" i="5"/>
  <c r="U16" i="5"/>
  <c r="V15" i="5"/>
  <c r="AH15" i="5"/>
  <c r="AS20" i="3"/>
  <c r="AS15" i="3"/>
  <c r="BB22" i="3"/>
  <c r="BB23" i="3"/>
  <c r="BF18" i="3"/>
  <c r="BH22" i="3"/>
  <c r="BI21" i="3"/>
  <c r="AW25" i="3"/>
  <c r="BK16" i="3"/>
  <c r="AT16" i="3"/>
  <c r="AP20" i="3"/>
  <c r="BB15" i="3"/>
  <c r="BB17" i="3"/>
  <c r="BF25" i="3"/>
  <c r="AS25" i="3"/>
  <c r="AQ25" i="3"/>
  <c r="BK25" i="3"/>
  <c r="AT25" i="3"/>
  <c r="BJ25" i="3"/>
  <c r="BI25" i="3"/>
  <c r="BH21" i="3"/>
  <c r="BG22" i="3"/>
  <c r="AV25" i="3"/>
  <c r="BK18" i="3"/>
  <c r="AT18" i="3"/>
  <c r="BJ20" i="3"/>
  <c r="AP18" i="3"/>
  <c r="BK20" i="3"/>
  <c r="AT20" i="3"/>
  <c r="BB20" i="3"/>
  <c r="AP22" i="3"/>
  <c r="BJ16" i="3"/>
  <c r="BG20" i="3"/>
  <c r="AW16" i="3"/>
  <c r="AP25" i="3"/>
  <c r="AP16" i="3"/>
  <c r="BB19" i="3"/>
  <c r="AX17" i="3"/>
  <c r="AY17" i="3"/>
  <c r="AS21" i="3"/>
  <c r="BA21" i="3"/>
  <c r="AY21" i="3"/>
  <c r="BB18" i="3"/>
  <c r="BA23" i="3"/>
  <c r="AY23" i="3"/>
  <c r="BB21" i="3"/>
  <c r="BA26" i="3"/>
  <c r="AX26" i="3"/>
  <c r="BA15" i="3"/>
  <c r="AY15" i="3"/>
  <c r="AX24" i="3"/>
  <c r="AY24" i="3"/>
  <c r="BA19" i="3"/>
  <c r="AY19" i="3"/>
  <c r="BB16" i="3"/>
  <c r="AS18" i="3"/>
  <c r="BA18" i="3"/>
  <c r="AS22" i="3"/>
  <c r="BA22" i="3"/>
  <c r="AX22" i="3"/>
  <c r="U18" i="5"/>
  <c r="T19" i="5"/>
  <c r="V18" i="5"/>
  <c r="AH18" i="5"/>
  <c r="BA20" i="3"/>
  <c r="AY20" i="3"/>
  <c r="BB25" i="3"/>
  <c r="BA16" i="3"/>
  <c r="AY16" i="3"/>
  <c r="BA25" i="3"/>
  <c r="AX25" i="3"/>
  <c r="AX23" i="3"/>
  <c r="AX15" i="3"/>
  <c r="AY26" i="3"/>
  <c r="AX19" i="3"/>
  <c r="AX21" i="3"/>
  <c r="AX20" i="3"/>
  <c r="V19" i="5"/>
  <c r="AH19" i="5"/>
  <c r="U19" i="5"/>
  <c r="T20" i="5"/>
  <c r="AX16" i="3"/>
  <c r="AX18" i="3"/>
  <c r="AY18" i="3"/>
  <c r="AY22" i="3"/>
  <c r="AY25" i="3"/>
  <c r="U20" i="5"/>
  <c r="T21" i="5"/>
  <c r="V20" i="5"/>
  <c r="AH20" i="5"/>
  <c r="U21" i="5"/>
  <c r="T22" i="5"/>
  <c r="T23" i="5"/>
  <c r="V21" i="5"/>
  <c r="AH21" i="5"/>
  <c r="V23" i="5"/>
  <c r="AH23" i="5"/>
  <c r="U23" i="5"/>
  <c r="T24" i="5"/>
  <c r="V22" i="5"/>
  <c r="AH22" i="5"/>
  <c r="U22" i="5"/>
  <c r="V24" i="5"/>
  <c r="AH24" i="5"/>
  <c r="T25" i="5"/>
  <c r="U24" i="5"/>
  <c r="U25" i="5"/>
  <c r="T26" i="5"/>
  <c r="V25" i="5"/>
  <c r="AH25" i="5"/>
  <c r="U26" i="5"/>
  <c r="W25" i="5"/>
  <c r="V26" i="5"/>
  <c r="AH26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W24" i="5"/>
  <c r="W23" i="5"/>
  <c r="W22" i="5"/>
  <c r="W21" i="5"/>
  <c r="W20" i="5"/>
  <c r="W19" i="5"/>
  <c r="W18" i="5"/>
  <c r="W17" i="5"/>
  <c r="W16" i="5"/>
  <c r="W15" i="5"/>
  <c r="W14" i="5"/>
  <c r="AA26" i="5"/>
  <c r="AM26" i="5"/>
  <c r="AN26" i="5"/>
  <c r="AA21" i="5"/>
  <c r="AM21" i="5"/>
  <c r="AA23" i="5"/>
  <c r="AM23" i="5"/>
  <c r="AA24" i="5"/>
  <c r="AM24" i="5"/>
  <c r="Y23" i="5"/>
  <c r="AC23" i="5"/>
  <c r="Z17" i="5"/>
  <c r="AA17" i="5"/>
  <c r="AM17" i="5"/>
  <c r="AA19" i="5"/>
  <c r="AM19" i="5"/>
  <c r="AA20" i="5"/>
  <c r="AM20" i="5"/>
  <c r="AA16" i="5"/>
  <c r="AM16" i="5"/>
  <c r="Y18" i="5"/>
  <c r="AC18" i="5"/>
  <c r="Z24" i="5"/>
  <c r="Z25" i="5"/>
  <c r="AA25" i="5"/>
  <c r="AM25" i="5"/>
  <c r="AA22" i="5"/>
  <c r="AM22" i="5"/>
  <c r="Y22" i="5"/>
  <c r="AC22" i="5"/>
  <c r="Z16" i="5"/>
  <c r="Z19" i="5"/>
  <c r="Z21" i="5"/>
  <c r="Z15" i="5"/>
  <c r="Y25" i="5"/>
  <c r="AC25" i="5"/>
  <c r="Y26" i="5"/>
  <c r="AC26" i="5"/>
  <c r="AF26" i="5"/>
  <c r="AO26" i="5"/>
  <c r="Z26" i="5"/>
  <c r="Y19" i="5"/>
  <c r="AC19" i="5"/>
  <c r="Z22" i="5"/>
  <c r="Y17" i="5"/>
  <c r="AC17" i="5"/>
  <c r="Y20" i="5"/>
  <c r="AC20" i="5"/>
  <c r="Y16" i="5"/>
  <c r="AC16" i="5"/>
  <c r="AA18" i="5"/>
  <c r="AM18" i="5"/>
  <c r="Z23" i="5"/>
  <c r="Y24" i="5"/>
  <c r="AC24" i="5"/>
  <c r="Z20" i="5"/>
  <c r="Y21" i="5"/>
  <c r="AC21" i="5"/>
  <c r="AA15" i="5"/>
  <c r="AM15" i="5"/>
  <c r="Z18" i="5"/>
  <c r="Y15" i="5"/>
  <c r="AC15" i="5"/>
  <c r="AN25" i="5"/>
  <c r="AF24" i="5"/>
  <c r="AO24" i="5"/>
  <c r="AE26" i="5"/>
  <c r="AJ26" i="5"/>
  <c r="AK26" i="5"/>
  <c r="AL26" i="5"/>
  <c r="AE25" i="5"/>
  <c r="AJ25" i="5"/>
  <c r="AF25" i="5"/>
  <c r="AO25" i="5"/>
  <c r="AN24" i="5"/>
  <c r="AN23" i="5"/>
  <c r="AK25" i="5"/>
  <c r="AL25" i="5"/>
  <c r="AE24" i="5"/>
  <c r="AJ24" i="5"/>
  <c r="AE23" i="5"/>
  <c r="AJ23" i="5"/>
  <c r="AF23" i="5"/>
  <c r="AO23" i="5"/>
  <c r="AK24" i="5"/>
  <c r="AL24" i="5"/>
  <c r="AF22" i="5"/>
  <c r="AO22" i="5"/>
  <c r="AE22" i="5"/>
  <c r="AJ22" i="5"/>
  <c r="AN22" i="5"/>
  <c r="AK23" i="5"/>
  <c r="AL23" i="5"/>
  <c r="AK22" i="5"/>
  <c r="AL22" i="5"/>
  <c r="AF21" i="5"/>
  <c r="AO21" i="5"/>
  <c r="AP21" i="5"/>
  <c r="AE21" i="5"/>
  <c r="AJ21" i="5"/>
  <c r="AN21" i="5"/>
  <c r="AP22" i="5"/>
  <c r="AP24" i="5"/>
  <c r="AP26" i="5"/>
  <c r="AP25" i="5"/>
  <c r="AP23" i="5"/>
  <c r="AN20" i="5"/>
  <c r="AK21" i="5"/>
  <c r="AL21" i="5"/>
  <c r="AF20" i="5"/>
  <c r="AO20" i="5"/>
  <c r="AP20" i="5"/>
  <c r="AE20" i="5"/>
  <c r="AJ20" i="5"/>
  <c r="AE19" i="5"/>
  <c r="AJ19" i="5"/>
  <c r="AN19" i="5"/>
  <c r="AK20" i="5"/>
  <c r="AL20" i="5"/>
  <c r="AF19" i="5"/>
  <c r="AO19" i="5"/>
  <c r="AP19" i="5"/>
  <c r="AF18" i="5"/>
  <c r="AO18" i="5"/>
  <c r="AP18" i="5"/>
  <c r="AN18" i="5"/>
  <c r="AK19" i="5"/>
  <c r="AL19" i="5"/>
  <c r="AE18" i="5"/>
  <c r="AJ18" i="5"/>
  <c r="AK18" i="5"/>
  <c r="AL18" i="5"/>
  <c r="AN17" i="5"/>
  <c r="AE17" i="5"/>
  <c r="AJ17" i="5"/>
  <c r="AF17" i="5"/>
  <c r="AO17" i="5"/>
  <c r="AP17" i="5"/>
  <c r="AF16" i="5"/>
  <c r="AO16" i="5"/>
  <c r="AP16" i="5"/>
  <c r="AE16" i="5"/>
  <c r="AJ16" i="5"/>
  <c r="AK17" i="5"/>
  <c r="AL17" i="5"/>
  <c r="AN16" i="5"/>
  <c r="AF15" i="5"/>
  <c r="AO15" i="5"/>
  <c r="AP15" i="5"/>
  <c r="AE15" i="5"/>
  <c r="AJ15" i="5"/>
  <c r="AN15" i="5"/>
  <c r="AK15" i="5"/>
  <c r="AK16" i="5"/>
  <c r="AL16" i="5"/>
  <c r="AL15" i="5"/>
</calcChain>
</file>

<file path=xl/sharedStrings.xml><?xml version="1.0" encoding="utf-8"?>
<sst xmlns="http://schemas.openxmlformats.org/spreadsheetml/2006/main" count="532" uniqueCount="249">
  <si>
    <t xml:space="preserve">Core R15 9.5 cm </t>
  </si>
  <si>
    <t xml:space="preserve">Core R15 10.5 cm </t>
  </si>
  <si>
    <t xml:space="preserve">Core R15 11.5 cm </t>
  </si>
  <si>
    <t xml:space="preserve">Core R15 12.5 cm </t>
  </si>
  <si>
    <t xml:space="preserve">Core R15 13.5 cm </t>
  </si>
  <si>
    <t xml:space="preserve">Core R15 14.5 cm </t>
  </si>
  <si>
    <t xml:space="preserve">Core R15 15.5 cm </t>
  </si>
  <si>
    <t xml:space="preserve">Core R15 16.5 cm </t>
  </si>
  <si>
    <t>Mid Depth</t>
  </si>
  <si>
    <t xml:space="preserve">Core Area </t>
  </si>
  <si>
    <t>pCi/cm^2</t>
  </si>
  <si>
    <t>Sed Rate</t>
  </si>
  <si>
    <t>Years Acc.</t>
  </si>
  <si>
    <t>Pb-210 Flux</t>
  </si>
  <si>
    <t>g/sq cm/yr</t>
  </si>
  <si>
    <t>pCi/sq cm/yr</t>
  </si>
  <si>
    <t>(Normal 0.2-0.9)</t>
  </si>
  <si>
    <t xml:space="preserve">Total </t>
  </si>
  <si>
    <t>Absorption Correction</t>
  </si>
  <si>
    <t>seconds</t>
  </si>
  <si>
    <t>Reduced By:</t>
  </si>
  <si>
    <t>Disabled !!!!!  Set to 1</t>
  </si>
  <si>
    <t>Geometry:</t>
  </si>
  <si>
    <t>Efficiency Calibrated:</t>
  </si>
  <si>
    <t>Abs. Corr.</t>
  </si>
  <si>
    <t>NUCLIDES</t>
  </si>
  <si>
    <t xml:space="preserve"> @ KeV</t>
  </si>
  <si>
    <t>INTENSITY (%)</t>
  </si>
  <si>
    <t>EFFICIENCY</t>
  </si>
  <si>
    <t>+/- EFF ERROR</t>
  </si>
  <si>
    <t>COUNT</t>
  </si>
  <si>
    <t>% ERROR</t>
  </si>
  <si>
    <t>BKGD CPM</t>
  </si>
  <si>
    <t>+/-</t>
  </si>
  <si>
    <t>NET  CPM</t>
  </si>
  <si>
    <t xml:space="preserve">   +/-</t>
  </si>
  <si>
    <t>Activity (Bq/Kg)</t>
  </si>
  <si>
    <t>MDA (dpm/g)</t>
  </si>
  <si>
    <t>Mean</t>
  </si>
  <si>
    <t>CRS Template B:  Age/Depth &amp; Mass Sedimentation Rate Calculation</t>
  </si>
  <si>
    <t xml:space="preserve">Use Paste Special (value only) to copy data from CRS Temp-A  Activity Calculation "Date Counted" </t>
  </si>
  <si>
    <t>(AK) through "Excess Pb-210 Activity 1s Error" (BB) into this spreadsheet.</t>
  </si>
  <si>
    <t>Cumulative Weight is the only input data.</t>
  </si>
  <si>
    <t xml:space="preserve">        A(o)=</t>
  </si>
  <si>
    <t>Core ID:</t>
  </si>
  <si>
    <t>The 18 columns from CRS Temp-A (including blank columns)</t>
  </si>
  <si>
    <t>±1s error =</t>
  </si>
  <si>
    <t>Coring Date:</t>
  </si>
  <si>
    <t>must be copied.</t>
  </si>
  <si>
    <t>variance =</t>
  </si>
  <si>
    <t>Sampling Year:</t>
  </si>
  <si>
    <t>Supported</t>
  </si>
  <si>
    <t>Excess</t>
  </si>
  <si>
    <t>Cumulative</t>
  </si>
  <si>
    <t>or</t>
  </si>
  <si>
    <t>Mass</t>
  </si>
  <si>
    <t>Inventory</t>
  </si>
  <si>
    <t>AGE</t>
  </si>
  <si>
    <t>Uncorrelated</t>
  </si>
  <si>
    <t>Correlated</t>
  </si>
  <si>
    <t>Mid-depth</t>
  </si>
  <si>
    <t>LN Pb-210</t>
  </si>
  <si>
    <t>at each</t>
  </si>
  <si>
    <t>below given</t>
  </si>
  <si>
    <t>at given</t>
  </si>
  <si>
    <t>DATE</t>
  </si>
  <si>
    <t>cm</t>
  </si>
  <si>
    <t>1s Error</t>
  </si>
  <si>
    <t>depth</t>
  </si>
  <si>
    <t>(g/cm2)</t>
  </si>
  <si>
    <t>(dpm/cm2)</t>
  </si>
  <si>
    <t>(yr)</t>
  </si>
  <si>
    <t>Efficiency Calculation for Well Germanium Detectors</t>
  </si>
  <si>
    <t>Standard Name:</t>
  </si>
  <si>
    <t>IAEA-300 Baltic Sea Marine Sediment</t>
  </si>
  <si>
    <t>Date Counted:</t>
  </si>
  <si>
    <t>Net Weight:</t>
  </si>
  <si>
    <t>g</t>
  </si>
  <si>
    <t>Date Calculated:</t>
  </si>
  <si>
    <t>Live Time:</t>
  </si>
  <si>
    <t>sec</t>
  </si>
  <si>
    <t>Analyst:</t>
  </si>
  <si>
    <t>Height in Vial:</t>
  </si>
  <si>
    <t>mm</t>
  </si>
  <si>
    <t>Background Updated:</t>
  </si>
  <si>
    <t>SAMPLE ID</t>
  </si>
  <si>
    <t>Excess Pb-210</t>
  </si>
  <si>
    <t>g/Core area</t>
  </si>
  <si>
    <t xml:space="preserve">Weight </t>
  </si>
  <si>
    <t>pCi/g</t>
  </si>
  <si>
    <t>g/cm^2</t>
  </si>
  <si>
    <t xml:space="preserve">Core R15 0.5 cm </t>
  </si>
  <si>
    <t xml:space="preserve">Core R15 1.5 cm </t>
  </si>
  <si>
    <t xml:space="preserve">Core R15 2.5 cm </t>
  </si>
  <si>
    <t xml:space="preserve">Core R15 3.5 cm </t>
  </si>
  <si>
    <t xml:space="preserve">Core R15 4.5 cm </t>
  </si>
  <si>
    <t xml:space="preserve">Core R15 5.5 cm </t>
  </si>
  <si>
    <t xml:space="preserve">Core R15 6.5 cm </t>
  </si>
  <si>
    <t xml:space="preserve">Core R15 7.5 cm </t>
  </si>
  <si>
    <t xml:space="preserve">Core R15 8.5 cm </t>
  </si>
  <si>
    <t>Spectrum File:</t>
  </si>
  <si>
    <t>2811wg.cnf</t>
  </si>
  <si>
    <t>Certification Date:</t>
  </si>
  <si>
    <t>Nuclide</t>
  </si>
  <si>
    <t>Pb-210</t>
  </si>
  <si>
    <t>Pb-214</t>
  </si>
  <si>
    <t>Energy (keV)</t>
  </si>
  <si>
    <t>Intensity (%)</t>
  </si>
  <si>
    <t>Net Peak Area</t>
  </si>
  <si>
    <t>± uncertainity</t>
  </si>
  <si>
    <t>CPM</t>
  </si>
  <si>
    <t>± error</t>
  </si>
  <si>
    <t>Background CPM</t>
  </si>
  <si>
    <t>Net CPM</t>
  </si>
  <si>
    <t>Activity (dpm/g)</t>
  </si>
  <si>
    <t>% Efficiency</t>
  </si>
  <si>
    <t>± % eff error</t>
  </si>
  <si>
    <t>Bi-214</t>
  </si>
  <si>
    <t>Cs-137</t>
  </si>
  <si>
    <t>K-40</t>
  </si>
  <si>
    <t>Counts</t>
  </si>
  <si>
    <t>Summary of Standard Reference Material Activities</t>
  </si>
  <si>
    <t>Three activities are reported:</t>
  </si>
  <si>
    <t>#1 = initial certified activity as reported by agency;</t>
  </si>
  <si>
    <t>#2 = the decay corrected activity to date of counting (counting date must be changed to reflect your date of interest); and</t>
  </si>
  <si>
    <t>#3 = the decay corrected activity converted from Bq/kg to dpm/g.</t>
  </si>
  <si>
    <t>Counting Date:</t>
  </si>
  <si>
    <t>Time</t>
  </si>
  <si>
    <t>Am-241</t>
  </si>
  <si>
    <t>U-238</t>
  </si>
  <si>
    <t>Th-228</t>
  </si>
  <si>
    <t>Th-232</t>
  </si>
  <si>
    <t>Ra-226</t>
  </si>
  <si>
    <t>Ra-228</t>
  </si>
  <si>
    <t>Cs-134</t>
  </si>
  <si>
    <t>Co-60</t>
  </si>
  <si>
    <t>Since</t>
  </si>
  <si>
    <t>63/92</t>
  </si>
  <si>
    <t>6 peaks</t>
  </si>
  <si>
    <t>338/911</t>
  </si>
  <si>
    <t>1174/1332</t>
  </si>
  <si>
    <t>Standard</t>
  </si>
  <si>
    <t>Ref. Date</t>
  </si>
  <si>
    <t>Cert.</t>
  </si>
  <si>
    <t>(±1s)</t>
  </si>
  <si>
    <t>(check units)</t>
  </si>
  <si>
    <t>(days)</t>
  </si>
  <si>
    <t>years</t>
  </si>
  <si>
    <t>days</t>
  </si>
  <si>
    <t>initial certified activity</t>
  </si>
  <si>
    <t>Bq/kg</t>
  </si>
  <si>
    <t>decay corrected activity</t>
  </si>
  <si>
    <t>dpm/g</t>
  </si>
  <si>
    <t>IAEA-300</t>
  </si>
  <si>
    <t>marine sediment</t>
  </si>
  <si>
    <t>Activity Calculation</t>
  </si>
  <si>
    <t>Energy</t>
  </si>
  <si>
    <t>Detection</t>
  </si>
  <si>
    <t>Eff</t>
  </si>
  <si>
    <t>Gamma</t>
  </si>
  <si>
    <t>Core Location:</t>
  </si>
  <si>
    <t>(keV)</t>
  </si>
  <si>
    <t>Efficiency</t>
  </si>
  <si>
    <t>Error</t>
  </si>
  <si>
    <t>Intensity</t>
  </si>
  <si>
    <t>Core ID No.:</t>
  </si>
  <si>
    <t>Collection Date:</t>
  </si>
  <si>
    <t>Coring Year:</t>
  </si>
  <si>
    <t>Detector No.:</t>
  </si>
  <si>
    <t>Sample Net Count Rate</t>
  </si>
  <si>
    <t>Sample Count Rate</t>
  </si>
  <si>
    <t>Geometry Factor Correction for Sample Height in Vial</t>
  </si>
  <si>
    <t>Depth</t>
  </si>
  <si>
    <t>Mid-</t>
  </si>
  <si>
    <t>Sample</t>
  </si>
  <si>
    <t>Live</t>
  </si>
  <si>
    <t>Interval</t>
  </si>
  <si>
    <t>Date</t>
  </si>
  <si>
    <t>Weight</t>
  </si>
  <si>
    <t>Height</t>
  </si>
  <si>
    <t>46.5 keV</t>
  </si>
  <si>
    <t>661.7 keV</t>
  </si>
  <si>
    <t>Net cpm</t>
  </si>
  <si>
    <t xml:space="preserve">Depth </t>
  </si>
  <si>
    <t>Activity</t>
  </si>
  <si>
    <t>Count</t>
  </si>
  <si>
    <t>(cm)</t>
  </si>
  <si>
    <t>Counted</t>
  </si>
  <si>
    <t xml:space="preserve"> (g)</t>
  </si>
  <si>
    <t xml:space="preserve"> (mm)</t>
  </si>
  <si>
    <t xml:space="preserve"> (sec)</t>
  </si>
  <si>
    <t xml:space="preserve">CRS Template A:  Activity Calculation Spreadsheet </t>
  </si>
  <si>
    <t>Radon Daughter Peaks Used to Obtain Ra-226 Activity</t>
  </si>
  <si>
    <t>Five-point running mean for background count rates</t>
  </si>
  <si>
    <t>ln</t>
  </si>
  <si>
    <t>295.3 keV</t>
  </si>
  <si>
    <t>351.7 keV</t>
  </si>
  <si>
    <t>609.3 keV</t>
  </si>
  <si>
    <t>295.1 keV</t>
  </si>
  <si>
    <t>NET CPM</t>
  </si>
  <si>
    <t>(g)</t>
  </si>
  <si>
    <t>(mm)</t>
  </si>
  <si>
    <t>(dpm/g)</t>
  </si>
  <si>
    <t xml:space="preserve"> </t>
  </si>
  <si>
    <t xml:space="preserve">GAMMA ANALYSIS OF SAMPLE IN A PETRIDISH </t>
  </si>
  <si>
    <t>Sample Name:</t>
  </si>
  <si>
    <t>IAEA 300 Baltic Sea sediment</t>
  </si>
  <si>
    <t>Count Began:</t>
  </si>
  <si>
    <t>Weight:</t>
  </si>
  <si>
    <t>grams</t>
  </si>
  <si>
    <t>Calculated On:</t>
  </si>
  <si>
    <t>Bjoern Wissel</t>
  </si>
  <si>
    <t>Bjoern</t>
  </si>
  <si>
    <t>Lake Winnipeg</t>
  </si>
  <si>
    <t>background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</si>
  <si>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</si>
  <si>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</si>
  <si>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</si>
  <si>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</si>
  <si>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</si>
  <si>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</si>
  <si>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</si>
  <si>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</si>
  <si>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</si>
  <si>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</si>
  <si>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</si>
  <si>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</si>
  <si>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sedimentation</t>
  </si>
  <si>
    <t>cm / year</t>
  </si>
  <si>
    <t>1964 depth (cm)</t>
  </si>
  <si>
    <t>Binford's</t>
  </si>
  <si>
    <t>MASS</t>
  </si>
  <si>
    <t>Sedimentation</t>
  </si>
  <si>
    <t>Mass Sed.</t>
  </si>
  <si>
    <t>Rate</t>
  </si>
  <si>
    <t>CO2</t>
  </si>
  <si>
    <t>∆ 13C</t>
  </si>
  <si>
    <t>Error^2</t>
  </si>
  <si>
    <t>(Keeling et</t>
  </si>
  <si>
    <t>relative to</t>
  </si>
  <si>
    <t>(mg/cm2/yr)</t>
  </si>
  <si>
    <t>(%)</t>
  </si>
  <si>
    <t>(dpm^2/cm^4)</t>
  </si>
  <si>
    <t>al 1989)</t>
  </si>
  <si>
    <t>sample</t>
  </si>
  <si>
    <t>Kenosee Lake</t>
  </si>
  <si>
    <t>vial</t>
  </si>
  <si>
    <t>vial+sed</t>
  </si>
  <si>
    <t>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</si>
</sst>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0.0000"/>
    <numFmt numFmtId="167" formatCode="0.00000"/>
    <numFmt numFmtId="168" formatCode="0.0E+00"/>
    <numFmt numFmtId="169" formatCode="00.0"/>
    <numFmt numFmtId="170" formatCode="[$-1009]d\-mmm\-yy;@"/>
  </numFmts>
  <fonts count="41" x14ac:knownFonts="1">
    <font>
      <sz val="10"/>
      <name val="Arial"/>
    </font>
    <font>
      <sz val="10"/>
      <name val="Arial"/>
    </font>
    <font>
      <b/>
      <sz val="11"/>
      <name val="Geneva"/>
    </font>
    <font>
      <b/>
      <sz val="10"/>
      <name val="Geneva"/>
    </font>
    <font>
      <sz val="10"/>
      <color indexed="12"/>
      <name val="Geneva"/>
    </font>
    <font>
      <b/>
      <sz val="10"/>
      <color indexed="8"/>
      <name val="Geneva"/>
    </font>
    <font>
      <b/>
      <sz val="10"/>
      <color indexed="12"/>
      <name val="Geneva"/>
    </font>
    <font>
      <sz val="10"/>
      <color indexed="8"/>
      <name val="Geneva"/>
    </font>
    <font>
      <sz val="10"/>
      <color indexed="10"/>
      <name val="Geneva"/>
    </font>
    <font>
      <b/>
      <sz val="9"/>
      <name val="Geneva"/>
    </font>
    <font>
      <sz val="9"/>
      <name val="Geneva"/>
    </font>
    <font>
      <sz val="9"/>
      <color indexed="10"/>
      <name val="Geneva"/>
    </font>
    <font>
      <b/>
      <sz val="12"/>
      <name val="MS Sans Serif"/>
      <family val="2"/>
    </font>
    <font>
      <u/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sz val="8"/>
      <name val="Arial"/>
      <family val="2"/>
    </font>
    <font>
      <sz val="12"/>
      <color indexed="8"/>
      <name val="Geneva"/>
    </font>
    <font>
      <sz val="12"/>
      <name val="Geneva"/>
    </font>
    <font>
      <b/>
      <sz val="12"/>
      <name val="Geneva"/>
    </font>
    <font>
      <sz val="10"/>
      <name val="Geneva"/>
    </font>
    <font>
      <b/>
      <sz val="9"/>
      <name val="Helv"/>
    </font>
    <font>
      <sz val="10"/>
      <name val="Helv"/>
    </font>
    <font>
      <sz val="9"/>
      <name val="Courier"/>
      <family val="3"/>
    </font>
    <font>
      <sz val="10"/>
      <color indexed="12"/>
      <name val="Helv"/>
    </font>
    <font>
      <sz val="10"/>
      <color indexed="8"/>
      <name val="Courier"/>
      <family val="3"/>
    </font>
    <font>
      <b/>
      <sz val="10"/>
      <color indexed="10"/>
      <name val="Courier"/>
      <family val="3"/>
    </font>
    <font>
      <b/>
      <u/>
      <sz val="10"/>
      <color indexed="10"/>
      <name val="Courier"/>
      <family val="3"/>
    </font>
    <font>
      <sz val="10"/>
      <color indexed="8"/>
      <name val="Helv"/>
    </font>
    <font>
      <sz val="10"/>
      <color indexed="14"/>
      <name val="Helv"/>
    </font>
    <font>
      <sz val="10"/>
      <color indexed="14"/>
      <name val="Courier"/>
      <family val="3"/>
    </font>
    <font>
      <sz val="9"/>
      <name val="Helv"/>
    </font>
    <font>
      <b/>
      <sz val="10"/>
      <name val="Helv"/>
    </font>
    <font>
      <sz val="10"/>
      <color indexed="12"/>
      <name val="Courier"/>
      <family val="3"/>
    </font>
    <font>
      <b/>
      <sz val="10"/>
      <name val="Courier"/>
      <family val="3"/>
    </font>
    <font>
      <b/>
      <sz val="9"/>
      <name val="Courier"/>
      <family val="3"/>
    </font>
    <font>
      <sz val="10"/>
      <name val="Courier"/>
      <family val="3"/>
    </font>
    <font>
      <sz val="12"/>
      <color indexed="12"/>
      <name val="Geneva"/>
    </font>
    <font>
      <sz val="11"/>
      <name val="Helv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5" fontId="4" fillId="0" borderId="0" xfId="0" applyNumberFormat="1" applyFont="1" applyAlignment="1">
      <alignment horizontal="right"/>
    </xf>
    <xf numFmtId="1" fontId="7" fillId="0" borderId="0" xfId="0" applyNumberFormat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66" fontId="10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right"/>
    </xf>
    <xf numFmtId="2" fontId="3" fillId="2" borderId="0" xfId="0" applyNumberFormat="1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right"/>
    </xf>
    <xf numFmtId="15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5" fontId="15" fillId="0" borderId="0" xfId="0" applyNumberFormat="1" applyFont="1" applyAlignment="1">
      <alignment horizontal="right"/>
    </xf>
    <xf numFmtId="15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8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/>
    </xf>
    <xf numFmtId="15" fontId="15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1" fontId="14" fillId="0" borderId="1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5" fontId="15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1" fontId="14" fillId="0" borderId="0" xfId="0" applyNumberFormat="1" applyFont="1" applyBorder="1" applyAlignment="1">
      <alignment horizontal="center"/>
    </xf>
    <xf numFmtId="0" fontId="14" fillId="0" borderId="0" xfId="0" applyFont="1" applyAlignme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14" fillId="0" borderId="0" xfId="0" applyFont="1" applyAlignment="1">
      <alignment horizontal="left"/>
    </xf>
    <xf numFmtId="2" fontId="15" fillId="0" borderId="0" xfId="0" applyNumberFormat="1" applyFont="1" applyAlignment="1"/>
    <xf numFmtId="164" fontId="15" fillId="0" borderId="0" xfId="0" applyNumberFormat="1" applyFont="1" applyAlignment="1"/>
    <xf numFmtId="166" fontId="15" fillId="0" borderId="0" xfId="0" applyNumberFormat="1" applyFont="1" applyAlignment="1"/>
    <xf numFmtId="0" fontId="15" fillId="0" borderId="1" xfId="0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  <xf numFmtId="169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7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0" xfId="0" applyFont="1"/>
    <xf numFmtId="166" fontId="21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166" fontId="21" fillId="0" borderId="0" xfId="0" applyNumberFormat="1" applyFont="1"/>
    <xf numFmtId="166" fontId="7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23" fillId="0" borderId="0" xfId="0" applyFont="1" applyAlignment="1" applyProtection="1">
      <alignment horizontal="right"/>
    </xf>
    <xf numFmtId="0" fontId="0" fillId="0" borderId="0" xfId="0" applyProtection="1"/>
    <xf numFmtId="0" fontId="24" fillId="0" borderId="0" xfId="0" applyFont="1" applyProtection="1"/>
    <xf numFmtId="0" fontId="22" fillId="0" borderId="0" xfId="0" applyFont="1" applyAlignment="1" applyProtection="1">
      <alignment horizontal="right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15" fontId="25" fillId="0" borderId="0" xfId="0" applyNumberFormat="1" applyFont="1" applyAlignment="1" applyProtection="1">
      <alignment horizontal="right"/>
      <protection locked="0"/>
    </xf>
    <xf numFmtId="1" fontId="26" fillId="0" borderId="0" xfId="0" applyNumberFormat="1" applyFont="1" applyProtection="1"/>
    <xf numFmtId="0" fontId="25" fillId="0" borderId="0" xfId="0" applyFont="1" applyAlignment="1" applyProtection="1">
      <alignment horizontal="right"/>
      <protection locked="0"/>
    </xf>
    <xf numFmtId="0" fontId="23" fillId="0" borderId="0" xfId="0" applyFont="1" applyProtection="1"/>
    <xf numFmtId="0" fontId="27" fillId="0" borderId="0" xfId="0" applyFont="1"/>
    <xf numFmtId="15" fontId="0" fillId="0" borderId="0" xfId="0" applyNumberFormat="1" applyProtection="1"/>
    <xf numFmtId="1" fontId="25" fillId="0" borderId="0" xfId="0" applyNumberFormat="1" applyFont="1" applyAlignment="1" applyProtection="1">
      <alignment horizontal="right"/>
      <protection locked="0"/>
    </xf>
    <xf numFmtId="0" fontId="28" fillId="0" borderId="0" xfId="0" applyFont="1"/>
    <xf numFmtId="0" fontId="29" fillId="0" borderId="0" xfId="0" applyFont="1" applyAlignment="1" applyProtection="1">
      <alignment horizontal="left"/>
    </xf>
    <xf numFmtId="2" fontId="23" fillId="0" borderId="0" xfId="0" applyNumberFormat="1" applyFont="1" applyAlignment="1" applyProtection="1">
      <alignment horizontal="right"/>
    </xf>
    <xf numFmtId="0" fontId="23" fillId="0" borderId="0" xfId="0" applyFont="1" applyProtection="1">
      <protection locked="0"/>
    </xf>
    <xf numFmtId="0" fontId="22" fillId="0" borderId="0" xfId="0" applyFont="1" applyProtection="1"/>
    <xf numFmtId="164" fontId="30" fillId="0" borderId="0" xfId="0" applyNumberFormat="1" applyFont="1" applyFill="1" applyAlignment="1" applyProtection="1">
      <alignment horizontal="right"/>
      <protection locked="0"/>
    </xf>
    <xf numFmtId="0" fontId="30" fillId="0" borderId="0" xfId="0" applyFont="1" applyAlignment="1" applyProtection="1">
      <alignment horizontal="right"/>
    </xf>
    <xf numFmtId="0" fontId="31" fillId="0" borderId="0" xfId="0" applyFont="1" applyProtection="1"/>
    <xf numFmtId="0" fontId="32" fillId="0" borderId="0" xfId="0" applyFont="1" applyProtection="1"/>
    <xf numFmtId="0" fontId="23" fillId="0" borderId="0" xfId="0" applyFont="1" applyAlignment="1" applyProtection="1">
      <alignment horizontal="left"/>
    </xf>
    <xf numFmtId="0" fontId="33" fillId="0" borderId="0" xfId="0" applyFont="1" applyAlignment="1" applyProtection="1">
      <alignment horizontal="center"/>
    </xf>
    <xf numFmtId="1" fontId="25" fillId="0" borderId="0" xfId="0" applyNumberFormat="1" applyFont="1" applyProtection="1">
      <protection locked="0"/>
    </xf>
    <xf numFmtId="0" fontId="32" fillId="0" borderId="0" xfId="0" applyFont="1" applyAlignment="1" applyProtection="1">
      <alignment horizontal="left"/>
    </xf>
    <xf numFmtId="165" fontId="23" fillId="0" borderId="0" xfId="0" applyNumberFormat="1" applyFont="1" applyAlignment="1" applyProtection="1">
      <alignment horizontal="center"/>
    </xf>
    <xf numFmtId="2" fontId="23" fillId="0" borderId="0" xfId="0" applyNumberFormat="1" applyFont="1" applyProtection="1"/>
    <xf numFmtId="165" fontId="23" fillId="0" borderId="0" xfId="0" applyNumberFormat="1" applyFont="1" applyAlignment="1" applyProtection="1">
      <alignment horizontal="right"/>
    </xf>
    <xf numFmtId="165" fontId="23" fillId="0" borderId="0" xfId="0" applyNumberFormat="1" applyFont="1" applyProtection="1"/>
    <xf numFmtId="1" fontId="34" fillId="0" borderId="0" xfId="0" applyNumberFormat="1" applyFont="1" applyProtection="1"/>
    <xf numFmtId="166" fontId="23" fillId="0" borderId="0" xfId="0" applyNumberFormat="1" applyFont="1" applyProtection="1"/>
    <xf numFmtId="166" fontId="23" fillId="0" borderId="0" xfId="0" applyNumberFormat="1" applyFont="1" applyAlignment="1" applyProtection="1">
      <alignment horizontal="right"/>
    </xf>
    <xf numFmtId="2" fontId="34" fillId="0" borderId="0" xfId="0" applyNumberFormat="1" applyFont="1" applyProtection="1"/>
    <xf numFmtId="0" fontId="32" fillId="0" borderId="0" xfId="0" quotePrefix="1" applyFont="1" applyAlignment="1" applyProtection="1">
      <alignment horizontal="left"/>
    </xf>
    <xf numFmtId="2" fontId="25" fillId="0" borderId="0" xfId="0" applyNumberFormat="1" applyFont="1" applyAlignment="1" applyProtection="1">
      <alignment horizontal="right"/>
      <protection locked="0"/>
    </xf>
    <xf numFmtId="164" fontId="32" fillId="0" borderId="0" xfId="0" applyNumberFormat="1" applyFont="1" applyAlignment="1" applyProtection="1">
      <alignment horizontal="left"/>
    </xf>
    <xf numFmtId="164" fontId="23" fillId="0" borderId="0" xfId="0" applyNumberFormat="1" applyFont="1" applyProtection="1"/>
    <xf numFmtId="164" fontId="23" fillId="0" borderId="0" xfId="0" applyNumberFormat="1" applyFont="1" applyAlignment="1" applyProtection="1">
      <alignment horizontal="right"/>
    </xf>
    <xf numFmtId="164" fontId="0" fillId="0" borderId="0" xfId="0" applyNumberFormat="1" applyProtection="1"/>
    <xf numFmtId="164" fontId="0" fillId="0" borderId="0" xfId="0" applyNumberFormat="1"/>
    <xf numFmtId="0" fontId="32" fillId="0" borderId="0" xfId="0" quotePrefix="1" applyFont="1" applyAlignment="1" applyProtection="1">
      <alignment horizontal="center"/>
    </xf>
    <xf numFmtId="0" fontId="32" fillId="0" borderId="0" xfId="0" applyFont="1" applyAlignment="1" applyProtection="1">
      <alignment horizontal="center"/>
    </xf>
    <xf numFmtId="0" fontId="33" fillId="0" borderId="0" xfId="0" applyFont="1" applyProtection="1"/>
    <xf numFmtId="165" fontId="33" fillId="0" borderId="0" xfId="0" applyNumberFormat="1" applyFont="1" applyProtection="1"/>
    <xf numFmtId="2" fontId="22" fillId="0" borderId="0" xfId="0" applyNumberFormat="1" applyFont="1" applyAlignment="1" applyProtection="1">
      <alignment horizontal="center"/>
    </xf>
    <xf numFmtId="2" fontId="35" fillId="0" borderId="0" xfId="0" applyNumberFormat="1" applyFont="1" applyProtection="1"/>
    <xf numFmtId="2" fontId="35" fillId="0" borderId="0" xfId="0" applyNumberFormat="1" applyFont="1"/>
    <xf numFmtId="0" fontId="30" fillId="0" borderId="0" xfId="0" applyFont="1" applyProtection="1"/>
    <xf numFmtId="11" fontId="23" fillId="0" borderId="0" xfId="0" applyNumberFormat="1" applyFont="1" applyProtection="1"/>
    <xf numFmtId="2" fontId="25" fillId="0" borderId="0" xfId="0" applyNumberFormat="1" applyFont="1" applyProtection="1">
      <protection locked="0"/>
    </xf>
    <xf numFmtId="164" fontId="33" fillId="0" borderId="0" xfId="0" applyNumberFormat="1" applyFont="1" applyAlignment="1" applyProtection="1">
      <alignment horizontal="center"/>
    </xf>
    <xf numFmtId="2" fontId="23" fillId="0" borderId="0" xfId="0" applyNumberFormat="1" applyFont="1" applyAlignment="1" applyProtection="1">
      <alignment horizontal="center"/>
    </xf>
    <xf numFmtId="0" fontId="36" fillId="0" borderId="0" xfId="0" applyFont="1" applyAlignment="1" applyProtection="1">
      <alignment horizontal="left"/>
    </xf>
    <xf numFmtId="0" fontId="37" fillId="0" borderId="0" xfId="0" applyFont="1" applyAlignment="1" applyProtection="1">
      <alignment horizontal="right"/>
    </xf>
    <xf numFmtId="0" fontId="37" fillId="0" borderId="0" xfId="0" applyFont="1" applyProtection="1"/>
    <xf numFmtId="0" fontId="35" fillId="0" borderId="0" xfId="0" applyFont="1" applyAlignment="1" applyProtection="1">
      <alignment horizontal="left"/>
    </xf>
    <xf numFmtId="0" fontId="35" fillId="0" borderId="0" xfId="0" applyFont="1" applyAlignment="1" applyProtection="1">
      <alignment horizontal="right"/>
    </xf>
    <xf numFmtId="0" fontId="24" fillId="0" borderId="0" xfId="0" applyFont="1" applyAlignment="1" applyProtection="1">
      <alignment horizontal="left"/>
    </xf>
    <xf numFmtId="0" fontId="20" fillId="0" borderId="0" xfId="0" applyFont="1"/>
    <xf numFmtId="165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8" fillId="0" borderId="0" xfId="0" applyFont="1"/>
    <xf numFmtId="165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21" fillId="0" borderId="0" xfId="0" applyNumberFormat="1" applyFont="1"/>
    <xf numFmtId="164" fontId="21" fillId="0" borderId="0" xfId="0" applyNumberFormat="1" applyFont="1"/>
    <xf numFmtId="1" fontId="21" fillId="0" borderId="0" xfId="0" applyNumberFormat="1" applyFont="1" applyAlignment="1">
      <alignment horizontal="center"/>
    </xf>
    <xf numFmtId="1" fontId="0" fillId="0" borderId="0" xfId="0" applyNumberFormat="1"/>
    <xf numFmtId="2" fontId="9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/>
    <xf numFmtId="164" fontId="10" fillId="0" borderId="0" xfId="0" applyNumberFormat="1" applyFont="1" applyAlignment="1">
      <alignment horizontal="center"/>
    </xf>
    <xf numFmtId="164" fontId="3" fillId="0" borderId="0" xfId="0" applyNumberFormat="1" applyFont="1"/>
    <xf numFmtId="2" fontId="0" fillId="0" borderId="0" xfId="0" applyNumberFormat="1" applyAlignment="1">
      <alignment horizontal="left"/>
    </xf>
    <xf numFmtId="165" fontId="0" fillId="0" borderId="0" xfId="0" applyNumberFormat="1"/>
    <xf numFmtId="1" fontId="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9" fontId="7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39" fillId="0" borderId="0" xfId="0" applyFont="1" applyAlignment="1" applyProtection="1">
      <alignment horizontal="left"/>
      <protection locked="0"/>
    </xf>
    <xf numFmtId="2" fontId="39" fillId="0" borderId="0" xfId="0" applyNumberFormat="1" applyFont="1"/>
    <xf numFmtId="0" fontId="39" fillId="0" borderId="0" xfId="0" applyFont="1" applyAlignment="1">
      <alignment horizontal="center"/>
    </xf>
    <xf numFmtId="0" fontId="39" fillId="0" borderId="0" xfId="0" applyFont="1"/>
    <xf numFmtId="2" fontId="39" fillId="0" borderId="0" xfId="0" applyNumberFormat="1" applyFont="1" applyAlignment="1">
      <alignment horizontal="center"/>
    </xf>
    <xf numFmtId="2" fontId="39" fillId="0" borderId="0" xfId="0" applyNumberFormat="1" applyFont="1" applyAlignment="1" applyProtection="1">
      <alignment horizontal="right"/>
      <protection locked="0"/>
    </xf>
    <xf numFmtId="2" fontId="39" fillId="0" borderId="0" xfId="0" applyNumberFormat="1" applyFont="1" applyAlignment="1">
      <alignment horizontal="right"/>
    </xf>
    <xf numFmtId="166" fontId="39" fillId="0" borderId="0" xfId="0" applyNumberFormat="1" applyFont="1"/>
    <xf numFmtId="164" fontId="39" fillId="0" borderId="0" xfId="0" applyNumberFormat="1" applyFont="1"/>
    <xf numFmtId="1" fontId="39" fillId="0" borderId="0" xfId="0" applyNumberFormat="1" applyFont="1"/>
    <xf numFmtId="15" fontId="8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2" fontId="3" fillId="0" borderId="0" xfId="0" applyNumberFormat="1" applyFont="1" applyFill="1" applyAlignment="1">
      <alignment horizontal="center"/>
    </xf>
    <xf numFmtId="2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169" fontId="2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33" fillId="0" borderId="0" xfId="0" applyNumberFormat="1" applyFont="1" applyProtection="1"/>
    <xf numFmtId="2" fontId="33" fillId="0" borderId="0" xfId="0" applyNumberFormat="1" applyFont="1" applyAlignment="1" applyProtection="1">
      <alignment horizontal="center"/>
    </xf>
    <xf numFmtId="2" fontId="15" fillId="3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0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1" fontId="40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left"/>
    </xf>
    <xf numFmtId="170" fontId="0" fillId="0" borderId="0" xfId="0" applyNumberForma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92405063291"/>
          <c:y val="0.0507462686567164"/>
          <c:w val="0.853164556962025"/>
          <c:h val="0.8328358208955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'age calculation CRS B'!$C$15:$C$29</c:f>
              <c:numCache>
                <c:formatCode>0.00</c:formatCode>
                <c:ptCount val="15"/>
                <c:pt idx="0">
                  <c:v>2.25</c:v>
                </c:pt>
                <c:pt idx="1">
                  <c:v>5.25</c:v>
                </c:pt>
                <c:pt idx="2">
                  <c:v>8.25</c:v>
                </c:pt>
                <c:pt idx="3">
                  <c:v>11.25</c:v>
                </c:pt>
                <c:pt idx="4">
                  <c:v>14.25</c:v>
                </c:pt>
                <c:pt idx="5">
                  <c:v>17.25</c:v>
                </c:pt>
                <c:pt idx="6">
                  <c:v>20.25</c:v>
                </c:pt>
                <c:pt idx="7">
                  <c:v>23.25</c:v>
                </c:pt>
                <c:pt idx="8">
                  <c:v>26.25</c:v>
                </c:pt>
                <c:pt idx="9">
                  <c:v>29.25</c:v>
                </c:pt>
                <c:pt idx="10">
                  <c:v>32.25</c:v>
                </c:pt>
                <c:pt idx="11">
                  <c:v>35.25</c:v>
                </c:pt>
              </c:numCache>
            </c:numRef>
          </c:xVal>
          <c:yVal>
            <c:numRef>
              <c:f>'age calculation CRS B'!$N$15:$N$29</c:f>
              <c:numCache>
                <c:formatCode>0.00</c:formatCode>
                <c:ptCount val="15"/>
                <c:pt idx="0">
                  <c:v>2.686506750804002</c:v>
                </c:pt>
                <c:pt idx="1">
                  <c:v>2.113912263846228</c:v>
                </c:pt>
                <c:pt idx="2">
                  <c:v>1.36814064873267</c:v>
                </c:pt>
                <c:pt idx="3">
                  <c:v>1.720490547444573</c:v>
                </c:pt>
                <c:pt idx="4">
                  <c:v>1.739543423031848</c:v>
                </c:pt>
                <c:pt idx="5">
                  <c:v>1.158584171144095</c:v>
                </c:pt>
                <c:pt idx="6">
                  <c:v>-0.0722975693481478</c:v>
                </c:pt>
                <c:pt idx="7">
                  <c:v>-0.362420292112293</c:v>
                </c:pt>
                <c:pt idx="8">
                  <c:v>0.381431136824162</c:v>
                </c:pt>
                <c:pt idx="9">
                  <c:v>-0.289226956676465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30066753048274"/>
                  <c:y val="-0.293490551966149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'age calculation CRS B'!$C$15:$C$21</c:f>
              <c:numCache>
                <c:formatCode>0.00</c:formatCode>
                <c:ptCount val="7"/>
                <c:pt idx="0">
                  <c:v>2.25</c:v>
                </c:pt>
                <c:pt idx="1">
                  <c:v>5.25</c:v>
                </c:pt>
                <c:pt idx="2">
                  <c:v>8.25</c:v>
                </c:pt>
                <c:pt idx="3">
                  <c:v>11.25</c:v>
                </c:pt>
                <c:pt idx="4">
                  <c:v>14.25</c:v>
                </c:pt>
                <c:pt idx="5">
                  <c:v>17.25</c:v>
                </c:pt>
                <c:pt idx="6">
                  <c:v>20.25</c:v>
                </c:pt>
              </c:numCache>
            </c:numRef>
          </c:xVal>
          <c:yVal>
            <c:numRef>
              <c:f>'age calculation CRS B'!$O$15:$O$21</c:f>
              <c:numCache>
                <c:formatCode>0.00</c:formatCode>
                <c:ptCount val="7"/>
                <c:pt idx="0">
                  <c:v>2.686506750804002</c:v>
                </c:pt>
                <c:pt idx="1">
                  <c:v>2.113912263846228</c:v>
                </c:pt>
                <c:pt idx="2">
                  <c:v>1.36814064873267</c:v>
                </c:pt>
                <c:pt idx="3">
                  <c:v>1.720490547444573</c:v>
                </c:pt>
                <c:pt idx="4">
                  <c:v>1.739543423031848</c:v>
                </c:pt>
                <c:pt idx="5">
                  <c:v>1.158584171144095</c:v>
                </c:pt>
                <c:pt idx="6">
                  <c:v>-0.0722975693481478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66592"/>
        <c:axId val="2092761888"/>
      </c:scatterChart>
      <c:valAx>
        <c:axId val="2092766592"/>
        <c:scaling>
          <c:orientation val="minMax"/>
          <c:max val="35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61888"/>
        <c:crossesAt val="-2.0"/>
        <c:crossBetween val="midCat"/>
        <c:majorUnit val="5.0"/>
      </c:valAx>
      <c:valAx>
        <c:axId val="2092761888"/>
        <c:scaling>
          <c:orientation val="minMax"/>
          <c:max val="3.0"/>
          <c:min val="-2.0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66592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137010219278"/>
          <c:y val="0.050345605460277"/>
          <c:w val="0.878180044163714"/>
          <c:h val="0.8351447493998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calculation CRS B'!$C$15:$C$29</c:f>
              <c:numCache>
                <c:formatCode>0.00</c:formatCode>
                <c:ptCount val="15"/>
                <c:pt idx="0">
                  <c:v>2.25</c:v>
                </c:pt>
                <c:pt idx="1">
                  <c:v>5.25</c:v>
                </c:pt>
                <c:pt idx="2">
                  <c:v>8.25</c:v>
                </c:pt>
                <c:pt idx="3">
                  <c:v>11.25</c:v>
                </c:pt>
                <c:pt idx="4">
                  <c:v>14.25</c:v>
                </c:pt>
                <c:pt idx="5">
                  <c:v>17.25</c:v>
                </c:pt>
                <c:pt idx="6">
                  <c:v>20.25</c:v>
                </c:pt>
                <c:pt idx="7">
                  <c:v>23.25</c:v>
                </c:pt>
                <c:pt idx="8">
                  <c:v>26.25</c:v>
                </c:pt>
                <c:pt idx="9">
                  <c:v>29.25</c:v>
                </c:pt>
                <c:pt idx="10">
                  <c:v>32.25</c:v>
                </c:pt>
                <c:pt idx="11">
                  <c:v>35.25</c:v>
                </c:pt>
              </c:numCache>
            </c:numRef>
          </c:xVal>
          <c:yVal>
            <c:numRef>
              <c:f>'age calculation CRS B'!$L$15:$L$29</c:f>
              <c:numCache>
                <c:formatCode>0.00</c:formatCode>
                <c:ptCount val="15"/>
                <c:pt idx="0">
                  <c:v>1.929298312645028</c:v>
                </c:pt>
                <c:pt idx="1">
                  <c:v>1.728316609666902</c:v>
                </c:pt>
                <c:pt idx="2">
                  <c:v>2.939976223170709</c:v>
                </c:pt>
                <c:pt idx="3">
                  <c:v>4.002026279173942</c:v>
                </c:pt>
                <c:pt idx="4">
                  <c:v>7.678593071007949</c:v>
                </c:pt>
                <c:pt idx="5">
                  <c:v>2.379706882233437</c:v>
                </c:pt>
                <c:pt idx="6">
                  <c:v>0.702150753362497</c:v>
                </c:pt>
                <c:pt idx="7">
                  <c:v>0.531819622115877</c:v>
                </c:pt>
                <c:pt idx="8">
                  <c:v>0.172800191407932</c:v>
                </c:pt>
                <c:pt idx="9">
                  <c:v>0.0930427204373817</c:v>
                </c:pt>
                <c:pt idx="10">
                  <c:v>0.0120286781780704</c:v>
                </c:pt>
                <c:pt idx="11">
                  <c:v>0.0105671369577052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87264"/>
        <c:axId val="2096389312"/>
      </c:scatterChart>
      <c:valAx>
        <c:axId val="2096387264"/>
        <c:scaling>
          <c:orientation val="minMax"/>
          <c:max val="40.0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389312"/>
        <c:crossesAt val="-1.0"/>
        <c:crossBetween val="midCat"/>
        <c:majorUnit val="5.0"/>
      </c:valAx>
      <c:valAx>
        <c:axId val="2096389312"/>
        <c:scaling>
          <c:orientation val="minMax"/>
          <c:max val="8.0"/>
          <c:min val="-1.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387264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093360036974"/>
          <c:y val="0.0501474926253687"/>
          <c:w val="0.828223694346018"/>
          <c:h val="0.83480825958702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calculation CRS B'!$C$15:$C$26</c:f>
              <c:numCache>
                <c:formatCode>0.00</c:formatCode>
                <c:ptCount val="12"/>
                <c:pt idx="0">
                  <c:v>2.25</c:v>
                </c:pt>
                <c:pt idx="1">
                  <c:v>5.25</c:v>
                </c:pt>
                <c:pt idx="2">
                  <c:v>8.25</c:v>
                </c:pt>
                <c:pt idx="3">
                  <c:v>11.25</c:v>
                </c:pt>
                <c:pt idx="4">
                  <c:v>14.25</c:v>
                </c:pt>
                <c:pt idx="5">
                  <c:v>17.25</c:v>
                </c:pt>
                <c:pt idx="6">
                  <c:v>20.25</c:v>
                </c:pt>
                <c:pt idx="7">
                  <c:v>23.25</c:v>
                </c:pt>
                <c:pt idx="8">
                  <c:v>26.25</c:v>
                </c:pt>
                <c:pt idx="9">
                  <c:v>29.25</c:v>
                </c:pt>
                <c:pt idx="10">
                  <c:v>32.25</c:v>
                </c:pt>
                <c:pt idx="11">
                  <c:v>35.25</c:v>
                </c:pt>
              </c:numCache>
            </c:numRef>
          </c:xVal>
          <c:yVal>
            <c:numRef>
              <c:f>'age calculation CRS B'!$AC$15:$AC$26</c:f>
              <c:numCache>
                <c:formatCode>0.00</c:formatCode>
                <c:ptCount val="12"/>
                <c:pt idx="0">
                  <c:v>2003.584025476651</c:v>
                </c:pt>
                <c:pt idx="1">
                  <c:v>1994.66300427632</c:v>
                </c:pt>
                <c:pt idx="2">
                  <c:v>1989.454002880099</c:v>
                </c:pt>
                <c:pt idx="3">
                  <c:v>1979.449781737076</c:v>
                </c:pt>
                <c:pt idx="4">
                  <c:v>1962.317495547167</c:v>
                </c:pt>
                <c:pt idx="5">
                  <c:v>1941.640332554452</c:v>
                </c:pt>
                <c:pt idx="6">
                  <c:v>1932.70330056286</c:v>
                </c:pt>
                <c:pt idx="7">
                  <c:v>1923.8767154635</c:v>
                </c:pt>
                <c:pt idx="8">
                  <c:v>1887.978152944402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47136"/>
        <c:axId val="2096449184"/>
      </c:scatterChart>
      <c:valAx>
        <c:axId val="2096447136"/>
        <c:scaling>
          <c:orientation val="minMax"/>
          <c:max val="3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49184"/>
        <c:crossesAt val="-1.0"/>
        <c:crossBetween val="midCat"/>
        <c:majorUnit val="5.0"/>
      </c:valAx>
      <c:valAx>
        <c:axId val="2096449184"/>
        <c:scaling>
          <c:orientation val="minMax"/>
          <c:max val="2015.0"/>
          <c:min val="1830.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47136"/>
        <c:crosses val="autoZero"/>
        <c:crossBetween val="midCat"/>
        <c:majorUnit val="20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1279081315"/>
          <c:y val="0.0484392837545491"/>
          <c:w val="0.848351165866076"/>
          <c:h val="0.85253139408006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'CSM CRS calc'!$K$4:$K$20</c:f>
              <c:numCache>
                <c:formatCode>0</c:formatCode>
                <c:ptCount val="17"/>
                <c:pt idx="0">
                  <c:v>1999.0</c:v>
                </c:pt>
                <c:pt idx="1">
                  <c:v>1998.836839818807</c:v>
                </c:pt>
                <c:pt idx="2">
                  <c:v>1997.894854733841</c:v>
                </c:pt>
                <c:pt idx="3">
                  <c:v>1997.25478302456</c:v>
                </c:pt>
                <c:pt idx="4">
                  <c:v>1995.71324762876</c:v>
                </c:pt>
                <c:pt idx="5">
                  <c:v>1993.014386412844</c:v>
                </c:pt>
                <c:pt idx="6">
                  <c:v>1989.665608994935</c:v>
                </c:pt>
                <c:pt idx="7">
                  <c:v>1987.529661907372</c:v>
                </c:pt>
                <c:pt idx="8">
                  <c:v>1984.83597236527</c:v>
                </c:pt>
                <c:pt idx="9">
                  <c:v>1980.340675572978</c:v>
                </c:pt>
                <c:pt idx="10">
                  <c:v>1977.710901391308</c:v>
                </c:pt>
                <c:pt idx="11">
                  <c:v>1974.756564336616</c:v>
                </c:pt>
                <c:pt idx="12">
                  <c:v>1970.865139718288</c:v>
                </c:pt>
                <c:pt idx="13">
                  <c:v>1949.955542769446</c:v>
                </c:pt>
                <c:pt idx="14">
                  <c:v>1938.059737185654</c:v>
                </c:pt>
                <c:pt idx="15">
                  <c:v>1918.346654024258</c:v>
                </c:pt>
                <c:pt idx="16">
                  <c:v>1893.8709034356</c:v>
                </c:pt>
              </c:numCache>
            </c:numRef>
          </c:xVal>
          <c:yVal>
            <c:numRef>
              <c:f>'CSM CRS calc'!$L$4:$L$20</c:f>
              <c:numCache>
                <c:formatCode>0.00</c:formatCode>
                <c:ptCount val="17"/>
                <c:pt idx="0">
                  <c:v>1.439573795589554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96492306298622"/>
                  <c:y val="0.0157021225598684"/>
                </c:manualLayout>
              </c:layout>
              <c:numFmt formatCode="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'CSM CRS calc'!$K$4:$K$20</c:f>
              <c:numCache>
                <c:formatCode>0</c:formatCode>
                <c:ptCount val="17"/>
                <c:pt idx="0">
                  <c:v>1999.0</c:v>
                </c:pt>
                <c:pt idx="1">
                  <c:v>1998.836839818807</c:v>
                </c:pt>
                <c:pt idx="2">
                  <c:v>1997.894854733841</c:v>
                </c:pt>
                <c:pt idx="3">
                  <c:v>1997.25478302456</c:v>
                </c:pt>
                <c:pt idx="4">
                  <c:v>1995.71324762876</c:v>
                </c:pt>
                <c:pt idx="5">
                  <c:v>1993.014386412844</c:v>
                </c:pt>
                <c:pt idx="6">
                  <c:v>1989.665608994935</c:v>
                </c:pt>
                <c:pt idx="7">
                  <c:v>1987.529661907372</c:v>
                </c:pt>
                <c:pt idx="8">
                  <c:v>1984.83597236527</c:v>
                </c:pt>
                <c:pt idx="9">
                  <c:v>1980.340675572978</c:v>
                </c:pt>
                <c:pt idx="10">
                  <c:v>1977.710901391308</c:v>
                </c:pt>
                <c:pt idx="11">
                  <c:v>1974.756564336616</c:v>
                </c:pt>
                <c:pt idx="12">
                  <c:v>1970.865139718288</c:v>
                </c:pt>
                <c:pt idx="13">
                  <c:v>1949.955542769446</c:v>
                </c:pt>
                <c:pt idx="14">
                  <c:v>1938.059737185654</c:v>
                </c:pt>
                <c:pt idx="15">
                  <c:v>1918.346654024258</c:v>
                </c:pt>
                <c:pt idx="16">
                  <c:v>1893.8709034356</c:v>
                </c:pt>
              </c:numCache>
            </c:numRef>
          </c:xVal>
          <c:yVal>
            <c:numRef>
              <c:f>'CSM CRS calc'!$M$4:$M$20</c:f>
              <c:numCache>
                <c:formatCode>General</c:formatCode>
                <c:ptCount val="17"/>
                <c:pt idx="0">
                  <c:v>2001.590420576169</c:v>
                </c:pt>
                <c:pt idx="1">
                  <c:v>2000.669436408823</c:v>
                </c:pt>
                <c:pt idx="2">
                  <c:v>2000.043959161128</c:v>
                </c:pt>
                <c:pt idx="3">
                  <c:v>1998.538684419161</c:v>
                </c:pt>
                <c:pt idx="4">
                  <c:v>1995.907278164986</c:v>
                </c:pt>
                <c:pt idx="5">
                  <c:v>1992.649776417644</c:v>
                </c:pt>
                <c:pt idx="6">
                  <c:v>1990.576797182577</c:v>
                </c:pt>
                <c:pt idx="7">
                  <c:v>1987.968230985779</c:v>
                </c:pt>
                <c:pt idx="8">
                  <c:v>1983.630538006341</c:v>
                </c:pt>
                <c:pt idx="9">
                  <c:v>1981.102875145492</c:v>
                </c:pt>
                <c:pt idx="10">
                  <c:v>1978.272862152951</c:v>
                </c:pt>
                <c:pt idx="11">
                  <c:v>1974.562183234107</c:v>
                </c:pt>
                <c:pt idx="12">
                  <c:v>1955.056285096315</c:v>
                </c:pt>
                <c:pt idx="13">
                  <c:v>1944.412353220678</c:v>
                </c:pt>
                <c:pt idx="14">
                  <c:v>1927.881426545356</c:v>
                </c:pt>
                <c:pt idx="15">
                  <c:v>1910.162132648211</c:v>
                </c:pt>
                <c:pt idx="16">
                  <c:v>1876.856625887414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80624"/>
        <c:axId val="2096482944"/>
      </c:scatterChart>
      <c:valAx>
        <c:axId val="2096480624"/>
        <c:scaling>
          <c:orientation val="minMax"/>
          <c:max val="2002.0"/>
          <c:min val="1860.0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82944"/>
        <c:crosses val="autoZero"/>
        <c:crossBetween val="midCat"/>
      </c:valAx>
      <c:valAx>
        <c:axId val="2096482944"/>
        <c:scaling>
          <c:orientation val="minMax"/>
          <c:max val="2002.0"/>
          <c:min val="1860.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806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38</xdr:row>
      <xdr:rowOff>57150</xdr:rowOff>
    </xdr:from>
    <xdr:to>
      <xdr:col>13</xdr:col>
      <xdr:colOff>209550</xdr:colOff>
      <xdr:row>57</xdr:row>
      <xdr:rowOff>104775</xdr:rowOff>
    </xdr:to>
    <xdr:graphicFrame macro="">
      <xdr:nvGraphicFramePr>
        <xdr:cNvPr id="1221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38</xdr:row>
      <xdr:rowOff>38100</xdr:rowOff>
    </xdr:from>
    <xdr:to>
      <xdr:col>19</xdr:col>
      <xdr:colOff>390525</xdr:colOff>
      <xdr:row>57</xdr:row>
      <xdr:rowOff>114300</xdr:rowOff>
    </xdr:to>
    <xdr:graphicFrame macro="">
      <xdr:nvGraphicFramePr>
        <xdr:cNvPr id="122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38</xdr:row>
      <xdr:rowOff>28575</xdr:rowOff>
    </xdr:from>
    <xdr:to>
      <xdr:col>25</xdr:col>
      <xdr:colOff>9525</xdr:colOff>
      <xdr:row>57</xdr:row>
      <xdr:rowOff>114300</xdr:rowOff>
    </xdr:to>
    <xdr:graphicFrame macro="">
      <xdr:nvGraphicFramePr>
        <xdr:cNvPr id="122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22</xdr:row>
      <xdr:rowOff>114300</xdr:rowOff>
    </xdr:from>
    <xdr:to>
      <xdr:col>9</xdr:col>
      <xdr:colOff>38100</xdr:colOff>
      <xdr:row>40</xdr:row>
      <xdr:rowOff>85725</xdr:rowOff>
    </xdr:to>
    <xdr:graphicFrame macro="">
      <xdr:nvGraphicFramePr>
        <xdr:cNvPr id="21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0.09655</cdr:x>
      <cdr:y>0.05673</cdr:y>
    </cdr:from>
    <cdr:to>
      <cdr:x>0.93751</cdr:x>
      <cdr:y>0.89972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48051" y="171215"/>
          <a:ext cx="3003804" cy="24971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0"/>
  <sheetViews>
    <sheetView workbookViewId="0">
      <selection activeCell="F17" sqref="F17"/>
    </sheetView>
  </sheetViews>
  <sheetFormatPr baseColWidth="10" defaultColWidth="8.6640625" defaultRowHeight="13" x14ac:dyDescent="0.15"/>
  <cols>
    <col min="1" max="1" width="18.1640625" customWidth="1"/>
    <col min="2" max="7" width="8.6640625" customWidth="1"/>
    <col min="8" max="8" width="13.1640625" customWidth="1"/>
    <col min="9" max="9" width="12.33203125" style="61" customWidth="1"/>
  </cols>
  <sheetData>
    <row r="3" spans="1:15" ht="15" x14ac:dyDescent="0.2">
      <c r="A3" s="1" t="s">
        <v>72</v>
      </c>
    </row>
    <row r="4" spans="1:15" ht="14" x14ac:dyDescent="0.2">
      <c r="A4" s="10" t="s">
        <v>73</v>
      </c>
      <c r="B4" s="3" t="s">
        <v>74</v>
      </c>
      <c r="H4" s="2" t="s">
        <v>75</v>
      </c>
      <c r="I4" s="7">
        <v>40484</v>
      </c>
    </row>
    <row r="5" spans="1:15" ht="14" x14ac:dyDescent="0.2">
      <c r="A5" s="10" t="s">
        <v>76</v>
      </c>
      <c r="B5" s="4">
        <v>3</v>
      </c>
      <c r="C5" t="s">
        <v>77</v>
      </c>
      <c r="H5" s="2" t="s">
        <v>78</v>
      </c>
      <c r="I5" s="7">
        <v>40485</v>
      </c>
      <c r="K5" t="s">
        <v>214</v>
      </c>
    </row>
    <row r="6" spans="1:15" ht="14" x14ac:dyDescent="0.2">
      <c r="A6" s="10" t="s">
        <v>79</v>
      </c>
      <c r="B6" s="3">
        <v>146172</v>
      </c>
      <c r="C6" t="s">
        <v>80</v>
      </c>
      <c r="D6" s="5"/>
      <c r="E6" s="6"/>
      <c r="H6" s="2" t="s">
        <v>81</v>
      </c>
      <c r="I6" s="7" t="s">
        <v>211</v>
      </c>
    </row>
    <row r="7" spans="1:15" ht="14" x14ac:dyDescent="0.2">
      <c r="A7" s="10" t="s">
        <v>82</v>
      </c>
      <c r="B7" s="8">
        <v>35</v>
      </c>
      <c r="C7" t="s">
        <v>83</v>
      </c>
      <c r="H7" s="2" t="s">
        <v>84</v>
      </c>
      <c r="I7" s="206">
        <v>39296</v>
      </c>
      <c r="K7">
        <v>95713</v>
      </c>
    </row>
    <row r="8" spans="1:15" ht="14" x14ac:dyDescent="0.2">
      <c r="A8" s="87" t="s">
        <v>100</v>
      </c>
      <c r="B8" s="9" t="s">
        <v>101</v>
      </c>
      <c r="H8" s="2" t="s">
        <v>102</v>
      </c>
      <c r="I8" s="207">
        <v>33970</v>
      </c>
    </row>
    <row r="9" spans="1:15" ht="14" x14ac:dyDescent="0.2">
      <c r="A9" s="28"/>
      <c r="F9" s="2"/>
      <c r="K9">
        <v>107</v>
      </c>
      <c r="L9">
        <v>93</v>
      </c>
      <c r="M9">
        <v>178</v>
      </c>
      <c r="N9">
        <v>69</v>
      </c>
      <c r="O9">
        <v>12</v>
      </c>
    </row>
    <row r="10" spans="1:15" ht="14" x14ac:dyDescent="0.2">
      <c r="A10" s="10" t="s">
        <v>103</v>
      </c>
      <c r="B10" s="10" t="s">
        <v>104</v>
      </c>
      <c r="C10" s="10" t="s">
        <v>105</v>
      </c>
      <c r="D10" s="10" t="s">
        <v>105</v>
      </c>
      <c r="E10" s="10" t="s">
        <v>117</v>
      </c>
      <c r="F10" s="10" t="s">
        <v>118</v>
      </c>
      <c r="K10">
        <v>67</v>
      </c>
      <c r="L10">
        <v>49</v>
      </c>
      <c r="M10">
        <v>45</v>
      </c>
      <c r="N10">
        <v>37</v>
      </c>
      <c r="O10">
        <v>49</v>
      </c>
    </row>
    <row r="11" spans="1:15" x14ac:dyDescent="0.15">
      <c r="A11" s="11" t="s">
        <v>106</v>
      </c>
      <c r="B11" s="11">
        <v>46.539000000000001</v>
      </c>
      <c r="C11" s="11">
        <v>295.20699999999999</v>
      </c>
      <c r="D11" s="11">
        <v>351.92500000000001</v>
      </c>
      <c r="E11" s="11">
        <v>609.31799999999998</v>
      </c>
      <c r="F11" s="11">
        <v>661.66</v>
      </c>
      <c r="K11" s="143">
        <f t="shared" ref="K11:O12" si="0">(K9/$K$7)*60</f>
        <v>6.707552788022525E-2</v>
      </c>
      <c r="L11" s="143">
        <f t="shared" si="0"/>
        <v>5.8299290587485501E-2</v>
      </c>
      <c r="M11" s="143">
        <f t="shared" si="0"/>
        <v>0.11158358843626257</v>
      </c>
      <c r="N11" s="143">
        <f t="shared" si="0"/>
        <v>4.325431237136021E-2</v>
      </c>
      <c r="O11" s="143">
        <f t="shared" si="0"/>
        <v>7.5224891080626459E-3</v>
      </c>
    </row>
    <row r="12" spans="1:15" x14ac:dyDescent="0.15">
      <c r="A12" s="12" t="s">
        <v>107</v>
      </c>
      <c r="B12" s="13">
        <v>4.05</v>
      </c>
      <c r="C12" s="13">
        <v>19.239999999999998</v>
      </c>
      <c r="D12" s="13">
        <v>37.17</v>
      </c>
      <c r="E12" s="13">
        <v>46.1</v>
      </c>
      <c r="F12" s="13">
        <v>85.21</v>
      </c>
      <c r="K12" s="143">
        <f>(K10/$K$7)*60</f>
        <v>4.2000564186683104E-2</v>
      </c>
      <c r="L12" s="143">
        <f t="shared" si="0"/>
        <v>3.0716830524589137E-2</v>
      </c>
      <c r="M12" s="143">
        <f t="shared" si="0"/>
        <v>2.8209334155234921E-2</v>
      </c>
      <c r="N12" s="143">
        <f t="shared" si="0"/>
        <v>2.3194341416526491E-2</v>
      </c>
      <c r="O12" s="143">
        <f t="shared" si="0"/>
        <v>3.0716830524589137E-2</v>
      </c>
    </row>
    <row r="13" spans="1:15" ht="14" x14ac:dyDescent="0.2">
      <c r="A13" s="12" t="s">
        <v>108</v>
      </c>
      <c r="B13" s="14">
        <v>2879</v>
      </c>
      <c r="C13" s="14">
        <v>1696</v>
      </c>
      <c r="D13" s="14">
        <v>3133</v>
      </c>
      <c r="E13" s="14">
        <v>1129</v>
      </c>
      <c r="F13" s="14">
        <v>35044</v>
      </c>
    </row>
    <row r="14" spans="1:15" ht="14" x14ac:dyDescent="0.2">
      <c r="A14" s="12" t="s">
        <v>109</v>
      </c>
      <c r="B14" s="14">
        <v>141</v>
      </c>
      <c r="C14" s="14">
        <v>97</v>
      </c>
      <c r="D14" s="14">
        <v>104</v>
      </c>
      <c r="E14" s="14">
        <v>65</v>
      </c>
      <c r="F14" s="14">
        <v>204</v>
      </c>
    </row>
    <row r="15" spans="1:15" x14ac:dyDescent="0.15">
      <c r="A15" s="12" t="s">
        <v>110</v>
      </c>
      <c r="B15" s="16">
        <f>(B13/$B$6)*60</f>
        <v>1.1817584763155733</v>
      </c>
      <c r="C15" s="16">
        <f>(C13/$B$6)*60</f>
        <v>0.69616616041375912</v>
      </c>
      <c r="D15" s="16">
        <f t="shared" ref="D15:F16" si="1">(D13/$B$6)*60</f>
        <v>1.2860192102454642</v>
      </c>
      <c r="E15" s="16">
        <f t="shared" si="1"/>
        <v>0.46342664805845168</v>
      </c>
      <c r="F15" s="16">
        <f t="shared" si="1"/>
        <v>14.384697479681472</v>
      </c>
    </row>
    <row r="16" spans="1:15" x14ac:dyDescent="0.15">
      <c r="A16" s="12" t="s">
        <v>111</v>
      </c>
      <c r="B16" s="16">
        <f>(B14/$B$6)*60</f>
        <v>5.787702159100238E-2</v>
      </c>
      <c r="C16" s="16">
        <f>(C14/$B$6)*60</f>
        <v>3.9816107051966178E-2</v>
      </c>
      <c r="D16" s="16">
        <f t="shared" si="1"/>
        <v>4.2689434364994665E-2</v>
      </c>
      <c r="E16" s="16">
        <f t="shared" si="1"/>
        <v>2.6680896478121666E-2</v>
      </c>
      <c r="F16" s="16">
        <f t="shared" si="1"/>
        <v>8.3736967408258769E-2</v>
      </c>
    </row>
    <row r="17" spans="1:8" x14ac:dyDescent="0.15">
      <c r="A17" s="12" t="s">
        <v>112</v>
      </c>
      <c r="B17" s="17">
        <v>6.707552788022525E-2</v>
      </c>
      <c r="C17" s="17">
        <v>5.8299290587485501E-2</v>
      </c>
      <c r="D17" s="19">
        <v>0.11158358843626257</v>
      </c>
      <c r="E17" s="17">
        <v>4.325431237136021E-2</v>
      </c>
      <c r="F17" s="17">
        <v>7.5224891080626459E-3</v>
      </c>
    </row>
    <row r="18" spans="1:8" x14ac:dyDescent="0.15">
      <c r="A18" s="12" t="s">
        <v>111</v>
      </c>
      <c r="B18" s="17">
        <v>4.2000564186683104E-2</v>
      </c>
      <c r="C18" s="17">
        <v>3.0716830524589137E-2</v>
      </c>
      <c r="D18" s="19">
        <v>2.8209334155234921E-2</v>
      </c>
      <c r="E18" s="17">
        <v>2.3194341416526491E-2</v>
      </c>
      <c r="F18" s="17">
        <v>3.0716830524589137E-2</v>
      </c>
    </row>
    <row r="19" spans="1:8" x14ac:dyDescent="0.15">
      <c r="A19" s="12" t="s">
        <v>113</v>
      </c>
      <c r="B19" s="16">
        <f>B15-B17</f>
        <v>1.114682948435348</v>
      </c>
      <c r="C19" s="16">
        <f>C15-C17</f>
        <v>0.63786686982627361</v>
      </c>
      <c r="D19" s="16">
        <f>D15-D17</f>
        <v>1.1744356218092016</v>
      </c>
      <c r="E19" s="16">
        <f>E15-E17</f>
        <v>0.42017233568709145</v>
      </c>
      <c r="F19" s="16">
        <f>F15-F17</f>
        <v>14.37717499057341</v>
      </c>
    </row>
    <row r="20" spans="1:8" x14ac:dyDescent="0.15">
      <c r="A20" s="12" t="s">
        <v>111</v>
      </c>
      <c r="B20" s="16">
        <f>SQRT((B16^2) + (B18^2))</f>
        <v>7.1510817505081314E-2</v>
      </c>
      <c r="C20" s="16">
        <f>SQRT((C16^2) + (C18^2))</f>
        <v>5.0287633253613774E-2</v>
      </c>
      <c r="D20" s="16">
        <f>SQRT((D16^2) + (D18^2))</f>
        <v>5.1167903414981654E-2</v>
      </c>
      <c r="E20" s="16">
        <f>SQRT((E16^2) + (E18^2))</f>
        <v>3.5353185296697683E-2</v>
      </c>
      <c r="F20" s="16">
        <f>SQRT((F16^2) + (F18^2))</f>
        <v>8.9193068050202884E-2</v>
      </c>
    </row>
    <row r="21" spans="1:8" x14ac:dyDescent="0.15">
      <c r="A21" s="12" t="s">
        <v>114</v>
      </c>
      <c r="B21" s="13">
        <v>13.85</v>
      </c>
      <c r="C21" s="13">
        <v>3.3898999999999999</v>
      </c>
      <c r="D21" s="13">
        <v>3.3898999999999999</v>
      </c>
      <c r="E21" s="13">
        <v>3.3898999999999999</v>
      </c>
      <c r="F21" s="13">
        <v>42.49</v>
      </c>
    </row>
    <row r="22" spans="1:8" x14ac:dyDescent="0.15">
      <c r="A22" s="12" t="s">
        <v>109</v>
      </c>
      <c r="B22" s="13">
        <v>0.90254074488888758</v>
      </c>
      <c r="C22" s="13">
        <v>1.0383628714933519</v>
      </c>
      <c r="D22" s="13">
        <v>1.0383628714933519</v>
      </c>
      <c r="E22" s="13">
        <v>1.0383628714933519</v>
      </c>
      <c r="F22" s="13">
        <v>0.38224196752463763</v>
      </c>
    </row>
    <row r="23" spans="1:8" ht="14" x14ac:dyDescent="0.2">
      <c r="A23" s="10" t="s">
        <v>115</v>
      </c>
      <c r="B23" s="18">
        <f>(B19/(B21*(B12/100)*$B$5))*100</f>
        <v>66.240759961096884</v>
      </c>
      <c r="C23" s="18">
        <f>(C19/(C21*(C12/100)*$B$5))*100</f>
        <v>32.599942685019506</v>
      </c>
      <c r="D23" s="18">
        <f>(D19/(D21*(D12/100)*$B$5))*100</f>
        <v>31.06908852837304</v>
      </c>
      <c r="E23" s="18">
        <f>(E19/(E21*(E12/100)*$B$5))*100</f>
        <v>8.9622775189863475</v>
      </c>
      <c r="F23" s="18">
        <f>(F19/(F21*(F12/100)*$B$5))*100</f>
        <v>13.236556191216231</v>
      </c>
    </row>
    <row r="24" spans="1:8" ht="14" x14ac:dyDescent="0.2">
      <c r="A24" s="10" t="s">
        <v>116</v>
      </c>
      <c r="B24" s="18">
        <f>(B23)*(SQRT(((B20^2)/(B19^2))+((B22^2)/(B21^2))))</f>
        <v>6.0573910184150241</v>
      </c>
      <c r="C24" s="18">
        <f>(C23)*(SQRT(((C20^2)/(C19^2))+((C22^2)/(C21^2))))</f>
        <v>10.311150549443337</v>
      </c>
      <c r="D24" s="18">
        <f>(D23)*(SQRT(((D20^2)/(D19^2))+((D22^2)/(D21^2))))</f>
        <v>9.6125803703685637</v>
      </c>
      <c r="E24" s="18">
        <f>(E23)*(SQRT(((E20^2)/(E19^2))+((E22^2)/(E21^2))))</f>
        <v>2.8469275138233456</v>
      </c>
      <c r="F24" s="18">
        <f>(F23)*(SQRT(((F20^2)/(F19^2))+((F22^2)/(F21^2))))</f>
        <v>0.14464590003711902</v>
      </c>
    </row>
    <row r="25" spans="1:8" ht="14" x14ac:dyDescent="0.2">
      <c r="A25" s="20"/>
      <c r="B25" s="21"/>
      <c r="C25" s="21"/>
      <c r="D25" s="21"/>
      <c r="E25" s="21"/>
      <c r="F25" s="21"/>
      <c r="G25" s="208"/>
      <c r="H25" s="18"/>
    </row>
    <row r="26" spans="1:8" ht="14" x14ac:dyDescent="0.2">
      <c r="A26" s="10"/>
      <c r="E26" s="10"/>
      <c r="F26" s="10"/>
      <c r="G26" s="10"/>
    </row>
    <row r="27" spans="1:8" x14ac:dyDescent="0.15">
      <c r="A27" s="11"/>
      <c r="E27" s="11"/>
      <c r="F27" s="11"/>
      <c r="G27" s="11"/>
    </row>
    <row r="28" spans="1:8" x14ac:dyDescent="0.15">
      <c r="A28" s="12"/>
      <c r="E28" s="13"/>
      <c r="F28" s="13"/>
      <c r="G28" s="13"/>
    </row>
    <row r="29" spans="1:8" ht="14" x14ac:dyDescent="0.2">
      <c r="A29" s="10"/>
      <c r="E29" s="14"/>
      <c r="F29" s="14"/>
      <c r="G29" s="14"/>
    </row>
    <row r="30" spans="1:8" ht="14" x14ac:dyDescent="0.2">
      <c r="A30" s="2"/>
      <c r="E30" s="14"/>
      <c r="F30" s="14"/>
      <c r="G30" s="14"/>
    </row>
    <row r="31" spans="1:8" x14ac:dyDescent="0.15">
      <c r="A31" s="12"/>
      <c r="E31" s="16"/>
      <c r="F31" s="16"/>
      <c r="G31" s="16"/>
    </row>
    <row r="32" spans="1:8" x14ac:dyDescent="0.15">
      <c r="A32" s="15"/>
      <c r="E32" s="16"/>
      <c r="F32" s="16"/>
      <c r="G32" s="16"/>
    </row>
    <row r="33" spans="1:7" x14ac:dyDescent="0.15">
      <c r="A33" s="12"/>
      <c r="E33" s="17"/>
      <c r="F33" s="17"/>
      <c r="G33" s="17"/>
    </row>
    <row r="34" spans="1:7" x14ac:dyDescent="0.15">
      <c r="A34" s="15"/>
      <c r="E34" s="17"/>
      <c r="F34" s="17"/>
      <c r="G34" s="17"/>
    </row>
    <row r="35" spans="1:7" x14ac:dyDescent="0.15">
      <c r="A35" s="12"/>
      <c r="E35" s="16"/>
      <c r="F35" s="16"/>
      <c r="G35" s="16"/>
    </row>
    <row r="36" spans="1:7" x14ac:dyDescent="0.15">
      <c r="A36" s="15"/>
      <c r="E36" s="16"/>
      <c r="F36" s="16"/>
      <c r="G36" s="16"/>
    </row>
    <row r="37" spans="1:7" x14ac:dyDescent="0.15">
      <c r="A37" s="12"/>
      <c r="E37" s="13"/>
      <c r="F37" s="13"/>
      <c r="G37" s="13"/>
    </row>
    <row r="38" spans="1:7" x14ac:dyDescent="0.15">
      <c r="A38" s="15"/>
      <c r="E38" s="13"/>
      <c r="F38" s="13"/>
      <c r="G38" s="13"/>
    </row>
    <row r="39" spans="1:7" ht="14" x14ac:dyDescent="0.2">
      <c r="A39" s="10"/>
      <c r="E39" s="18"/>
      <c r="F39" s="18"/>
      <c r="G39" s="18"/>
    </row>
    <row r="40" spans="1:7" ht="14" x14ac:dyDescent="0.2">
      <c r="A40" s="2"/>
      <c r="E40" s="18"/>
      <c r="F40" s="18"/>
      <c r="G40" s="18"/>
    </row>
  </sheetData>
  <phoneticPr fontId="1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75" workbookViewId="0">
      <selection activeCell="D20" sqref="D20"/>
    </sheetView>
  </sheetViews>
  <sheetFormatPr baseColWidth="10" defaultColWidth="8.6640625" defaultRowHeight="13" x14ac:dyDescent="0.15"/>
  <cols>
    <col min="1" max="1" width="22.1640625" customWidth="1"/>
    <col min="2" max="2" width="13.6640625" customWidth="1"/>
    <col min="3" max="10" width="8.6640625" customWidth="1"/>
    <col min="11" max="11" width="16.5" customWidth="1"/>
    <col min="12" max="12" width="8.6640625" customWidth="1"/>
    <col min="13" max="13" width="12.6640625" customWidth="1"/>
  </cols>
  <sheetData>
    <row r="1" spans="1:16" ht="16" x14ac:dyDescent="0.2">
      <c r="A1" s="22" t="s">
        <v>121</v>
      </c>
    </row>
    <row r="2" spans="1:16" ht="16" x14ac:dyDescent="0.2">
      <c r="A2" s="22"/>
    </row>
    <row r="3" spans="1:16" x14ac:dyDescent="0.15">
      <c r="A3" s="23" t="s">
        <v>122</v>
      </c>
      <c r="C3" t="s">
        <v>123</v>
      </c>
    </row>
    <row r="4" spans="1:16" x14ac:dyDescent="0.15">
      <c r="A4" s="24"/>
      <c r="B4" s="25"/>
      <c r="C4" s="25" t="s">
        <v>124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t="s">
        <v>125</v>
      </c>
    </row>
    <row r="7" spans="1:16" x14ac:dyDescent="0.15">
      <c r="A7" s="26" t="s">
        <v>126</v>
      </c>
      <c r="B7" s="27">
        <v>40484</v>
      </c>
      <c r="C7" s="27"/>
      <c r="G7" s="28"/>
    </row>
    <row r="8" spans="1:16" x14ac:dyDescent="0.15">
      <c r="C8" s="27"/>
      <c r="G8" s="28"/>
    </row>
    <row r="9" spans="1:16" x14ac:dyDescent="0.15">
      <c r="B9" s="29"/>
      <c r="C9" s="30" t="s">
        <v>127</v>
      </c>
      <c r="D9" s="31" t="s">
        <v>104</v>
      </c>
      <c r="E9" s="31" t="s">
        <v>128</v>
      </c>
      <c r="F9" s="31" t="s">
        <v>129</v>
      </c>
      <c r="G9" s="31" t="s">
        <v>130</v>
      </c>
      <c r="H9" s="31" t="s">
        <v>131</v>
      </c>
      <c r="I9" s="31" t="s">
        <v>132</v>
      </c>
      <c r="J9" s="31" t="s">
        <v>133</v>
      </c>
      <c r="K9" s="31" t="s">
        <v>134</v>
      </c>
      <c r="L9" s="31" t="s">
        <v>118</v>
      </c>
      <c r="M9" s="31" t="s">
        <v>135</v>
      </c>
      <c r="N9" s="31" t="s">
        <v>119</v>
      </c>
      <c r="O9" s="31"/>
      <c r="P9" s="31"/>
    </row>
    <row r="10" spans="1:16" x14ac:dyDescent="0.15">
      <c r="B10" s="32"/>
      <c r="C10" s="30" t="s">
        <v>136</v>
      </c>
      <c r="D10" s="30">
        <v>46</v>
      </c>
      <c r="E10" s="30">
        <v>59</v>
      </c>
      <c r="F10" s="30" t="s">
        <v>137</v>
      </c>
      <c r="G10" s="30">
        <v>238.1</v>
      </c>
      <c r="H10" s="30">
        <v>238.1</v>
      </c>
      <c r="I10" s="30" t="s">
        <v>138</v>
      </c>
      <c r="J10" s="30" t="s">
        <v>139</v>
      </c>
      <c r="K10" s="30">
        <v>604</v>
      </c>
      <c r="L10" s="30">
        <v>661</v>
      </c>
      <c r="M10" s="30" t="s">
        <v>140</v>
      </c>
      <c r="N10" s="30">
        <v>1460</v>
      </c>
      <c r="O10" s="31"/>
      <c r="P10" s="31"/>
    </row>
    <row r="11" spans="1:16" x14ac:dyDescent="0.15">
      <c r="A11" s="31" t="s">
        <v>141</v>
      </c>
      <c r="B11" s="33" t="s">
        <v>142</v>
      </c>
      <c r="C11" s="30" t="s">
        <v>143</v>
      </c>
      <c r="D11" s="31">
        <v>22.3</v>
      </c>
      <c r="E11" s="31">
        <v>432.7</v>
      </c>
      <c r="F11" s="31">
        <v>4500000000</v>
      </c>
      <c r="G11" s="34">
        <v>1.913</v>
      </c>
      <c r="H11" s="35">
        <v>14000000000</v>
      </c>
      <c r="I11" s="31">
        <v>1620</v>
      </c>
      <c r="J11" s="31">
        <v>5.76</v>
      </c>
      <c r="K11" s="36">
        <v>754.28</v>
      </c>
      <c r="L11" s="31">
        <v>30.17</v>
      </c>
      <c r="M11" s="31">
        <v>5.2709999999999999</v>
      </c>
      <c r="N11" s="35">
        <v>1300000000</v>
      </c>
      <c r="O11" s="37"/>
      <c r="P11" s="37"/>
    </row>
    <row r="12" spans="1:16" x14ac:dyDescent="0.15">
      <c r="A12" s="38" t="s">
        <v>144</v>
      </c>
      <c r="B12" s="39" t="s">
        <v>145</v>
      </c>
      <c r="C12" s="40" t="s">
        <v>146</v>
      </c>
      <c r="D12" s="41" t="s">
        <v>147</v>
      </c>
      <c r="E12" s="41" t="s">
        <v>147</v>
      </c>
      <c r="F12" s="41" t="s">
        <v>147</v>
      </c>
      <c r="G12" s="41" t="s">
        <v>147</v>
      </c>
      <c r="H12" s="41" t="s">
        <v>147</v>
      </c>
      <c r="I12" s="41" t="s">
        <v>147</v>
      </c>
      <c r="J12" s="41" t="s">
        <v>147</v>
      </c>
      <c r="K12" s="41" t="s">
        <v>148</v>
      </c>
      <c r="L12" s="41" t="s">
        <v>147</v>
      </c>
      <c r="M12" s="41" t="s">
        <v>147</v>
      </c>
      <c r="N12" s="41" t="s">
        <v>147</v>
      </c>
      <c r="O12" s="42"/>
      <c r="P12" s="42"/>
    </row>
    <row r="13" spans="1:16" x14ac:dyDescent="0.15">
      <c r="A13" s="43"/>
      <c r="B13" s="44"/>
      <c r="C13" s="45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7"/>
      <c r="P13" s="47"/>
    </row>
    <row r="14" spans="1:16" x14ac:dyDescent="0.15">
      <c r="A14" s="48" t="s">
        <v>153</v>
      </c>
      <c r="B14" s="32"/>
      <c r="C14" s="49"/>
      <c r="D14" s="50">
        <v>360</v>
      </c>
      <c r="E14" s="51">
        <v>1.38</v>
      </c>
      <c r="F14" s="51">
        <v>64.7</v>
      </c>
      <c r="G14" s="51">
        <v>64</v>
      </c>
      <c r="H14" s="51">
        <v>72.400000000000006</v>
      </c>
      <c r="I14" s="51">
        <v>56.5</v>
      </c>
      <c r="J14" s="51">
        <v>61.6</v>
      </c>
      <c r="K14" s="51">
        <v>66.599999999999994</v>
      </c>
      <c r="L14" s="51">
        <v>1066.5999999999999</v>
      </c>
      <c r="M14" s="51">
        <v>1.5</v>
      </c>
      <c r="N14" s="51">
        <v>1059</v>
      </c>
      <c r="O14" t="s">
        <v>149</v>
      </c>
    </row>
    <row r="15" spans="1:16" x14ac:dyDescent="0.15">
      <c r="A15" s="29" t="s">
        <v>154</v>
      </c>
      <c r="B15" s="52" t="s">
        <v>150</v>
      </c>
      <c r="C15" s="49"/>
      <c r="D15" s="50">
        <v>14</v>
      </c>
      <c r="E15" s="51">
        <v>7.4999999999999997E-2</v>
      </c>
      <c r="F15" s="51">
        <v>1.925</v>
      </c>
      <c r="G15" s="51">
        <v>10.6</v>
      </c>
      <c r="H15" s="51">
        <v>4.55</v>
      </c>
      <c r="I15" s="51">
        <v>17.350000000000001</v>
      </c>
      <c r="J15" s="51">
        <v>1.2250000000000001</v>
      </c>
      <c r="K15" s="51">
        <v>0.75</v>
      </c>
      <c r="L15" s="51">
        <v>8.5</v>
      </c>
      <c r="M15" s="51">
        <v>0.125</v>
      </c>
      <c r="N15" s="51">
        <v>9.25</v>
      </c>
    </row>
    <row r="16" spans="1:16" x14ac:dyDescent="0.15">
      <c r="A16" s="48"/>
      <c r="B16" s="32"/>
      <c r="C16" s="49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6" x14ac:dyDescent="0.15">
      <c r="A17" s="48" t="s">
        <v>153</v>
      </c>
      <c r="B17" s="32">
        <v>33970</v>
      </c>
      <c r="C17" s="49">
        <f>$B$7 - B17</f>
        <v>6514</v>
      </c>
      <c r="D17" s="53">
        <f>(((360 - I17) * (EXP(-0.0000851*$C17))) + I17)</f>
        <v>230.8457175594298</v>
      </c>
      <c r="E17" s="54">
        <f>1.38 * (EXP(-$C17*0.000004388))</f>
        <v>1.3411132694915615</v>
      </c>
      <c r="F17" s="53">
        <f>64.7 * (EXP(-$C17*0.0000000000004216))</f>
        <v>64.69999982231424</v>
      </c>
      <c r="G17" s="53">
        <f>64/ (EXP(-$C17*0.0000000000001355))</f>
        <v>64.000000056489412</v>
      </c>
      <c r="H17" s="53">
        <f>72.4 * (EXP(-$C17*0.0000000000001355))</f>
        <v>72.399999936096364</v>
      </c>
      <c r="I17" s="53">
        <v>56.5</v>
      </c>
      <c r="J17" s="53">
        <f>61.6/ (EXP(-$C17*0.0000000000001355))</f>
        <v>61.600000054371051</v>
      </c>
      <c r="K17" s="55">
        <f>66.6 * (EXP(-0.000918732*$C17))</f>
        <v>0.16764348451267419</v>
      </c>
      <c r="L17" s="53">
        <f>1066.6 * (EXP(-0.000062887*$C17))</f>
        <v>708.10003788956351</v>
      </c>
      <c r="M17" s="53">
        <f>1.5* (EXP(-$C17*0.000360203))</f>
        <v>0.1435750715491749</v>
      </c>
      <c r="N17" s="53">
        <f>1059 * (EXP(-$C17*0.000000000001459))</f>
        <v>1058.9999899353425</v>
      </c>
      <c r="O17" t="s">
        <v>151</v>
      </c>
    </row>
    <row r="18" spans="1:16" x14ac:dyDescent="0.15">
      <c r="A18" s="29"/>
      <c r="B18" s="52" t="s">
        <v>150</v>
      </c>
      <c r="C18" s="49"/>
      <c r="D18" s="53">
        <f>(SQRT((14)^2+(I18)^2)*(EXP(-0.0000851*$C17)))</f>
        <v>12.747947946182425</v>
      </c>
      <c r="E18" s="54">
        <f>0.075 * (EXP(-$C17*0.000004388))</f>
        <v>7.2886590733237042E-2</v>
      </c>
      <c r="F18" s="53">
        <f>1.93 * (EXP(-$C17*0.0000000000004216))</f>
        <v>1.9299999946996362</v>
      </c>
      <c r="G18" s="53">
        <f>10.6/ (EXP(-$C17*0.0000000000001355))</f>
        <v>10.600000009356057</v>
      </c>
      <c r="H18" s="53">
        <f>1.93 * (EXP(-$C17*0.0000000000001355))</f>
        <v>1.9299999982964913</v>
      </c>
      <c r="I18" s="53">
        <f>17.35 * (EXP(-$C17*0.000001171))</f>
        <v>17.218159510995907</v>
      </c>
      <c r="J18" s="53">
        <f>1.23 / (EXP(-$C17*0.0000000000001355))</f>
        <v>1.2300000010856558</v>
      </c>
      <c r="K18" s="55">
        <f>0.75 * (EXP(-0.000918732*$C17))</f>
        <v>1.8878770778454302E-3</v>
      </c>
      <c r="L18" s="53">
        <f>8.5 * (EXP(-0.000062887*$C17))</f>
        <v>5.6430248659865834</v>
      </c>
      <c r="M18" s="53">
        <f>0.125* (EXP(-$C17*0.000360203))</f>
        <v>1.1964589295764575E-2</v>
      </c>
      <c r="N18" s="53">
        <f>9.25 * (EXP(-$C17*0.000000000001459))</f>
        <v>9.2499999120886844</v>
      </c>
    </row>
    <row r="19" spans="1:16" x14ac:dyDescent="0.15">
      <c r="A19" s="48"/>
      <c r="B19" s="32"/>
      <c r="C19" s="49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6" x14ac:dyDescent="0.15">
      <c r="A20" s="48" t="s">
        <v>153</v>
      </c>
      <c r="B20" s="32"/>
      <c r="C20" s="49"/>
      <c r="D20" s="218">
        <f>D17/16.667</f>
        <v>13.850466044244902</v>
      </c>
      <c r="E20" s="218">
        <f t="shared" ref="E20:N21" si="0">E17/16.667</f>
        <v>8.0465186865756363E-2</v>
      </c>
      <c r="F20" s="218">
        <f t="shared" si="0"/>
        <v>3.8819223508918363</v>
      </c>
      <c r="G20" s="218">
        <f t="shared" si="0"/>
        <v>3.8399232049252658</v>
      </c>
      <c r="H20" s="218">
        <f t="shared" si="0"/>
        <v>4.3439131179034236</v>
      </c>
      <c r="I20" s="218">
        <f t="shared" si="0"/>
        <v>3.3899322013559727</v>
      </c>
      <c r="J20" s="218">
        <f t="shared" si="0"/>
        <v>3.6959260847405679</v>
      </c>
      <c r="K20" s="218">
        <f t="shared" si="0"/>
        <v>1.0058407902602399E-2</v>
      </c>
      <c r="L20" s="218">
        <f t="shared" si="0"/>
        <v>42.485152570322398</v>
      </c>
      <c r="M20" s="218">
        <f t="shared" si="0"/>
        <v>8.6143320063103677E-3</v>
      </c>
      <c r="N20" s="218">
        <f t="shared" si="0"/>
        <v>63.53872862154811</v>
      </c>
      <c r="O20" t="s">
        <v>151</v>
      </c>
    </row>
    <row r="21" spans="1:16" x14ac:dyDescent="0.15">
      <c r="A21" s="56"/>
      <c r="B21" s="57" t="s">
        <v>152</v>
      </c>
      <c r="C21" s="58"/>
      <c r="D21" s="59">
        <f>D18/16.667</f>
        <v>0.76486157953935463</v>
      </c>
      <c r="E21" s="59">
        <f t="shared" si="0"/>
        <v>4.3731079818345852E-3</v>
      </c>
      <c r="F21" s="59">
        <f t="shared" si="0"/>
        <v>0.1157976837283036</v>
      </c>
      <c r="G21" s="59">
        <f t="shared" si="0"/>
        <v>0.63598728081574707</v>
      </c>
      <c r="H21" s="59">
        <f t="shared" si="0"/>
        <v>0.11579768394411058</v>
      </c>
      <c r="I21" s="59">
        <f t="shared" si="0"/>
        <v>1.0330689092815686</v>
      </c>
      <c r="J21" s="59">
        <f t="shared" si="0"/>
        <v>7.3798524094657453E-2</v>
      </c>
      <c r="K21" s="59">
        <f t="shared" si="0"/>
        <v>1.1327035926354054E-4</v>
      </c>
      <c r="L21" s="59">
        <f t="shared" si="0"/>
        <v>0.33857472046478565</v>
      </c>
      <c r="M21" s="59">
        <f t="shared" si="0"/>
        <v>7.1786100052586394E-4</v>
      </c>
      <c r="N21" s="59">
        <f t="shared" si="0"/>
        <v>0.5549888949474221</v>
      </c>
      <c r="O21" s="60"/>
      <c r="P21" s="60"/>
    </row>
  </sheetData>
  <phoneticPr fontId="1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96"/>
  <sheetViews>
    <sheetView zoomScale="75" workbookViewId="0">
      <selection activeCell="I27" sqref="I27"/>
    </sheetView>
  </sheetViews>
  <sheetFormatPr baseColWidth="10" defaultColWidth="10.1640625" defaultRowHeight="13" x14ac:dyDescent="0.15"/>
  <cols>
    <col min="1" max="1" width="19.33203125" style="104" customWidth="1"/>
    <col min="2" max="2" width="9" customWidth="1"/>
    <col min="3" max="3" width="9.6640625" style="61" customWidth="1"/>
    <col min="4" max="5" width="10.1640625" customWidth="1"/>
    <col min="6" max="6" width="12.5" style="61" customWidth="1"/>
    <col min="7" max="7" width="9.33203125" customWidth="1"/>
    <col min="8" max="8" width="10.1640625" style="61" customWidth="1"/>
    <col min="9" max="9" width="10.5" customWidth="1"/>
    <col min="10" max="10" width="9.6640625" customWidth="1"/>
    <col min="11" max="11" width="10.1640625" hidden="1" customWidth="1"/>
  </cols>
  <sheetData>
    <row r="1" spans="1:14" x14ac:dyDescent="0.15">
      <c r="A1" s="99" t="s">
        <v>204</v>
      </c>
      <c r="B1" s="100"/>
      <c r="C1" s="101"/>
      <c r="D1" s="100"/>
      <c r="E1" s="100"/>
      <c r="F1" s="101"/>
      <c r="G1" s="102"/>
      <c r="H1" s="101"/>
      <c r="I1" s="103"/>
      <c r="J1" s="103"/>
      <c r="K1" s="103"/>
    </row>
    <row r="3" spans="1:14" x14ac:dyDescent="0.15">
      <c r="A3" s="105" t="s">
        <v>205</v>
      </c>
      <c r="B3" s="106" t="s">
        <v>206</v>
      </c>
      <c r="C3" s="107"/>
      <c r="D3" s="108"/>
      <c r="E3" s="102" t="s">
        <v>207</v>
      </c>
      <c r="F3" s="109">
        <v>40484</v>
      </c>
      <c r="H3"/>
      <c r="I3" s="102"/>
      <c r="J3" s="110"/>
    </row>
    <row r="4" spans="1:14" x14ac:dyDescent="0.15">
      <c r="A4" s="105" t="s">
        <v>208</v>
      </c>
      <c r="B4" s="111">
        <v>3</v>
      </c>
      <c r="C4" s="112" t="s">
        <v>209</v>
      </c>
      <c r="D4" s="112"/>
      <c r="E4" s="102" t="s">
        <v>210</v>
      </c>
      <c r="F4" s="109">
        <v>40485</v>
      </c>
      <c r="H4" s="113" t="s">
        <v>18</v>
      </c>
      <c r="I4" s="102"/>
      <c r="J4" s="114"/>
    </row>
    <row r="5" spans="1:14" x14ac:dyDescent="0.15">
      <c r="A5" s="105" t="s">
        <v>79</v>
      </c>
      <c r="B5" s="115">
        <v>146172</v>
      </c>
      <c r="C5" s="112" t="s">
        <v>19</v>
      </c>
      <c r="D5" s="112"/>
      <c r="E5" s="102" t="s">
        <v>20</v>
      </c>
      <c r="F5" s="111" t="s">
        <v>212</v>
      </c>
      <c r="H5" s="116" t="s">
        <v>21</v>
      </c>
      <c r="I5" s="103"/>
      <c r="J5" s="103"/>
      <c r="K5" s="103"/>
    </row>
    <row r="6" spans="1:14" x14ac:dyDescent="0.15">
      <c r="A6" s="105" t="s">
        <v>22</v>
      </c>
      <c r="B6" s="117"/>
      <c r="C6" s="112"/>
      <c r="D6" s="102"/>
      <c r="E6" s="102" t="s">
        <v>84</v>
      </c>
      <c r="F6" s="109">
        <v>40485</v>
      </c>
      <c r="H6"/>
      <c r="I6" s="103"/>
      <c r="J6" s="103"/>
      <c r="K6" s="103" t="s">
        <v>203</v>
      </c>
    </row>
    <row r="7" spans="1:14" x14ac:dyDescent="0.15">
      <c r="A7" s="99"/>
      <c r="B7" s="118"/>
      <c r="C7" s="112"/>
      <c r="D7" s="102"/>
      <c r="E7" s="102" t="s">
        <v>23</v>
      </c>
      <c r="F7" s="109">
        <v>40486</v>
      </c>
      <c r="H7"/>
      <c r="I7" s="103"/>
      <c r="J7" s="103"/>
      <c r="K7" s="103"/>
    </row>
    <row r="8" spans="1:14" x14ac:dyDescent="0.15">
      <c r="A8"/>
      <c r="C8" s="119"/>
      <c r="D8" s="119"/>
      <c r="E8" s="112"/>
      <c r="F8"/>
      <c r="H8"/>
      <c r="K8" s="103"/>
    </row>
    <row r="9" spans="1:14" x14ac:dyDescent="0.15">
      <c r="A9" s="120" t="s">
        <v>24</v>
      </c>
      <c r="B9" s="121">
        <v>1</v>
      </c>
      <c r="C9" s="121">
        <v>1</v>
      </c>
      <c r="D9" s="121">
        <v>1</v>
      </c>
      <c r="E9" s="121"/>
      <c r="F9" s="122"/>
      <c r="G9" s="122"/>
      <c r="H9" s="122"/>
      <c r="I9" s="123"/>
      <c r="J9" s="123"/>
      <c r="K9" s="103"/>
    </row>
    <row r="10" spans="1:14" x14ac:dyDescent="0.15">
      <c r="A10" s="124"/>
      <c r="B10" s="125"/>
      <c r="C10" s="112"/>
      <c r="D10" s="112"/>
      <c r="E10" s="126"/>
      <c r="F10" s="102"/>
      <c r="G10" s="125"/>
      <c r="H10" s="112"/>
      <c r="I10" s="103"/>
      <c r="J10" s="103"/>
      <c r="K10" s="103"/>
    </row>
    <row r="11" spans="1:14" x14ac:dyDescent="0.15">
      <c r="A11" s="99" t="s">
        <v>25</v>
      </c>
      <c r="B11" s="126" t="s">
        <v>104</v>
      </c>
      <c r="C11" s="126" t="s">
        <v>105</v>
      </c>
      <c r="D11" s="126" t="s">
        <v>105</v>
      </c>
      <c r="E11" s="126" t="s">
        <v>117</v>
      </c>
      <c r="F11" s="126" t="s">
        <v>118</v>
      </c>
      <c r="G11" s="126"/>
      <c r="H11" s="126" t="s">
        <v>132</v>
      </c>
      <c r="I11" s="126"/>
      <c r="J11" s="126"/>
      <c r="K11" s="103"/>
      <c r="N11" s="127"/>
    </row>
    <row r="12" spans="1:14" x14ac:dyDescent="0.15">
      <c r="A12" s="128" t="s">
        <v>26</v>
      </c>
      <c r="B12" s="155">
        <v>46.5</v>
      </c>
      <c r="C12" s="155">
        <v>295</v>
      </c>
      <c r="D12" s="155">
        <v>351.9</v>
      </c>
      <c r="E12" s="155">
        <v>609.29999999999995</v>
      </c>
      <c r="F12" s="155">
        <v>661.6</v>
      </c>
      <c r="G12" s="129"/>
      <c r="H12" s="126" t="s">
        <v>38</v>
      </c>
      <c r="I12" s="129"/>
      <c r="J12" s="129"/>
      <c r="K12" s="103"/>
    </row>
    <row r="13" spans="1:14" x14ac:dyDescent="0.15">
      <c r="A13" s="128" t="s">
        <v>27</v>
      </c>
      <c r="B13" s="130">
        <v>4.05</v>
      </c>
      <c r="C13" s="130">
        <v>19.2</v>
      </c>
      <c r="D13" s="130">
        <v>37.1</v>
      </c>
      <c r="E13" s="130">
        <v>46.1</v>
      </c>
      <c r="F13" s="118">
        <v>85.21</v>
      </c>
      <c r="G13" s="132"/>
      <c r="H13" s="108" t="s">
        <v>202</v>
      </c>
      <c r="I13" s="132"/>
      <c r="J13" s="131"/>
      <c r="K13" s="103"/>
      <c r="L13" s="133"/>
    </row>
    <row r="14" spans="1:14" x14ac:dyDescent="0.15">
      <c r="A14" s="128" t="s">
        <v>28</v>
      </c>
      <c r="B14" s="130">
        <v>0.66</v>
      </c>
      <c r="C14" s="130">
        <v>0.33</v>
      </c>
      <c r="D14" s="130">
        <v>0.31</v>
      </c>
      <c r="E14" s="130">
        <v>0.09</v>
      </c>
      <c r="F14" s="118">
        <v>0.13</v>
      </c>
      <c r="G14" s="134"/>
      <c r="H14" s="217">
        <f>(C24+D24+E24)/3</f>
        <v>3.3784459811895799</v>
      </c>
      <c r="I14" s="134"/>
      <c r="J14" s="135"/>
      <c r="K14" s="103"/>
      <c r="L14" s="136"/>
    </row>
    <row r="15" spans="1:14" x14ac:dyDescent="0.15">
      <c r="A15" s="137" t="s">
        <v>29</v>
      </c>
      <c r="B15" s="130">
        <v>4.6899999999999997E-2</v>
      </c>
      <c r="C15" s="130">
        <v>0.11459999999999999</v>
      </c>
      <c r="D15" s="130">
        <v>9.5200000000000007E-2</v>
      </c>
      <c r="E15" s="130">
        <v>3.2099999999999997E-2</v>
      </c>
      <c r="F15" s="118">
        <v>1.0999999999999999E-2</v>
      </c>
      <c r="G15" s="134"/>
      <c r="H15" s="126"/>
      <c r="I15" s="134"/>
      <c r="J15" s="135"/>
      <c r="K15" s="103"/>
      <c r="L15" s="136"/>
    </row>
    <row r="16" spans="1:14" ht="14" x14ac:dyDescent="0.2">
      <c r="A16" s="128" t="s">
        <v>30</v>
      </c>
      <c r="B16" s="14">
        <v>2879</v>
      </c>
      <c r="C16" s="14">
        <v>1696</v>
      </c>
      <c r="D16" s="14">
        <v>3133</v>
      </c>
      <c r="E16" s="14">
        <v>1129</v>
      </c>
      <c r="F16" s="14">
        <v>35044</v>
      </c>
      <c r="G16" s="127"/>
      <c r="H16" s="126"/>
      <c r="I16" s="127"/>
      <c r="J16" s="115"/>
      <c r="K16" s="103"/>
    </row>
    <row r="17" spans="1:11" ht="14" x14ac:dyDescent="0.2">
      <c r="A17" s="128" t="s">
        <v>31</v>
      </c>
      <c r="B17" s="14">
        <v>141</v>
      </c>
      <c r="C17" s="14">
        <v>97</v>
      </c>
      <c r="D17" s="14">
        <v>104</v>
      </c>
      <c r="E17" s="14">
        <v>65</v>
      </c>
      <c r="F17" s="14">
        <v>204</v>
      </c>
      <c r="G17" s="127"/>
      <c r="H17" s="112"/>
      <c r="I17" s="127"/>
      <c r="J17" s="138"/>
      <c r="K17" s="103"/>
    </row>
    <row r="18" spans="1:11" x14ac:dyDescent="0.15">
      <c r="A18" s="128" t="s">
        <v>110</v>
      </c>
      <c r="B18" s="118">
        <f>(+B16/$B$5)*60</f>
        <v>1.1817584763155733</v>
      </c>
      <c r="C18" s="130">
        <f>(+C16/$B$5)*60</f>
        <v>0.69616616041375912</v>
      </c>
      <c r="D18" s="130">
        <f>(+D16/$B$5)*60</f>
        <v>1.2860192102454642</v>
      </c>
      <c r="E18" s="130">
        <f>(+E16/$B$5)*60</f>
        <v>0.46342664805845168</v>
      </c>
      <c r="F18" s="118">
        <f>(+F16/$B$5)*60</f>
        <v>14.384697479681472</v>
      </c>
      <c r="G18" s="112"/>
      <c r="H18" s="108"/>
      <c r="I18" s="112"/>
      <c r="J18" s="102"/>
      <c r="K18" s="103"/>
    </row>
    <row r="19" spans="1:11" s="143" customFormat="1" x14ac:dyDescent="0.15">
      <c r="A19" s="139" t="s">
        <v>32</v>
      </c>
      <c r="B19" s="130">
        <v>6.707552788022525E-2</v>
      </c>
      <c r="C19" s="130">
        <v>5.8299290587485501E-2</v>
      </c>
      <c r="D19" s="130">
        <v>0.11158358843626257</v>
      </c>
      <c r="E19" s="130">
        <v>4.325431237136021E-2</v>
      </c>
      <c r="F19" s="118">
        <v>7.5224891080626459E-3</v>
      </c>
      <c r="G19" s="140"/>
      <c r="H19" s="154"/>
      <c r="I19" s="140"/>
      <c r="J19" s="141"/>
      <c r="K19" s="142"/>
    </row>
    <row r="20" spans="1:11" x14ac:dyDescent="0.15">
      <c r="A20" s="144" t="s">
        <v>33</v>
      </c>
      <c r="B20" s="130">
        <v>4.2000564186683104E-2</v>
      </c>
      <c r="C20" s="130">
        <v>3.0716830524589137E-2</v>
      </c>
      <c r="D20" s="130">
        <v>2.8209334155234921E-2</v>
      </c>
      <c r="E20" s="130">
        <v>2.3194341416526491E-2</v>
      </c>
      <c r="F20" s="118">
        <v>3.0716830524589137E-2</v>
      </c>
      <c r="G20" s="140"/>
      <c r="H20" s="126"/>
      <c r="I20" s="140"/>
      <c r="J20" s="141"/>
      <c r="K20" s="103"/>
    </row>
    <row r="21" spans="1:11" x14ac:dyDescent="0.15">
      <c r="A21" s="128" t="s">
        <v>34</v>
      </c>
      <c r="B21" s="130">
        <f>IF((B19&gt;B18),0,(B18-B19))</f>
        <v>1.114682948435348</v>
      </c>
      <c r="C21" s="130">
        <f>IF((C19&gt;C18),0,(C18-C19))</f>
        <v>0.63786686982627361</v>
      </c>
      <c r="D21" s="130">
        <f>IF((D19&gt;D18),0,(D18-D19))</f>
        <v>1.1744356218092016</v>
      </c>
      <c r="E21" s="130">
        <f>IF((E19&gt;E18),0,(E18-E19))</f>
        <v>0.42017233568709145</v>
      </c>
      <c r="F21" s="118">
        <f>IF((F19&gt;F18),0,(F18-F19))</f>
        <v>14.37717499057341</v>
      </c>
      <c r="G21" s="112"/>
      <c r="H21" s="108"/>
      <c r="I21" s="112"/>
      <c r="J21" s="102"/>
      <c r="K21" s="103"/>
    </row>
    <row r="22" spans="1:11" x14ac:dyDescent="0.15">
      <c r="A22" s="144" t="s">
        <v>33</v>
      </c>
      <c r="B22" s="130">
        <f>IF( B21=0,0,SQRT(B18*B17/100)^2+B20^2)</f>
        <v>1.6680434989969584</v>
      </c>
      <c r="C22" s="130">
        <f>IF( C21=0,0,SQRT(C18*C17/100)^2+C20^2)</f>
        <v>0.67622469927882267</v>
      </c>
      <c r="D22" s="130">
        <f>IF( D21=0,0,SQRT(D18*D17/100)^2+D20^2)</f>
        <v>1.3382557451887644</v>
      </c>
      <c r="E22" s="130">
        <f>IF( E21=0,0,SQRT(E18*E17/100)^2+E20^2)</f>
        <v>0.30176529871173996</v>
      </c>
      <c r="F22" s="130">
        <f>IF( F21=0,0,SQRT(F18*F17/100)^2+F20^2)</f>
        <v>29.345726382227685</v>
      </c>
      <c r="G22" s="130"/>
      <c r="H22" s="108"/>
      <c r="I22" s="130"/>
      <c r="J22" s="130"/>
      <c r="K22" s="103"/>
    </row>
    <row r="23" spans="1:11" x14ac:dyDescent="0.15">
      <c r="A23" s="145"/>
      <c r="B23" s="155"/>
      <c r="C23" s="155"/>
      <c r="D23" s="155"/>
      <c r="E23" s="155"/>
      <c r="F23" s="118"/>
      <c r="G23" s="108"/>
      <c r="H23" s="126"/>
      <c r="I23" s="108"/>
      <c r="J23" s="102"/>
      <c r="K23" s="103"/>
    </row>
    <row r="24" spans="1:11" x14ac:dyDescent="0.15">
      <c r="A24" s="99" t="s">
        <v>114</v>
      </c>
      <c r="B24" s="216">
        <f>(B21/($B$4*(B13/100)*B14))*B9</f>
        <v>13.90052311304836</v>
      </c>
      <c r="C24" s="216">
        <f>(C21/($B$4*(C13/100)*C14))</f>
        <v>3.3557810912577519</v>
      </c>
      <c r="D24" s="216">
        <f>(D21/($B$4*(D13/100)*D14))</f>
        <v>3.4038652343541185</v>
      </c>
      <c r="E24" s="216">
        <f>(E21/($B$4*(E13/100)*E14))</f>
        <v>3.3756916179568686</v>
      </c>
      <c r="F24" s="216">
        <f>(F21/($B$4*(F13/100)*F14))</f>
        <v>43.263174812675203</v>
      </c>
      <c r="G24" s="146"/>
      <c r="H24" s="112"/>
      <c r="I24" s="146"/>
      <c r="J24" s="146"/>
      <c r="K24" s="103"/>
    </row>
    <row r="25" spans="1:11" x14ac:dyDescent="0.15">
      <c r="A25" s="99" t="s">
        <v>35</v>
      </c>
      <c r="B25" s="118">
        <f>IF(B21=0,0,(((B21/B14)*(SQRT((B22/B21)^2 + (B15/B14)^2)))/($B$4*B$13/100)))</f>
        <v>20.824581066111236</v>
      </c>
      <c r="C25" s="118">
        <f>IF(C21=0,0,(((C21/C14)*(SQRT((C22/C21)^2 + (C15/C14)^2)))/($B$4*C$13/100)))</f>
        <v>3.7435894006769588</v>
      </c>
      <c r="D25" s="118">
        <f>IF(D21=0,0,(((D21/D14)*(SQRT((D22/D21)^2 + (D15/D14)^2)))/($B$4*D$13/100)))</f>
        <v>4.0170545051891704</v>
      </c>
      <c r="E25" s="118">
        <f>IF(E21=0,0,(((E21/E14)*(SQRT((E22/E21)^2 + (E15/E14)^2)))/($B$4*E$13/100)))</f>
        <v>2.7069045690437328</v>
      </c>
      <c r="F25" s="118">
        <f>IF(F21=0,0,(((F21/F14)*(SQRT((F22/F21)^2 + (F15/F14)^2)))/($B$4*F$13/100)))</f>
        <v>88.381739388843755</v>
      </c>
      <c r="G25" s="102"/>
      <c r="H25" s="108"/>
      <c r="I25" s="102"/>
      <c r="J25" s="102"/>
      <c r="K25" s="103"/>
    </row>
    <row r="26" spans="1:11" x14ac:dyDescent="0.15">
      <c r="A26" s="99" t="s">
        <v>36</v>
      </c>
      <c r="B26" s="216">
        <f t="shared" ref="B26:F27" si="0">B24/0.06</f>
        <v>231.67538521747267</v>
      </c>
      <c r="C26" s="216">
        <f t="shared" si="0"/>
        <v>55.929684854295864</v>
      </c>
      <c r="D26" s="216">
        <f t="shared" si="0"/>
        <v>56.731087239235308</v>
      </c>
      <c r="E26" s="216">
        <f t="shared" si="0"/>
        <v>56.261526965947809</v>
      </c>
      <c r="F26" s="216">
        <f t="shared" si="0"/>
        <v>721.05291354458677</v>
      </c>
      <c r="G26" s="146"/>
      <c r="H26" s="108"/>
      <c r="I26" s="147"/>
      <c r="J26" s="146"/>
      <c r="K26" s="103"/>
    </row>
    <row r="27" spans="1:11" x14ac:dyDescent="0.15">
      <c r="A27" s="99" t="s">
        <v>35</v>
      </c>
      <c r="B27" s="130">
        <f t="shared" si="0"/>
        <v>347.07635110185396</v>
      </c>
      <c r="C27" s="130">
        <f t="shared" si="0"/>
        <v>62.393156677949314</v>
      </c>
      <c r="D27" s="130">
        <f t="shared" si="0"/>
        <v>66.950908419819513</v>
      </c>
      <c r="E27" s="130">
        <f t="shared" si="0"/>
        <v>45.115076150728882</v>
      </c>
      <c r="F27" s="130">
        <f t="shared" si="0"/>
        <v>1473.0289898140627</v>
      </c>
      <c r="G27" s="112"/>
      <c r="H27" s="108"/>
      <c r="I27" s="132"/>
      <c r="J27" s="112"/>
      <c r="K27" s="103"/>
    </row>
    <row r="28" spans="1:11" x14ac:dyDescent="0.15">
      <c r="A28" s="99"/>
      <c r="B28" s="130"/>
      <c r="C28" s="130"/>
      <c r="D28" s="130"/>
      <c r="E28" s="130"/>
      <c r="F28" s="130"/>
      <c r="G28" s="112"/>
      <c r="H28" s="108"/>
      <c r="I28" s="112"/>
      <c r="J28" s="112"/>
      <c r="K28" s="103"/>
    </row>
    <row r="29" spans="1:11" s="150" customFormat="1" x14ac:dyDescent="0.15">
      <c r="A29" s="148" t="s">
        <v>37</v>
      </c>
      <c r="B29" s="130">
        <f>(2.71+4.66*SQRT(B19*$B$5/60))/($B$4*$B$5/60*B13/100*B14)</f>
        <v>0.31879567797986608</v>
      </c>
      <c r="C29" s="130">
        <f>(2.71+4.66*SQRT(C19*$B$5/60))/($B$4*$B$5/60*C13/100*C14)</f>
        <v>0.12578133368167546</v>
      </c>
      <c r="D29" s="130">
        <f>(2.71+4.66*SQRT(D19*$B$5/60))/($B$4*$B$5/60*D13/100*D14)</f>
        <v>9.4629622011454778E-2</v>
      </c>
      <c r="E29" s="130">
        <f>(2.71+4.66*SQRT(E19*$B$5/60))/($B$4*$B$5/60*E13/100*E14)</f>
        <v>0.16669066525312023</v>
      </c>
      <c r="F29" s="130">
        <f>(2.71+4.66*SQRT(F19*$B$5/60))/($B$4*$B$5/60*F13/100*F14)</f>
        <v>2.7988164891233781E-2</v>
      </c>
      <c r="G29" s="130"/>
      <c r="H29" s="155"/>
      <c r="I29" s="130"/>
      <c r="J29" s="130"/>
      <c r="K29" s="149"/>
    </row>
    <row r="30" spans="1:11" x14ac:dyDescent="0.15">
      <c r="A30" s="99"/>
      <c r="B30" s="112"/>
      <c r="C30" s="112"/>
      <c r="D30" s="112"/>
      <c r="F30" s="112"/>
      <c r="G30" s="102"/>
      <c r="H30" s="112"/>
      <c r="I30" s="103"/>
      <c r="J30" s="103"/>
      <c r="K30" s="103"/>
    </row>
    <row r="31" spans="1:11" x14ac:dyDescent="0.15">
      <c r="A31" s="99"/>
      <c r="B31" s="151"/>
      <c r="C31" s="122"/>
      <c r="D31" s="151"/>
      <c r="E31" s="122"/>
      <c r="F31" s="151"/>
      <c r="G31" s="122"/>
      <c r="H31" s="151"/>
      <c r="I31" s="123"/>
      <c r="J31" s="123"/>
      <c r="K31" s="103"/>
    </row>
    <row r="32" spans="1:11" x14ac:dyDescent="0.15">
      <c r="A32" s="99"/>
      <c r="B32" s="112"/>
      <c r="C32" s="102"/>
      <c r="D32" s="112"/>
      <c r="E32" s="112"/>
      <c r="F32" s="112"/>
      <c r="G32" s="102"/>
      <c r="H32" s="102"/>
      <c r="I32" s="103"/>
      <c r="J32" s="103"/>
      <c r="K32" s="103"/>
    </row>
    <row r="33" spans="1:11" x14ac:dyDescent="0.15">
      <c r="A33" s="99"/>
      <c r="B33" s="126"/>
      <c r="F33" s="126"/>
      <c r="G33" s="126"/>
      <c r="I33" s="126"/>
      <c r="J33" s="126"/>
      <c r="K33" s="126"/>
    </row>
    <row r="34" spans="1:11" x14ac:dyDescent="0.15">
      <c r="A34" s="128"/>
      <c r="B34" s="129"/>
      <c r="F34" s="129"/>
      <c r="G34" s="129"/>
      <c r="I34" s="126"/>
      <c r="J34" s="126"/>
      <c r="K34" s="126"/>
    </row>
    <row r="35" spans="1:11" x14ac:dyDescent="0.15">
      <c r="A35" s="128"/>
      <c r="B35" s="131"/>
      <c r="F35" s="112"/>
      <c r="G35" s="112"/>
      <c r="I35" s="108"/>
      <c r="J35" s="108"/>
      <c r="K35" s="108"/>
    </row>
    <row r="36" spans="1:11" x14ac:dyDescent="0.15">
      <c r="A36" s="128"/>
      <c r="B36" s="135"/>
      <c r="F36" s="134"/>
      <c r="G36" s="134"/>
      <c r="I36" s="126"/>
      <c r="J36" s="126"/>
      <c r="K36" s="126"/>
    </row>
    <row r="37" spans="1:11" x14ac:dyDescent="0.15">
      <c r="A37" s="137"/>
      <c r="B37" s="135"/>
      <c r="F37" s="152"/>
      <c r="G37" s="134"/>
      <c r="I37" s="126"/>
      <c r="J37" s="126"/>
      <c r="K37" s="126"/>
    </row>
    <row r="38" spans="1:11" x14ac:dyDescent="0.15">
      <c r="A38" s="128"/>
      <c r="B38" s="115"/>
      <c r="F38" s="127"/>
      <c r="G38" s="127"/>
      <c r="I38" s="126"/>
      <c r="J38" s="126"/>
      <c r="K38" s="126"/>
    </row>
    <row r="39" spans="1:11" x14ac:dyDescent="0.15">
      <c r="A39" s="128"/>
      <c r="B39" s="127"/>
      <c r="F39" s="127"/>
      <c r="G39" s="153"/>
      <c r="I39" s="112"/>
      <c r="J39" s="112"/>
      <c r="K39" s="112"/>
    </row>
    <row r="40" spans="1:11" x14ac:dyDescent="0.15">
      <c r="A40" s="128"/>
      <c r="B40" s="102"/>
      <c r="F40" s="112"/>
      <c r="G40" s="112"/>
      <c r="I40" s="108"/>
      <c r="J40" s="108"/>
      <c r="K40" s="108"/>
    </row>
    <row r="41" spans="1:11" s="143" customFormat="1" x14ac:dyDescent="0.15">
      <c r="A41" s="139"/>
      <c r="B41" s="141"/>
      <c r="F41" s="140"/>
      <c r="G41" s="140"/>
      <c r="I41" s="154"/>
      <c r="J41" s="154"/>
      <c r="K41" s="154"/>
    </row>
    <row r="42" spans="1:11" x14ac:dyDescent="0.15">
      <c r="A42" s="144"/>
      <c r="B42" s="141"/>
      <c r="F42" s="140"/>
      <c r="G42" s="140"/>
      <c r="I42" s="126"/>
      <c r="J42" s="126"/>
      <c r="K42" s="126"/>
    </row>
    <row r="43" spans="1:11" x14ac:dyDescent="0.15">
      <c r="A43" s="128"/>
      <c r="B43" s="102"/>
      <c r="F43" s="112"/>
      <c r="G43" s="112"/>
      <c r="I43" s="108"/>
      <c r="J43" s="108"/>
      <c r="K43" s="108"/>
    </row>
    <row r="44" spans="1:11" x14ac:dyDescent="0.15">
      <c r="A44" s="144"/>
      <c r="B44" s="130"/>
      <c r="F44" s="130"/>
      <c r="G44" s="130"/>
      <c r="I44" s="108"/>
      <c r="J44" s="108"/>
      <c r="K44" s="108"/>
    </row>
    <row r="45" spans="1:11" x14ac:dyDescent="0.15">
      <c r="A45" s="145"/>
      <c r="B45" s="102"/>
      <c r="F45" s="108"/>
      <c r="G45" s="108"/>
      <c r="I45" s="126"/>
      <c r="J45" s="126"/>
      <c r="K45" s="126"/>
    </row>
    <row r="46" spans="1:11" x14ac:dyDescent="0.15">
      <c r="A46" s="99"/>
      <c r="B46" s="146"/>
      <c r="F46" s="146"/>
      <c r="G46" s="146"/>
      <c r="I46" s="112"/>
      <c r="J46" s="112"/>
      <c r="K46" s="112"/>
    </row>
    <row r="47" spans="1:11" x14ac:dyDescent="0.15">
      <c r="A47" s="144"/>
      <c r="B47" s="102"/>
      <c r="F47" s="102"/>
      <c r="G47" s="102"/>
      <c r="I47" s="108"/>
      <c r="J47" s="108"/>
      <c r="K47" s="108"/>
    </row>
    <row r="48" spans="1:11" x14ac:dyDescent="0.15">
      <c r="A48" s="99"/>
      <c r="B48" s="146"/>
      <c r="F48" s="146"/>
      <c r="G48" s="146"/>
      <c r="I48" s="108"/>
      <c r="J48" s="108"/>
      <c r="K48" s="108"/>
    </row>
    <row r="49" spans="1:256" x14ac:dyDescent="0.15">
      <c r="A49" s="144"/>
      <c r="B49" s="112"/>
      <c r="F49" s="112"/>
      <c r="G49" s="112"/>
      <c r="I49" s="108"/>
      <c r="J49" s="108"/>
      <c r="K49" s="108"/>
    </row>
    <row r="50" spans="1:256" x14ac:dyDescent="0.15">
      <c r="A50" s="124"/>
      <c r="B50" s="112"/>
      <c r="F50" s="112"/>
      <c r="G50" s="112"/>
      <c r="I50" s="108"/>
      <c r="J50" s="108"/>
      <c r="K50" s="108"/>
    </row>
    <row r="51" spans="1:256" s="150" customFormat="1" x14ac:dyDescent="0.15">
      <c r="A51" s="148"/>
      <c r="B51" s="130"/>
      <c r="F51" s="130"/>
      <c r="G51" s="130"/>
      <c r="I51" s="155"/>
      <c r="J51" s="155"/>
      <c r="K51" s="155"/>
    </row>
    <row r="52" spans="1:256" x14ac:dyDescent="0.15">
      <c r="A52" s="156"/>
      <c r="B52" s="157"/>
      <c r="C52" s="158"/>
      <c r="D52" s="157"/>
      <c r="E52" s="158"/>
      <c r="F52" s="158"/>
      <c r="G52" s="158"/>
    </row>
    <row r="53" spans="1:256" x14ac:dyDescent="0.15">
      <c r="A53" s="156"/>
      <c r="B53" s="159"/>
      <c r="C53" s="160"/>
      <c r="D53" s="159"/>
      <c r="E53" s="159"/>
    </row>
    <row r="55" spans="1:256" s="61" customFormat="1" x14ac:dyDescent="0.15">
      <c r="A55" s="161"/>
      <c r="B55" s="100" t="s">
        <v>203</v>
      </c>
      <c r="D55"/>
      <c r="E55"/>
      <c r="G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61" customFormat="1" x14ac:dyDescent="0.15">
      <c r="A56" s="104"/>
      <c r="B56" s="100" t="s">
        <v>203</v>
      </c>
      <c r="C56" s="101" t="s">
        <v>203</v>
      </c>
      <c r="D56" s="100" t="s">
        <v>203</v>
      </c>
      <c r="E56"/>
      <c r="G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8196" spans="256:256" x14ac:dyDescent="0.15">
      <c r="IV8196" s="100"/>
    </row>
  </sheetData>
  <phoneticPr fontId="1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2"/>
  <sheetViews>
    <sheetView topLeftCell="AD1" zoomScale="75" workbookViewId="0">
      <selection activeCell="AK15" sqref="AK15:BB26"/>
    </sheetView>
  </sheetViews>
  <sheetFormatPr baseColWidth="10" defaultColWidth="8.6640625" defaultRowHeight="13" x14ac:dyDescent="0.15"/>
  <cols>
    <col min="1" max="1" width="18.5" style="73" customWidth="1"/>
    <col min="2" max="2" width="10.5" customWidth="1"/>
    <col min="3" max="3" width="12" style="28" customWidth="1"/>
    <col min="4" max="4" width="8.6640625" style="28" customWidth="1"/>
    <col min="5" max="5" width="9.33203125" style="28" customWidth="1"/>
    <col min="6" max="6" width="11.1640625" style="28" customWidth="1"/>
    <col min="7" max="32" width="8.6640625" style="28" customWidth="1"/>
    <col min="33" max="33" width="10.6640625" style="28" customWidth="1"/>
    <col min="34" max="36" width="8.6640625" style="28" customWidth="1"/>
    <col min="37" max="37" width="15.5" style="28" customWidth="1"/>
    <col min="38" max="38" width="12.6640625" style="28" customWidth="1"/>
    <col min="39" max="39" width="11" style="28" customWidth="1"/>
    <col min="40" max="43" width="8.6640625" style="28" customWidth="1"/>
    <col min="44" max="44" width="9.33203125" style="28" customWidth="1"/>
    <col min="45" max="46" width="8.6640625" style="28" customWidth="1"/>
    <col min="47" max="47" width="8.1640625" style="28" customWidth="1"/>
    <col min="48" max="51" width="8.6640625" style="28" customWidth="1"/>
    <col min="52" max="52" width="8.33203125" style="28" customWidth="1"/>
    <col min="53" max="55" width="8.6640625" style="28" customWidth="1"/>
    <col min="56" max="57" width="8.1640625" style="28" customWidth="1"/>
    <col min="58" max="63" width="8.6640625" style="28" customWidth="1"/>
    <col min="64" max="64" width="2.5" style="28" customWidth="1"/>
    <col min="65" max="65" width="15.6640625" style="28" customWidth="1"/>
    <col min="66" max="80" width="8.6640625" style="28" customWidth="1"/>
    <col min="81" max="90" width="8.6640625" customWidth="1"/>
  </cols>
  <sheetData>
    <row r="1" spans="1:80" ht="16" x14ac:dyDescent="0.2">
      <c r="A1" s="209" t="s">
        <v>191</v>
      </c>
      <c r="B1" s="184"/>
      <c r="C1" s="65"/>
      <c r="E1" s="68"/>
      <c r="F1" s="68"/>
      <c r="G1" s="65"/>
      <c r="H1" s="65"/>
      <c r="I1" s="65"/>
      <c r="J1" s="65"/>
      <c r="K1" s="65"/>
      <c r="L1" s="65"/>
      <c r="M1" s="65"/>
      <c r="N1" s="65"/>
      <c r="O1" s="65"/>
      <c r="P1" s="185"/>
      <c r="Q1" s="62"/>
      <c r="R1" s="62"/>
      <c r="S1" s="62"/>
      <c r="T1" s="62"/>
      <c r="U1" s="186"/>
      <c r="V1" s="186"/>
      <c r="W1" s="186"/>
      <c r="X1" s="187"/>
      <c r="Y1" s="62"/>
      <c r="Z1" s="62"/>
      <c r="AA1" s="63"/>
      <c r="AB1" s="63"/>
      <c r="AC1" s="63"/>
      <c r="AD1" s="63"/>
      <c r="AE1" s="64"/>
      <c r="AF1" s="65"/>
      <c r="AG1" s="65"/>
      <c r="AH1" s="66"/>
      <c r="AI1" s="67"/>
      <c r="AJ1" s="64"/>
      <c r="AK1" s="210" t="s">
        <v>155</v>
      </c>
      <c r="AL1" s="64"/>
      <c r="AM1" s="6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6"/>
      <c r="BG1" s="66"/>
      <c r="BH1" s="65"/>
      <c r="BI1" s="65"/>
      <c r="BJ1" s="66"/>
      <c r="BK1" s="65"/>
      <c r="BL1" s="65"/>
      <c r="BM1" s="64"/>
      <c r="BN1" s="188"/>
      <c r="BO1" s="188"/>
      <c r="BP1" s="65"/>
      <c r="BQ1" s="65"/>
      <c r="BR1" s="65"/>
      <c r="BS1" s="211"/>
      <c r="BT1" s="65"/>
      <c r="BU1" s="65"/>
      <c r="BV1" s="65"/>
      <c r="BW1" s="65"/>
      <c r="BX1" s="65"/>
      <c r="BY1" s="65"/>
      <c r="BZ1" s="65"/>
      <c r="CA1" s="65"/>
      <c r="CB1" s="65"/>
    </row>
    <row r="2" spans="1:80" ht="14" x14ac:dyDescent="0.2">
      <c r="A2" s="224"/>
      <c r="B2" s="75"/>
      <c r="E2" s="72"/>
      <c r="F2" s="72"/>
      <c r="P2" s="189"/>
      <c r="Q2" s="69"/>
      <c r="R2" s="69"/>
      <c r="S2" s="69"/>
      <c r="T2" s="69"/>
      <c r="U2" s="80"/>
      <c r="V2" s="80"/>
      <c r="W2" s="80"/>
      <c r="X2" s="94"/>
      <c r="Y2" s="69"/>
      <c r="Z2" s="69"/>
      <c r="AA2" s="70"/>
      <c r="AB2" s="70"/>
      <c r="AC2" s="70"/>
      <c r="AE2" s="71"/>
      <c r="AF2" s="10" t="s">
        <v>156</v>
      </c>
      <c r="AG2" s="10" t="s">
        <v>157</v>
      </c>
      <c r="AH2" s="10" t="s">
        <v>158</v>
      </c>
      <c r="AI2" s="10" t="s">
        <v>159</v>
      </c>
      <c r="AJ2" s="71"/>
      <c r="AK2" s="71"/>
      <c r="AL2" s="71"/>
      <c r="AM2" s="71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3"/>
      <c r="BG2" s="73"/>
      <c r="BJ2" s="73"/>
      <c r="BM2" s="71"/>
      <c r="BN2" s="74"/>
      <c r="BO2" s="74"/>
      <c r="BS2" s="98"/>
    </row>
    <row r="3" spans="1:80" ht="14" x14ac:dyDescent="0.2">
      <c r="A3" s="190" t="s">
        <v>160</v>
      </c>
      <c r="B3" s="76" t="s">
        <v>213</v>
      </c>
      <c r="E3" s="72"/>
      <c r="F3" s="72"/>
      <c r="P3" s="189"/>
      <c r="Q3" s="69"/>
      <c r="R3" s="69"/>
      <c r="S3" s="69"/>
      <c r="T3" s="69"/>
      <c r="U3" s="80"/>
      <c r="V3" s="80"/>
      <c r="W3" s="80"/>
      <c r="X3" s="94"/>
      <c r="Y3" s="69"/>
      <c r="Z3" s="69"/>
      <c r="AA3" s="70"/>
      <c r="AB3" s="70"/>
      <c r="AC3" s="70"/>
      <c r="AE3" s="71"/>
      <c r="AF3" s="10" t="s">
        <v>161</v>
      </c>
      <c r="AG3" s="10" t="s">
        <v>162</v>
      </c>
      <c r="AH3" s="10" t="s">
        <v>163</v>
      </c>
      <c r="AI3" s="10" t="s">
        <v>164</v>
      </c>
      <c r="AJ3" s="71"/>
      <c r="AK3" s="71"/>
      <c r="AL3" s="71"/>
      <c r="AM3" s="71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3"/>
      <c r="BG3" s="73"/>
      <c r="BJ3" s="73"/>
      <c r="BM3" s="71"/>
      <c r="BN3" s="74"/>
      <c r="BO3" s="74"/>
      <c r="BS3" s="98"/>
    </row>
    <row r="4" spans="1:80" ht="14" x14ac:dyDescent="0.2">
      <c r="A4" s="190" t="s">
        <v>165</v>
      </c>
      <c r="B4" s="76"/>
      <c r="E4" s="72"/>
      <c r="F4" s="72"/>
      <c r="P4" s="189"/>
      <c r="Q4" s="69"/>
      <c r="R4" s="69"/>
      <c r="S4" s="69"/>
      <c r="T4" s="69"/>
      <c r="U4" s="80"/>
      <c r="V4" s="80"/>
      <c r="W4" s="80"/>
      <c r="X4" s="94"/>
      <c r="Y4" s="69"/>
      <c r="Z4" s="69"/>
      <c r="AA4" s="74"/>
      <c r="AB4" s="74"/>
      <c r="AC4" s="74"/>
      <c r="AE4" s="71"/>
      <c r="AF4" s="75">
        <v>46.5</v>
      </c>
      <c r="AG4" s="28">
        <v>0.66239999999999999</v>
      </c>
      <c r="AH4" s="28">
        <v>2.358E-2</v>
      </c>
      <c r="AI4" s="28">
        <v>4.0500000000000001E-2</v>
      </c>
      <c r="AJ4" s="71"/>
      <c r="AK4" s="79" t="s">
        <v>160</v>
      </c>
      <c r="AL4" s="61" t="str">
        <f>B3</f>
        <v>Lake Winnipeg</v>
      </c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3"/>
      <c r="BG4" s="73"/>
      <c r="BJ4" s="73"/>
      <c r="BM4" s="71"/>
      <c r="BN4" s="74"/>
      <c r="BO4" s="74"/>
      <c r="BS4" s="98"/>
    </row>
    <row r="5" spans="1:80" ht="14" x14ac:dyDescent="0.2">
      <c r="A5" s="190" t="s">
        <v>166</v>
      </c>
      <c r="B5" s="77">
        <v>42565</v>
      </c>
      <c r="E5" s="72"/>
      <c r="F5" s="72"/>
      <c r="P5" s="189"/>
      <c r="Q5" s="69"/>
      <c r="R5" s="69"/>
      <c r="S5" s="69"/>
      <c r="T5" s="69"/>
      <c r="U5" s="80"/>
      <c r="V5" s="80"/>
      <c r="W5" s="80"/>
      <c r="X5" s="94"/>
      <c r="Y5" s="69"/>
      <c r="Z5" s="69"/>
      <c r="AA5" s="74"/>
      <c r="AB5" s="74"/>
      <c r="AC5" s="74"/>
      <c r="AE5" s="71"/>
      <c r="AF5" s="75">
        <v>295.10000000000002</v>
      </c>
      <c r="AG5" s="28">
        <v>0.32600000000000001</v>
      </c>
      <c r="AH5" s="28">
        <v>2.3900000000000001E-2</v>
      </c>
      <c r="AI5" s="74">
        <v>0.18401999999999999</v>
      </c>
      <c r="AJ5" s="71"/>
      <c r="AK5" s="79" t="s">
        <v>165</v>
      </c>
      <c r="AL5" s="61">
        <f>B4</f>
        <v>0</v>
      </c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3"/>
      <c r="BG5" s="73"/>
      <c r="BJ5" s="73"/>
      <c r="BM5" s="71"/>
      <c r="BN5" s="74"/>
      <c r="BO5" s="74"/>
      <c r="BS5" s="98"/>
    </row>
    <row r="6" spans="1:80" ht="14" x14ac:dyDescent="0.2">
      <c r="A6" s="190" t="s">
        <v>167</v>
      </c>
      <c r="B6" s="78">
        <v>2015</v>
      </c>
      <c r="E6" s="72"/>
      <c r="F6" s="72"/>
      <c r="P6" s="189"/>
      <c r="Q6" s="69"/>
      <c r="R6" s="69"/>
      <c r="S6" s="69"/>
      <c r="T6" s="69"/>
      <c r="U6" s="80"/>
      <c r="V6" s="80"/>
      <c r="W6" s="80"/>
      <c r="X6" s="94"/>
      <c r="Y6" s="69"/>
      <c r="Z6" s="69"/>
      <c r="AA6" s="74"/>
      <c r="AB6" s="74"/>
      <c r="AC6" s="74"/>
      <c r="AE6" s="71"/>
      <c r="AF6" s="75">
        <v>351.9</v>
      </c>
      <c r="AG6" s="28">
        <v>0.31069999999999998</v>
      </c>
      <c r="AH6" s="28">
        <v>2.094E-2</v>
      </c>
      <c r="AI6" s="74">
        <v>0.35399999999999998</v>
      </c>
      <c r="AJ6" s="71"/>
      <c r="AK6" s="79" t="s">
        <v>166</v>
      </c>
      <c r="AL6" s="214">
        <f>B5</f>
        <v>42565</v>
      </c>
      <c r="AM6" s="95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3"/>
      <c r="BG6" s="73"/>
      <c r="BJ6" s="73"/>
      <c r="BM6" s="71"/>
      <c r="BN6" s="74"/>
      <c r="BO6" s="74"/>
      <c r="BS6" s="98"/>
    </row>
    <row r="7" spans="1:80" ht="14" x14ac:dyDescent="0.2">
      <c r="A7" s="190" t="s">
        <v>168</v>
      </c>
      <c r="B7" s="72">
        <v>1</v>
      </c>
      <c r="E7" s="72"/>
      <c r="F7" s="72"/>
      <c r="P7" s="189"/>
      <c r="Q7" s="69"/>
      <c r="R7" s="69"/>
      <c r="S7" s="69"/>
      <c r="T7" s="69"/>
      <c r="U7" s="80"/>
      <c r="V7" s="80"/>
      <c r="W7" s="80"/>
      <c r="X7" s="94"/>
      <c r="Y7" s="69"/>
      <c r="Z7" s="69"/>
      <c r="AA7" s="74"/>
      <c r="AB7" s="74"/>
      <c r="AC7" s="74"/>
      <c r="AE7" s="71"/>
      <c r="AF7" s="75">
        <v>609.29999999999995</v>
      </c>
      <c r="AG7" s="28">
        <v>0.09</v>
      </c>
      <c r="AH7" s="28">
        <v>1.5709999999999998E-2</v>
      </c>
      <c r="AI7" s="74">
        <v>0.44840000000000002</v>
      </c>
      <c r="AJ7" s="71"/>
      <c r="AK7" s="79" t="s">
        <v>167</v>
      </c>
      <c r="AL7" s="215">
        <f>B6</f>
        <v>2015</v>
      </c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3"/>
      <c r="BG7" s="73"/>
      <c r="BJ7" s="73"/>
      <c r="BM7" s="71"/>
      <c r="BN7" s="74"/>
      <c r="BO7" s="74"/>
    </row>
    <row r="8" spans="1:80" ht="14" x14ac:dyDescent="0.2">
      <c r="A8" s="168"/>
      <c r="B8" s="75"/>
      <c r="E8" s="72"/>
      <c r="F8" s="72"/>
      <c r="P8" s="189"/>
      <c r="Q8" s="69"/>
      <c r="R8" s="69"/>
      <c r="S8" s="69"/>
      <c r="T8" s="69"/>
      <c r="U8" s="80"/>
      <c r="V8" s="80"/>
      <c r="W8" s="80"/>
      <c r="X8" s="94"/>
      <c r="Y8" s="69"/>
      <c r="Z8" s="69"/>
      <c r="AA8" s="10" t="s">
        <v>169</v>
      </c>
      <c r="AB8" s="74"/>
      <c r="AC8" s="74"/>
      <c r="AE8" s="71"/>
      <c r="AF8" s="75">
        <v>661.7</v>
      </c>
      <c r="AG8" s="75">
        <v>0.13239999999999999</v>
      </c>
      <c r="AH8" s="28">
        <v>2.4599999999999999E-3</v>
      </c>
      <c r="AI8" s="74">
        <v>0.85209999999999997</v>
      </c>
      <c r="AJ8" s="71"/>
      <c r="AK8" s="79" t="s">
        <v>168</v>
      </c>
      <c r="AL8" s="215">
        <v>3</v>
      </c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3"/>
      <c r="BG8" s="73"/>
      <c r="BJ8" s="73"/>
      <c r="BM8" s="71"/>
      <c r="BN8" s="90"/>
      <c r="BO8" s="74"/>
    </row>
    <row r="9" spans="1:80" ht="14" x14ac:dyDescent="0.2">
      <c r="A9" s="168"/>
      <c r="B9" s="75"/>
      <c r="C9" s="75"/>
      <c r="E9" s="75"/>
      <c r="F9" s="75"/>
      <c r="G9" s="75"/>
      <c r="H9" s="75"/>
      <c r="I9" s="75"/>
      <c r="J9" s="83"/>
      <c r="K9" s="83"/>
      <c r="L9" s="83"/>
      <c r="M9" s="75"/>
      <c r="N9" s="75"/>
      <c r="O9" s="75"/>
      <c r="P9" s="189"/>
      <c r="Q9" s="87" t="s">
        <v>170</v>
      </c>
      <c r="R9" s="69"/>
      <c r="S9" s="69"/>
      <c r="T9" s="69"/>
      <c r="U9" s="69"/>
      <c r="V9" s="80"/>
      <c r="W9" s="80"/>
      <c r="X9" s="94"/>
      <c r="Y9" s="80"/>
      <c r="Z9" s="80"/>
      <c r="AA9" s="10" t="s">
        <v>171</v>
      </c>
      <c r="AB9" s="212"/>
      <c r="AC9" s="212"/>
      <c r="AD9" s="212"/>
      <c r="AE9" s="81"/>
      <c r="AF9" s="75"/>
      <c r="AG9" s="75"/>
      <c r="AH9" s="83"/>
      <c r="AI9" s="84"/>
      <c r="AJ9" s="81"/>
      <c r="AK9" s="213"/>
      <c r="AL9" s="85"/>
      <c r="AM9" s="85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18" t="s">
        <v>192</v>
      </c>
      <c r="BG9" s="168"/>
      <c r="BH9" s="81"/>
      <c r="BI9" s="81"/>
      <c r="BJ9" s="75"/>
      <c r="BK9" s="75"/>
      <c r="BL9" s="75"/>
      <c r="BM9" s="80"/>
      <c r="BN9" s="10" t="s">
        <v>193</v>
      </c>
      <c r="BO9" s="80"/>
      <c r="BP9" s="80"/>
      <c r="BQ9" s="80"/>
      <c r="BR9" s="80"/>
      <c r="BS9" s="80"/>
      <c r="BT9" s="80"/>
      <c r="BU9" s="80"/>
      <c r="BV9" s="80"/>
      <c r="BW9" s="80"/>
      <c r="BX9" s="75"/>
      <c r="BY9" s="75"/>
      <c r="BZ9" s="75"/>
      <c r="CA9" s="75"/>
      <c r="CB9" s="75"/>
    </row>
    <row r="10" spans="1:80" ht="14" x14ac:dyDescent="0.2">
      <c r="A10" s="168"/>
      <c r="B10" s="75"/>
      <c r="C10" s="75"/>
      <c r="E10" s="75"/>
      <c r="F10" s="75"/>
      <c r="G10" s="75"/>
      <c r="I10" s="75"/>
      <c r="J10" s="83"/>
      <c r="K10" s="83"/>
      <c r="L10" s="83"/>
      <c r="M10" s="75"/>
      <c r="N10" s="75"/>
      <c r="O10" s="75"/>
      <c r="P10" s="189"/>
      <c r="Q10" s="69"/>
      <c r="R10" s="69"/>
      <c r="S10" s="69"/>
      <c r="T10" s="69"/>
      <c r="U10" s="69"/>
      <c r="V10" s="80"/>
      <c r="W10" s="80"/>
      <c r="X10" s="94"/>
      <c r="Y10" s="80"/>
      <c r="Z10" s="80"/>
      <c r="AA10" s="212"/>
      <c r="AB10" s="212"/>
      <c r="AC10" s="212"/>
      <c r="AD10" s="212"/>
      <c r="AE10" s="81"/>
      <c r="AF10" s="75"/>
      <c r="AG10" s="75"/>
      <c r="AH10" s="83"/>
      <c r="AI10" s="84"/>
      <c r="AJ10" s="81"/>
      <c r="AK10" s="213"/>
      <c r="AL10" s="85"/>
      <c r="AM10" s="85"/>
      <c r="AN10" s="81"/>
      <c r="AO10" s="81"/>
      <c r="AQ10" s="81"/>
      <c r="AR10" s="81"/>
      <c r="AS10" s="86" t="s">
        <v>38</v>
      </c>
      <c r="AT10" s="86" t="s">
        <v>38</v>
      </c>
      <c r="AU10" s="86"/>
      <c r="AV10" s="81"/>
      <c r="AW10" s="81"/>
      <c r="AX10" s="86" t="s">
        <v>194</v>
      </c>
      <c r="AY10" s="86" t="s">
        <v>194</v>
      </c>
      <c r="AZ10" s="81"/>
      <c r="BA10" s="86" t="s">
        <v>52</v>
      </c>
      <c r="BB10" s="86" t="s">
        <v>52</v>
      </c>
      <c r="BC10" s="75"/>
      <c r="BD10" s="86"/>
      <c r="BE10" s="86"/>
      <c r="BF10" s="13"/>
      <c r="BG10" s="168"/>
      <c r="BH10" s="81"/>
      <c r="BI10" s="81"/>
      <c r="BJ10" s="75"/>
      <c r="BK10" s="75"/>
      <c r="BL10" s="75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75"/>
      <c r="BY10" s="75"/>
      <c r="BZ10" s="75"/>
      <c r="CA10" s="75"/>
      <c r="CB10" s="75"/>
    </row>
    <row r="11" spans="1:80" ht="14" x14ac:dyDescent="0.2">
      <c r="A11" s="18" t="s">
        <v>172</v>
      </c>
      <c r="B11" s="10" t="s">
        <v>173</v>
      </c>
      <c r="C11" s="75"/>
      <c r="D11" s="10" t="s">
        <v>174</v>
      </c>
      <c r="E11" s="180" t="s">
        <v>174</v>
      </c>
      <c r="F11" s="180" t="s">
        <v>175</v>
      </c>
      <c r="G11" s="87" t="s">
        <v>104</v>
      </c>
      <c r="H11" s="10">
        <v>46.5</v>
      </c>
      <c r="I11" s="10" t="s">
        <v>105</v>
      </c>
      <c r="J11" s="88">
        <v>295.10000000000002</v>
      </c>
      <c r="K11" s="89" t="s">
        <v>105</v>
      </c>
      <c r="L11" s="88">
        <v>351.7</v>
      </c>
      <c r="M11" s="10" t="s">
        <v>117</v>
      </c>
      <c r="N11" s="88">
        <v>609.29999999999995</v>
      </c>
      <c r="O11" s="10" t="s">
        <v>118</v>
      </c>
      <c r="P11" s="10">
        <v>661.7</v>
      </c>
      <c r="Q11" s="87" t="s">
        <v>104</v>
      </c>
      <c r="R11" s="87">
        <v>46.5</v>
      </c>
      <c r="S11" s="87" t="s">
        <v>105</v>
      </c>
      <c r="T11" s="191">
        <v>295.10000000000002</v>
      </c>
      <c r="U11" s="192" t="s">
        <v>105</v>
      </c>
      <c r="V11" s="191">
        <v>351.7</v>
      </c>
      <c r="W11" s="87" t="s">
        <v>117</v>
      </c>
      <c r="X11" s="191">
        <v>609.29999999999995</v>
      </c>
      <c r="Y11" s="87" t="s">
        <v>118</v>
      </c>
      <c r="Z11" s="87">
        <v>661.7</v>
      </c>
      <c r="AA11" s="87" t="s">
        <v>104</v>
      </c>
      <c r="AB11" s="10">
        <v>46.5</v>
      </c>
      <c r="AC11" s="10" t="s">
        <v>105</v>
      </c>
      <c r="AD11" s="88">
        <v>295.2</v>
      </c>
      <c r="AE11" s="89" t="s">
        <v>105</v>
      </c>
      <c r="AF11" s="88">
        <v>351.9</v>
      </c>
      <c r="AG11" s="10" t="s">
        <v>117</v>
      </c>
      <c r="AH11" s="88">
        <v>609.29999999999995</v>
      </c>
      <c r="AI11" s="10" t="s">
        <v>118</v>
      </c>
      <c r="AJ11" s="10">
        <v>661.7</v>
      </c>
      <c r="AM11" s="10" t="s">
        <v>173</v>
      </c>
      <c r="AN11" s="89" t="s">
        <v>174</v>
      </c>
      <c r="AO11" s="70" t="s">
        <v>174</v>
      </c>
      <c r="AP11" s="86" t="s">
        <v>104</v>
      </c>
      <c r="AQ11" s="70" t="s">
        <v>104</v>
      </c>
      <c r="AR11" s="70"/>
      <c r="AS11" s="70" t="s">
        <v>132</v>
      </c>
      <c r="AT11" s="70" t="s">
        <v>132</v>
      </c>
      <c r="AU11" s="70"/>
      <c r="AV11" s="70" t="s">
        <v>118</v>
      </c>
      <c r="AW11" s="70" t="s">
        <v>118</v>
      </c>
      <c r="AX11" s="86" t="s">
        <v>104</v>
      </c>
      <c r="AY11" s="86" t="s">
        <v>104</v>
      </c>
      <c r="AZ11" s="70"/>
      <c r="BA11" s="70" t="s">
        <v>104</v>
      </c>
      <c r="BB11" s="70" t="s">
        <v>104</v>
      </c>
      <c r="BC11" s="10" t="s">
        <v>173</v>
      </c>
      <c r="BD11" s="70"/>
      <c r="BE11" s="70"/>
      <c r="BF11" s="70" t="s">
        <v>105</v>
      </c>
      <c r="BG11" s="70" t="s">
        <v>195</v>
      </c>
      <c r="BH11" s="70" t="s">
        <v>105</v>
      </c>
      <c r="BI11" s="70" t="s">
        <v>196</v>
      </c>
      <c r="BJ11" s="70" t="s">
        <v>117</v>
      </c>
      <c r="BK11" s="70" t="s">
        <v>197</v>
      </c>
      <c r="BL11" s="75"/>
      <c r="BM11" s="90" t="s">
        <v>174</v>
      </c>
      <c r="BN11" s="87" t="s">
        <v>104</v>
      </c>
      <c r="BO11" s="87">
        <v>46.5</v>
      </c>
      <c r="BP11" s="87" t="s">
        <v>105</v>
      </c>
      <c r="BQ11" s="191">
        <v>295.10000000000002</v>
      </c>
      <c r="BR11" s="192" t="s">
        <v>105</v>
      </c>
      <c r="BS11" s="191">
        <v>351.7</v>
      </c>
      <c r="BT11" s="87" t="s">
        <v>117</v>
      </c>
      <c r="BU11" s="191">
        <v>609.29999999999995</v>
      </c>
      <c r="BV11" s="87" t="s">
        <v>118</v>
      </c>
      <c r="BW11" s="87">
        <v>661.7</v>
      </c>
      <c r="BX11" s="75"/>
      <c r="BY11" s="75"/>
      <c r="BZ11" s="75"/>
      <c r="CA11" s="75"/>
      <c r="CB11" s="75"/>
    </row>
    <row r="12" spans="1:80" ht="14" x14ac:dyDescent="0.2">
      <c r="A12" s="18" t="s">
        <v>176</v>
      </c>
      <c r="B12" s="10" t="s">
        <v>172</v>
      </c>
      <c r="C12" s="10" t="s">
        <v>177</v>
      </c>
      <c r="D12" s="10" t="s">
        <v>178</v>
      </c>
      <c r="E12" s="180" t="s">
        <v>179</v>
      </c>
      <c r="F12" s="180" t="s">
        <v>127</v>
      </c>
      <c r="G12" s="87" t="s">
        <v>180</v>
      </c>
      <c r="H12" s="10" t="s">
        <v>120</v>
      </c>
      <c r="I12" s="10" t="s">
        <v>198</v>
      </c>
      <c r="J12" s="10" t="s">
        <v>120</v>
      </c>
      <c r="K12" s="10" t="s">
        <v>196</v>
      </c>
      <c r="L12" s="10" t="s">
        <v>120</v>
      </c>
      <c r="M12" s="10" t="s">
        <v>197</v>
      </c>
      <c r="N12" s="10" t="s">
        <v>120</v>
      </c>
      <c r="O12" s="10" t="s">
        <v>181</v>
      </c>
      <c r="P12" s="10" t="s">
        <v>120</v>
      </c>
      <c r="Q12" s="87" t="s">
        <v>180</v>
      </c>
      <c r="R12" s="87" t="s">
        <v>110</v>
      </c>
      <c r="S12" s="87" t="s">
        <v>198</v>
      </c>
      <c r="T12" s="87" t="s">
        <v>110</v>
      </c>
      <c r="U12" s="87" t="s">
        <v>196</v>
      </c>
      <c r="V12" s="87" t="s">
        <v>110</v>
      </c>
      <c r="W12" s="87" t="s">
        <v>197</v>
      </c>
      <c r="X12" s="87" t="s">
        <v>110</v>
      </c>
      <c r="Y12" s="87" t="s">
        <v>181</v>
      </c>
      <c r="Z12" s="87" t="s">
        <v>110</v>
      </c>
      <c r="AA12" s="87" t="s">
        <v>180</v>
      </c>
      <c r="AB12" s="10" t="s">
        <v>182</v>
      </c>
      <c r="AC12" s="10" t="s">
        <v>198</v>
      </c>
      <c r="AD12" s="10" t="s">
        <v>182</v>
      </c>
      <c r="AE12" s="10" t="s">
        <v>196</v>
      </c>
      <c r="AF12" s="10" t="s">
        <v>182</v>
      </c>
      <c r="AG12" s="10" t="s">
        <v>197</v>
      </c>
      <c r="AH12" s="10" t="s">
        <v>182</v>
      </c>
      <c r="AI12" s="10" t="s">
        <v>181</v>
      </c>
      <c r="AJ12" s="10" t="s">
        <v>182</v>
      </c>
      <c r="AK12" s="10" t="s">
        <v>177</v>
      </c>
      <c r="AL12" s="10" t="s">
        <v>183</v>
      </c>
      <c r="AM12" s="10" t="s">
        <v>172</v>
      </c>
      <c r="AN12" s="89" t="s">
        <v>178</v>
      </c>
      <c r="AO12" s="70" t="s">
        <v>179</v>
      </c>
      <c r="AP12" s="70" t="s">
        <v>184</v>
      </c>
      <c r="AQ12" s="70" t="s">
        <v>163</v>
      </c>
      <c r="AR12" s="70"/>
      <c r="AS12" s="70" t="s">
        <v>184</v>
      </c>
      <c r="AT12" s="70" t="s">
        <v>163</v>
      </c>
      <c r="AU12" s="70"/>
      <c r="AV12" s="70" t="s">
        <v>184</v>
      </c>
      <c r="AW12" s="70" t="s">
        <v>163</v>
      </c>
      <c r="AX12" s="70" t="s">
        <v>184</v>
      </c>
      <c r="AY12" s="70" t="s">
        <v>184</v>
      </c>
      <c r="AZ12" s="70"/>
      <c r="BA12" s="70" t="s">
        <v>184</v>
      </c>
      <c r="BB12" s="70" t="s">
        <v>163</v>
      </c>
      <c r="BC12" s="10" t="s">
        <v>172</v>
      </c>
      <c r="BD12" s="70"/>
      <c r="BE12" s="70"/>
      <c r="BF12" s="70" t="s">
        <v>184</v>
      </c>
      <c r="BG12" s="70" t="s">
        <v>163</v>
      </c>
      <c r="BH12" s="70" t="s">
        <v>184</v>
      </c>
      <c r="BI12" s="70" t="s">
        <v>163</v>
      </c>
      <c r="BJ12" s="70" t="s">
        <v>184</v>
      </c>
      <c r="BK12" s="70" t="s">
        <v>163</v>
      </c>
      <c r="BL12" s="75"/>
      <c r="BM12" s="87" t="s">
        <v>185</v>
      </c>
      <c r="BN12" s="87" t="s">
        <v>180</v>
      </c>
      <c r="BO12" s="87" t="s">
        <v>110</v>
      </c>
      <c r="BP12" s="87" t="s">
        <v>198</v>
      </c>
      <c r="BQ12" s="87" t="s">
        <v>110</v>
      </c>
      <c r="BR12" s="87" t="s">
        <v>196</v>
      </c>
      <c r="BS12" s="87" t="s">
        <v>110</v>
      </c>
      <c r="BT12" s="87" t="s">
        <v>197</v>
      </c>
      <c r="BU12" s="87" t="s">
        <v>110</v>
      </c>
      <c r="BV12" s="87" t="s">
        <v>181</v>
      </c>
      <c r="BW12" s="87" t="s">
        <v>110</v>
      </c>
      <c r="BX12" s="75"/>
      <c r="BY12" s="75"/>
      <c r="BZ12" s="75"/>
      <c r="CA12" s="75"/>
      <c r="CB12" s="75"/>
    </row>
    <row r="13" spans="1:80" ht="14" x14ac:dyDescent="0.2">
      <c r="A13" s="18" t="s">
        <v>244</v>
      </c>
      <c r="B13" s="10" t="s">
        <v>186</v>
      </c>
      <c r="C13" s="10" t="s">
        <v>187</v>
      </c>
      <c r="D13" s="10" t="s">
        <v>188</v>
      </c>
      <c r="E13" s="10" t="s">
        <v>189</v>
      </c>
      <c r="F13" s="180" t="s">
        <v>190</v>
      </c>
      <c r="G13" s="87" t="s">
        <v>120</v>
      </c>
      <c r="H13" s="10" t="s">
        <v>163</v>
      </c>
      <c r="I13" s="92" t="s">
        <v>120</v>
      </c>
      <c r="J13" s="92" t="s">
        <v>163</v>
      </c>
      <c r="K13" s="92" t="s">
        <v>120</v>
      </c>
      <c r="L13" s="92" t="s">
        <v>163</v>
      </c>
      <c r="M13" s="92" t="s">
        <v>120</v>
      </c>
      <c r="N13" s="92" t="s">
        <v>163</v>
      </c>
      <c r="O13" s="92" t="s">
        <v>120</v>
      </c>
      <c r="P13" s="10" t="s">
        <v>163</v>
      </c>
      <c r="Q13" s="87" t="s">
        <v>110</v>
      </c>
      <c r="R13" s="87" t="s">
        <v>163</v>
      </c>
      <c r="S13" s="91" t="s">
        <v>110</v>
      </c>
      <c r="T13" s="91" t="s">
        <v>163</v>
      </c>
      <c r="U13" s="91" t="s">
        <v>110</v>
      </c>
      <c r="V13" s="91" t="s">
        <v>163</v>
      </c>
      <c r="W13" s="91" t="s">
        <v>110</v>
      </c>
      <c r="X13" s="91" t="s">
        <v>163</v>
      </c>
      <c r="Y13" s="91" t="s">
        <v>110</v>
      </c>
      <c r="Z13" s="87" t="s">
        <v>163</v>
      </c>
      <c r="AA13" s="87" t="s">
        <v>199</v>
      </c>
      <c r="AB13" s="10" t="s">
        <v>163</v>
      </c>
      <c r="AC13" s="87" t="s">
        <v>199</v>
      </c>
      <c r="AD13" s="92" t="s">
        <v>163</v>
      </c>
      <c r="AE13" s="87" t="s">
        <v>199</v>
      </c>
      <c r="AF13" s="92" t="s">
        <v>163</v>
      </c>
      <c r="AG13" s="87" t="s">
        <v>199</v>
      </c>
      <c r="AH13" s="92" t="s">
        <v>163</v>
      </c>
      <c r="AI13" s="87" t="s">
        <v>199</v>
      </c>
      <c r="AJ13" s="10" t="s">
        <v>163</v>
      </c>
      <c r="AK13" s="10" t="s">
        <v>187</v>
      </c>
      <c r="AL13" s="10" t="s">
        <v>186</v>
      </c>
      <c r="AM13" s="10" t="s">
        <v>186</v>
      </c>
      <c r="AN13" s="89" t="s">
        <v>200</v>
      </c>
      <c r="AO13" s="70" t="s">
        <v>201</v>
      </c>
      <c r="AP13" s="70" t="s">
        <v>202</v>
      </c>
      <c r="AQ13" s="70"/>
      <c r="AR13" s="70"/>
      <c r="AS13" s="70" t="s">
        <v>202</v>
      </c>
      <c r="AT13" s="70"/>
      <c r="AU13" s="70"/>
      <c r="AV13" s="70" t="s">
        <v>202</v>
      </c>
      <c r="AW13" s="70"/>
      <c r="AX13" s="70" t="s">
        <v>202</v>
      </c>
      <c r="AY13" s="70" t="s">
        <v>202</v>
      </c>
      <c r="AZ13" s="70"/>
      <c r="BA13" s="70" t="s">
        <v>202</v>
      </c>
      <c r="BB13" s="70" t="s">
        <v>202</v>
      </c>
      <c r="BC13" s="10" t="s">
        <v>186</v>
      </c>
      <c r="BD13" s="70"/>
      <c r="BF13" s="70" t="s">
        <v>202</v>
      </c>
      <c r="BH13" s="70" t="s">
        <v>202</v>
      </c>
      <c r="BI13" s="70"/>
      <c r="BJ13" s="70" t="s">
        <v>202</v>
      </c>
      <c r="BK13" s="70"/>
      <c r="BL13" s="70"/>
      <c r="BM13" s="87" t="s">
        <v>177</v>
      </c>
      <c r="BN13" s="87" t="s">
        <v>110</v>
      </c>
      <c r="BO13" s="87" t="s">
        <v>163</v>
      </c>
      <c r="BP13" s="91" t="s">
        <v>110</v>
      </c>
      <c r="BQ13" s="91" t="s">
        <v>163</v>
      </c>
      <c r="BR13" s="91" t="s">
        <v>110</v>
      </c>
      <c r="BS13" s="91" t="s">
        <v>163</v>
      </c>
      <c r="BT13" s="91" t="s">
        <v>110</v>
      </c>
      <c r="BU13" s="91" t="s">
        <v>163</v>
      </c>
      <c r="BV13" s="91" t="s">
        <v>110</v>
      </c>
      <c r="BW13" s="87" t="s">
        <v>163</v>
      </c>
      <c r="BX13" s="75"/>
      <c r="BY13" s="75"/>
      <c r="BZ13" s="75"/>
      <c r="CA13" s="75"/>
      <c r="CB13" s="75"/>
    </row>
    <row r="14" spans="1:80" ht="14" x14ac:dyDescent="0.2">
      <c r="B14" s="75" t="s">
        <v>203</v>
      </c>
      <c r="C14" s="85" t="s">
        <v>203</v>
      </c>
      <c r="E14" s="171"/>
      <c r="F14" s="171"/>
      <c r="G14" s="189"/>
      <c r="H14" s="75"/>
      <c r="I14" s="75" t="s">
        <v>203</v>
      </c>
      <c r="J14" s="75" t="s">
        <v>203</v>
      </c>
      <c r="K14" s="75" t="s">
        <v>203</v>
      </c>
      <c r="L14" s="75" t="s">
        <v>203</v>
      </c>
      <c r="M14" s="75" t="s">
        <v>203</v>
      </c>
      <c r="N14" s="75" t="s">
        <v>203</v>
      </c>
      <c r="O14" s="75" t="s">
        <v>203</v>
      </c>
      <c r="Q14" s="69"/>
      <c r="R14" s="69"/>
      <c r="S14" s="69"/>
      <c r="T14" s="69"/>
      <c r="U14" s="80"/>
      <c r="V14" s="80"/>
      <c r="W14" s="80"/>
      <c r="X14" s="69"/>
      <c r="Y14" s="69"/>
      <c r="Z14" s="69"/>
      <c r="AA14" s="212"/>
      <c r="AB14" s="212"/>
      <c r="AC14" s="212"/>
      <c r="AD14" s="212"/>
      <c r="AE14" s="81"/>
      <c r="AF14" s="75"/>
      <c r="AG14" s="75"/>
      <c r="AH14" s="75"/>
      <c r="AI14" s="84"/>
      <c r="AJ14" s="75"/>
      <c r="AK14" s="75"/>
      <c r="AL14" s="75"/>
      <c r="AM14" s="75" t="s">
        <v>203</v>
      </c>
      <c r="AN14" s="83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75" t="s">
        <v>203</v>
      </c>
      <c r="BD14" s="212"/>
      <c r="BE14" s="212"/>
      <c r="BF14" s="168"/>
      <c r="BG14" s="168"/>
      <c r="BH14" s="75"/>
      <c r="BI14" s="75"/>
      <c r="BJ14" s="75"/>
      <c r="BK14" s="75"/>
      <c r="BL14" s="75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75"/>
      <c r="BY14" s="75"/>
      <c r="BZ14" s="75"/>
      <c r="CA14" s="75"/>
      <c r="CB14" s="75"/>
    </row>
    <row r="15" spans="1:80" ht="14" x14ac:dyDescent="0.2">
      <c r="A15">
        <v>1</v>
      </c>
      <c r="B15" s="221">
        <v>2.25</v>
      </c>
      <c r="C15" s="85">
        <v>42772</v>
      </c>
      <c r="D15" s="74">
        <v>1.8866999999999998</v>
      </c>
      <c r="E15" s="171">
        <v>35</v>
      </c>
      <c r="F15" s="171">
        <v>85559</v>
      </c>
      <c r="G15" s="222">
        <v>1353</v>
      </c>
      <c r="H15" s="171">
        <v>95</v>
      </c>
      <c r="I15" s="171">
        <v>665</v>
      </c>
      <c r="J15" s="171">
        <v>104</v>
      </c>
      <c r="K15" s="171">
        <v>898</v>
      </c>
      <c r="L15" s="171">
        <v>95</v>
      </c>
      <c r="M15" s="171">
        <v>353</v>
      </c>
      <c r="N15" s="171">
        <v>71</v>
      </c>
      <c r="O15" s="171">
        <v>597</v>
      </c>
      <c r="P15" s="171">
        <v>72</v>
      </c>
      <c r="Q15" s="94">
        <f t="shared" ref="Q15:Z15" si="0">G15/$F15*60</f>
        <v>0.94881894365291797</v>
      </c>
      <c r="R15" s="94">
        <f t="shared" si="0"/>
        <v>6.6620694491520471E-2</v>
      </c>
      <c r="S15" s="94">
        <f t="shared" si="0"/>
        <v>0.4663448614406433</v>
      </c>
      <c r="T15" s="94">
        <f t="shared" si="0"/>
        <v>7.293212870650663E-2</v>
      </c>
      <c r="U15" s="94">
        <f t="shared" si="0"/>
        <v>0.62974088056195143</v>
      </c>
      <c r="V15" s="94">
        <f t="shared" si="0"/>
        <v>6.6620694491520471E-2</v>
      </c>
      <c r="W15" s="94">
        <f t="shared" ref="W15:W22" si="1">M15/$F15*60</f>
        <v>0.24754847532112345</v>
      </c>
      <c r="X15" s="94">
        <f t="shared" ref="X15:X22" si="2">N15/$F15*60</f>
        <v>4.9790203251557405E-2</v>
      </c>
      <c r="Y15" s="94">
        <f t="shared" si="0"/>
        <v>0.41865846959408132</v>
      </c>
      <c r="Z15" s="94">
        <f t="shared" si="0"/>
        <v>5.0491473719889199E-2</v>
      </c>
      <c r="AA15" s="71">
        <f>(Q15 - BN15)</f>
        <v>0.88181894365291802</v>
      </c>
      <c r="AB15" s="80">
        <f xml:space="preserve"> (SQRT((R15^2) + (BO15^2)))</f>
        <v>7.0127932626967593E-2</v>
      </c>
      <c r="AC15" s="71">
        <f>(S15 - BP15)</f>
        <v>0.4083448614406433</v>
      </c>
      <c r="AD15" s="80">
        <f xml:space="preserve"> (SQRT((T15^2) + (BQ15^2)))</f>
        <v>7.5520474736921001E-2</v>
      </c>
      <c r="AE15" s="71">
        <f>(U15 - BR15)</f>
        <v>0.51774088056195144</v>
      </c>
      <c r="AF15" s="80">
        <f xml:space="preserve"> (SQRT((V15^2) + (BS15^2)))</f>
        <v>6.9471542205249856E-2</v>
      </c>
      <c r="AG15" s="71">
        <f t="shared" ref="AG15:AG26" si="3">(W15 - BT15)</f>
        <v>0.20454847532112347</v>
      </c>
      <c r="AH15" s="80">
        <f xml:space="preserve"> (SQRT((X15^2) + (BU15^2)))</f>
        <v>5.23598536238244E-2</v>
      </c>
      <c r="AI15" s="71">
        <f t="shared" ref="AI15:AI26" si="4">(Y15 - BV15)</f>
        <v>0.41065846959408131</v>
      </c>
      <c r="AJ15" s="80">
        <f xml:space="preserve"> (SQRT((Z15^2) + (BW15^2)))</f>
        <v>5.2004413492058137E-2</v>
      </c>
      <c r="AK15" s="95">
        <f>C15</f>
        <v>42772</v>
      </c>
      <c r="AL15" s="94">
        <f>A15</f>
        <v>1</v>
      </c>
      <c r="AM15" s="94">
        <f>B15</f>
        <v>2.25</v>
      </c>
      <c r="AN15" s="94">
        <f>D15</f>
        <v>1.8866999999999998</v>
      </c>
      <c r="AO15" s="96">
        <f>E15</f>
        <v>35</v>
      </c>
      <c r="AP15" s="71">
        <f>(AA15/($AG$4*$AI$4*AN15)/(EXP(-(0.000085082*(AK15-$AL$6)))))</f>
        <v>17.73168514115746</v>
      </c>
      <c r="AQ15" s="80">
        <f>AB15/($AG$4*$AI$4*$AN15)</f>
        <v>1.3855201289716192</v>
      </c>
      <c r="AR15" s="80"/>
      <c r="AS15" s="193">
        <f t="shared" ref="AS15:AS26" si="5">AVERAGE(BF15,BH15)</f>
        <v>3.0513808565770772</v>
      </c>
      <c r="AT15" s="80">
        <f>BK15</f>
        <v>0.68768168977743815</v>
      </c>
      <c r="AU15" s="80"/>
      <c r="AV15" s="71">
        <f t="shared" ref="AV15:AV26" si="6">(AI15/($AG$8*$AI$8*$AN15))</f>
        <v>1.9292983126450285</v>
      </c>
      <c r="AW15" s="80">
        <f>AJ15/($AG$8*$AI$8*$AN15)</f>
        <v>0.24431987802296182</v>
      </c>
      <c r="AX15" s="80">
        <f>LN(BA15)</f>
        <v>2.6865067508040021</v>
      </c>
      <c r="AY15" s="80">
        <f>LN(BA15)</f>
        <v>2.6865067508040021</v>
      </c>
      <c r="BA15" s="194">
        <f>AP15 - AS15</f>
        <v>14.680304284580382</v>
      </c>
      <c r="BB15" s="80">
        <f>SQRT((AQ15^2) + (AT15^2))</f>
        <v>1.5467941473385154</v>
      </c>
      <c r="BC15" s="195" t="s">
        <v>215</v>
      </c>
      <c r="BD15" s="183"/>
      <c r="BE15" s="80"/>
      <c r="BF15" s="71">
        <f t="shared" ref="BF15:BF26" si="7">(AC15/($AG$5*$AI$5*$AN15))</f>
        <v>3.6077930612911695</v>
      </c>
      <c r="BG15" s="80">
        <f>AD15/($AG$5*$AI$5*$AN15)</f>
        <v>0.66723563945443098</v>
      </c>
      <c r="BH15" s="71">
        <f>(AE15/($AG$6*$AI$6*$AN15))</f>
        <v>2.494968651862985</v>
      </c>
      <c r="BI15" s="71">
        <f>(AF15/($AG$6*$AI$6*$AN15))</f>
        <v>0.33478005408911221</v>
      </c>
      <c r="BJ15" s="193">
        <f>(AG15/($AG$7*$AI$7*$AN15))</f>
        <v>2.6864903435525411</v>
      </c>
      <c r="BK15" s="71">
        <f>(AH15/($AG$7*$AI$7*$AN15))</f>
        <v>0.68768168977743815</v>
      </c>
      <c r="BL15" s="97"/>
      <c r="BM15" s="98">
        <f>C15</f>
        <v>42772</v>
      </c>
      <c r="BN15" s="28">
        <v>6.7000000000000004E-2</v>
      </c>
      <c r="BO15" s="28">
        <v>2.1899999999999999E-2</v>
      </c>
      <c r="BP15" s="28">
        <v>5.8000000000000003E-2</v>
      </c>
      <c r="BQ15" s="28">
        <v>1.9602211784068544E-2</v>
      </c>
      <c r="BR15" s="71">
        <v>0.112</v>
      </c>
      <c r="BS15" s="28">
        <v>1.9697163294325064E-2</v>
      </c>
      <c r="BT15" s="28">
        <v>4.2999999999999997E-2</v>
      </c>
      <c r="BU15" s="28">
        <v>1.6201541027844237E-2</v>
      </c>
      <c r="BV15" s="28">
        <v>8.0000000000000002E-3</v>
      </c>
      <c r="BW15" s="28">
        <v>1.2452714734012686E-2</v>
      </c>
    </row>
    <row r="16" spans="1:80" ht="14" x14ac:dyDescent="0.2">
      <c r="A16">
        <v>4</v>
      </c>
      <c r="B16" s="221">
        <v>5.25</v>
      </c>
      <c r="C16" s="85">
        <v>42773</v>
      </c>
      <c r="D16" s="74">
        <v>1.9004000000000003</v>
      </c>
      <c r="E16" s="171">
        <v>35</v>
      </c>
      <c r="F16" s="223">
        <v>164047</v>
      </c>
      <c r="G16" s="222">
        <v>1695</v>
      </c>
      <c r="H16" s="171">
        <v>125</v>
      </c>
      <c r="I16" s="171">
        <v>1169</v>
      </c>
      <c r="J16" s="171">
        <v>149</v>
      </c>
      <c r="K16" s="171">
        <v>1607</v>
      </c>
      <c r="L16" s="171">
        <v>139</v>
      </c>
      <c r="M16" s="171">
        <v>924</v>
      </c>
      <c r="N16" s="171">
        <v>98</v>
      </c>
      <c r="O16" s="171">
        <v>1035</v>
      </c>
      <c r="P16" s="171">
        <v>109</v>
      </c>
      <c r="Q16" s="94">
        <f t="shared" ref="Q16:Q22" si="8">G16/$F16*60</f>
        <v>0.6199442842599987</v>
      </c>
      <c r="R16" s="94">
        <f t="shared" ref="R16:R22" si="9">H16/$F16*60</f>
        <v>4.5718605033923207E-2</v>
      </c>
      <c r="S16" s="94">
        <f t="shared" ref="S16:S21" si="10">I16/$F16*60</f>
        <v>0.42756039427724984</v>
      </c>
      <c r="T16" s="94">
        <f t="shared" ref="T16:T22" si="11">J16/$F16*60</f>
        <v>5.4496577200436463E-2</v>
      </c>
      <c r="U16" s="94">
        <f t="shared" ref="U16:U22" si="12">K16/$F16*60</f>
        <v>0.58775838631611677</v>
      </c>
      <c r="V16" s="94">
        <f t="shared" ref="V16:V22" si="13">L16/$F16*60</f>
        <v>5.0839088797722601E-2</v>
      </c>
      <c r="W16" s="94">
        <f t="shared" si="1"/>
        <v>0.33795192841076033</v>
      </c>
      <c r="X16" s="94">
        <f t="shared" si="2"/>
        <v>3.5843386346595799E-2</v>
      </c>
      <c r="Y16" s="94">
        <f t="shared" ref="Y16:Y26" si="14">O16/$F16*60</f>
        <v>0.37855004968088418</v>
      </c>
      <c r="Z16" s="94">
        <f t="shared" ref="Z16:Z22" si="15">P16/$F16*60</f>
        <v>3.9866623589581034E-2</v>
      </c>
      <c r="AA16" s="71">
        <f t="shared" ref="AA16:AA22" si="16">(Q16 - BN16)</f>
        <v>0.55294428425999875</v>
      </c>
      <c r="AB16" s="80">
        <f t="shared" ref="AB16:AB22" si="17" xml:space="preserve"> (SQRT((R16^2) + (BO16^2)))</f>
        <v>5.0693203156319373E-2</v>
      </c>
      <c r="AC16" s="71">
        <f t="shared" ref="AC16:AC21" si="18">(S16 - BP16)</f>
        <v>0.36956039427724985</v>
      </c>
      <c r="AD16" s="80">
        <f t="shared" ref="AD16:AD22" si="19" xml:space="preserve"> (SQRT((T16^2) + (BQ16^2)))</f>
        <v>5.7914796325210426E-2</v>
      </c>
      <c r="AE16" s="71">
        <f>(U16 - BR16)</f>
        <v>0.47575838631611678</v>
      </c>
      <c r="AF16" s="80">
        <f t="shared" ref="AF16:AF22" si="20" xml:space="preserve"> (SQRT((V16^2) + (BS16^2)))</f>
        <v>5.4521474591449105E-2</v>
      </c>
      <c r="AG16" s="71">
        <f t="shared" si="3"/>
        <v>0.29495192841076034</v>
      </c>
      <c r="AH16" s="80">
        <f t="shared" ref="AH16:AH22" si="21" xml:space="preserve"> (SQRT((X16^2) + (BU16^2)))</f>
        <v>3.9334949808894508E-2</v>
      </c>
      <c r="AI16" s="71">
        <f t="shared" si="4"/>
        <v>0.37055004968088417</v>
      </c>
      <c r="AJ16" s="80">
        <f t="shared" ref="AJ16:AJ22" si="22" xml:space="preserve"> (SQRT((Z16^2) + (BW16^2)))</f>
        <v>4.1766227752575831E-2</v>
      </c>
      <c r="AK16" s="95">
        <f t="shared" ref="AK16:AK22" si="23">C16</f>
        <v>42773</v>
      </c>
      <c r="AL16" s="94">
        <f t="shared" ref="AL16:AL22" si="24">A16</f>
        <v>4</v>
      </c>
      <c r="AM16" s="94">
        <f t="shared" ref="AM16:AM26" si="25">B16</f>
        <v>5.25</v>
      </c>
      <c r="AN16" s="94">
        <f t="shared" ref="AN16:AN22" si="26">D16</f>
        <v>1.9004000000000003</v>
      </c>
      <c r="AO16" s="96">
        <f t="shared" ref="AO16:AO22" si="27">E16</f>
        <v>35</v>
      </c>
      <c r="AP16" s="71">
        <f t="shared" ref="AP16:AP22" si="28">(AA16/($AG$4*$AI$4*AN16)/(EXP(-(0.000085082*(AK16-$AL$6)))))</f>
        <v>11.039432241479094</v>
      </c>
      <c r="AQ16" s="80">
        <f t="shared" ref="AQ16:AQ22" si="29">AB16/($AG$4*$AI$4*$AN16)</f>
        <v>0.99432730389385937</v>
      </c>
      <c r="AR16" s="80"/>
      <c r="AS16" s="193">
        <f t="shared" si="5"/>
        <v>2.7588584552807212</v>
      </c>
      <c r="AT16" s="80">
        <f t="shared" ref="AT16:AT22" si="30">BK16</f>
        <v>0.51289145695207117</v>
      </c>
      <c r="AU16" s="80"/>
      <c r="AV16" s="71">
        <f t="shared" si="6"/>
        <v>1.7283166096669018</v>
      </c>
      <c r="AW16" s="80">
        <f t="shared" ref="AW16:AW22" si="31">AJ16/($AG$8*$AI$8*$AN16)</f>
        <v>0.1948057089995619</v>
      </c>
      <c r="AX16" s="80">
        <f t="shared" ref="AX16:AX21" si="32">LN(BA16)</f>
        <v>2.1139122638462284</v>
      </c>
      <c r="AY16" s="80">
        <f t="shared" ref="AY16:AY22" si="33">LN(BA16)</f>
        <v>2.1139122638462284</v>
      </c>
      <c r="BA16" s="194">
        <f t="shared" ref="BA16:BA21" si="34">AP16 - AS16</f>
        <v>8.2805737861983726</v>
      </c>
      <c r="BB16" s="80">
        <f t="shared" ref="BB16:BB22" si="35">SQRT((AQ16^2) + (AT16^2))</f>
        <v>1.1188138513100603</v>
      </c>
      <c r="BC16" s="195" t="s">
        <v>216</v>
      </c>
      <c r="BD16" s="183"/>
      <c r="BE16" s="80"/>
      <c r="BF16" s="71">
        <f t="shared" si="7"/>
        <v>3.2415876837043887</v>
      </c>
      <c r="BG16" s="80">
        <f t="shared" ref="BG16:BG22" si="36">AD16/($AG$5*$AI$5*$AN16)</f>
        <v>0.50799786280996329</v>
      </c>
      <c r="BH16" s="71">
        <f>(AE16/($AG$6*$AI$6*$AN16))</f>
        <v>2.2761292268570537</v>
      </c>
      <c r="BI16" s="71">
        <f t="shared" ref="BI16:BI22" si="37">(AF16/($AG$6*$AI$6*$AN16))</f>
        <v>0.2608423211829311</v>
      </c>
      <c r="BJ16" s="193">
        <f t="shared" ref="BJ16:BJ26" si="38">(AG16/($AG$7*$AI$7*$AN16))</f>
        <v>3.8459010378401572</v>
      </c>
      <c r="BK16" s="71">
        <f t="shared" ref="BK16:BK22" si="39">(AH16/($AG$7*$AI$7*$AN16))</f>
        <v>0.51289145695207117</v>
      </c>
      <c r="BL16" s="97"/>
      <c r="BM16" s="98">
        <f t="shared" ref="BM16:BM22" si="40">C16</f>
        <v>42773</v>
      </c>
      <c r="BN16" s="28">
        <v>6.7000000000000004E-2</v>
      </c>
      <c r="BO16" s="28">
        <v>2.1899999999999999E-2</v>
      </c>
      <c r="BP16" s="28">
        <v>5.8000000000000003E-2</v>
      </c>
      <c r="BQ16" s="28">
        <v>1.9602211784068544E-2</v>
      </c>
      <c r="BR16" s="71">
        <v>0.112</v>
      </c>
      <c r="BS16" s="28">
        <v>1.9697163294325064E-2</v>
      </c>
      <c r="BT16" s="28">
        <v>4.2999999999999997E-2</v>
      </c>
      <c r="BU16" s="28">
        <v>1.6201541027844237E-2</v>
      </c>
      <c r="BV16" s="28">
        <v>8.0000000000000002E-3</v>
      </c>
      <c r="BW16" s="28">
        <v>1.2452714734012686E-2</v>
      </c>
    </row>
    <row r="17" spans="1:75" ht="14" x14ac:dyDescent="0.2">
      <c r="A17">
        <v>7</v>
      </c>
      <c r="B17" s="221">
        <v>8.25</v>
      </c>
      <c r="C17" s="85">
        <v>42774</v>
      </c>
      <c r="D17" s="74">
        <v>1.8731999999999998</v>
      </c>
      <c r="E17" s="171">
        <v>35</v>
      </c>
      <c r="F17" s="223">
        <v>96201</v>
      </c>
      <c r="G17" s="222">
        <v>701</v>
      </c>
      <c r="H17" s="171">
        <v>96</v>
      </c>
      <c r="I17" s="171">
        <v>742</v>
      </c>
      <c r="J17" s="171">
        <v>116</v>
      </c>
      <c r="K17" s="171">
        <v>1349</v>
      </c>
      <c r="L17" s="171">
        <v>103</v>
      </c>
      <c r="M17" s="171">
        <v>786</v>
      </c>
      <c r="N17" s="171">
        <v>74</v>
      </c>
      <c r="O17" s="171">
        <v>1009</v>
      </c>
      <c r="P17" s="171">
        <v>86</v>
      </c>
      <c r="Q17" s="94">
        <f t="shared" si="8"/>
        <v>0.43720959241587926</v>
      </c>
      <c r="R17" s="94">
        <f t="shared" si="9"/>
        <v>5.9874637477780893E-2</v>
      </c>
      <c r="S17" s="94">
        <f t="shared" si="10"/>
        <v>0.46278105217201482</v>
      </c>
      <c r="T17" s="94">
        <f t="shared" si="11"/>
        <v>7.2348520285651918E-2</v>
      </c>
      <c r="U17" s="94">
        <f t="shared" si="12"/>
        <v>0.84136339539090033</v>
      </c>
      <c r="V17" s="94">
        <f t="shared" si="13"/>
        <v>6.4240496460535756E-2</v>
      </c>
      <c r="W17" s="94">
        <f t="shared" si="1"/>
        <v>0.4902235943493311</v>
      </c>
      <c r="X17" s="94">
        <f t="shared" si="2"/>
        <v>4.6153366389122777E-2</v>
      </c>
      <c r="Y17" s="94">
        <f t="shared" si="14"/>
        <v>0.62930738765709293</v>
      </c>
      <c r="Z17" s="94">
        <f t="shared" si="15"/>
        <v>5.3637696073845387E-2</v>
      </c>
      <c r="AA17" s="71">
        <f t="shared" si="16"/>
        <v>0.37020959241587925</v>
      </c>
      <c r="AB17" s="80">
        <f t="shared" si="17"/>
        <v>6.3754076050835246E-2</v>
      </c>
      <c r="AC17" s="71">
        <f t="shared" si="18"/>
        <v>0.40478105217201482</v>
      </c>
      <c r="AD17" s="80">
        <f t="shared" si="19"/>
        <v>7.4957021648080865E-2</v>
      </c>
      <c r="AE17" s="71">
        <f t="shared" ref="AE17:AE22" si="41">(U17 - BR17)</f>
        <v>0.72936339539090034</v>
      </c>
      <c r="AF17" s="80">
        <f t="shared" si="20"/>
        <v>6.7192407512600805E-2</v>
      </c>
      <c r="AG17" s="71">
        <f t="shared" si="3"/>
        <v>0.44722359434933112</v>
      </c>
      <c r="AH17" s="80">
        <f t="shared" si="21"/>
        <v>4.8914447361955625E-2</v>
      </c>
      <c r="AI17" s="71">
        <f t="shared" si="4"/>
        <v>0.62130738765709292</v>
      </c>
      <c r="AJ17" s="80">
        <f t="shared" si="22"/>
        <v>5.5064258320228966E-2</v>
      </c>
      <c r="AK17" s="95">
        <f t="shared" si="23"/>
        <v>42774</v>
      </c>
      <c r="AL17" s="94">
        <f t="shared" si="24"/>
        <v>7</v>
      </c>
      <c r="AM17" s="94">
        <f t="shared" si="25"/>
        <v>8.25</v>
      </c>
      <c r="AN17" s="94">
        <f t="shared" si="26"/>
        <v>1.8731999999999998</v>
      </c>
      <c r="AO17" s="96">
        <f t="shared" si="27"/>
        <v>35</v>
      </c>
      <c r="AP17" s="71">
        <f t="shared" si="28"/>
        <v>7.4991295418289576</v>
      </c>
      <c r="AQ17" s="80">
        <f t="shared" si="29"/>
        <v>1.2686693858185776</v>
      </c>
      <c r="AR17" s="80"/>
      <c r="AS17" s="193">
        <f t="shared" si="5"/>
        <v>3.5710892472537923</v>
      </c>
      <c r="AT17" s="80">
        <f t="shared" si="30"/>
        <v>0.64706049961074119</v>
      </c>
      <c r="AU17" s="80"/>
      <c r="AV17" s="71">
        <f t="shared" si="6"/>
        <v>2.9399762231707087</v>
      </c>
      <c r="AW17" s="80">
        <f t="shared" si="31"/>
        <v>0.26055960934002409</v>
      </c>
      <c r="AX17" s="80">
        <f t="shared" si="32"/>
        <v>1.3681406487326702</v>
      </c>
      <c r="AY17" s="80">
        <f t="shared" si="33"/>
        <v>1.3681406487326702</v>
      </c>
      <c r="BA17" s="194">
        <f t="shared" si="34"/>
        <v>3.9280402945751653</v>
      </c>
      <c r="BB17" s="80">
        <f t="shared" si="35"/>
        <v>1.4241521339624461</v>
      </c>
      <c r="BC17" s="195" t="s">
        <v>217</v>
      </c>
      <c r="BD17" s="183"/>
      <c r="BE17" s="80"/>
      <c r="BF17" s="71">
        <f t="shared" si="7"/>
        <v>3.6020803765820437</v>
      </c>
      <c r="BG17" s="80">
        <f t="shared" si="36"/>
        <v>0.66703027554473682</v>
      </c>
      <c r="BH17" s="71">
        <f t="shared" ref="BH17:BH22" si="42">(AE17/($AG$6*$AI$6*$AN17))</f>
        <v>3.5400981179255404</v>
      </c>
      <c r="BI17" s="71">
        <f t="shared" si="37"/>
        <v>0.32613059124904326</v>
      </c>
      <c r="BJ17" s="193">
        <f t="shared" si="38"/>
        <v>5.9160583018763155</v>
      </c>
      <c r="BK17" s="71">
        <f t="shared" si="39"/>
        <v>0.64706049961074119</v>
      </c>
      <c r="BL17" s="97"/>
      <c r="BM17" s="98">
        <f t="shared" si="40"/>
        <v>42774</v>
      </c>
      <c r="BN17" s="28">
        <v>6.7000000000000004E-2</v>
      </c>
      <c r="BO17" s="28">
        <v>2.1899999999999999E-2</v>
      </c>
      <c r="BP17" s="28">
        <v>5.8000000000000003E-2</v>
      </c>
      <c r="BQ17" s="28">
        <v>1.9602211784068544E-2</v>
      </c>
      <c r="BR17" s="71">
        <v>0.112</v>
      </c>
      <c r="BS17" s="28">
        <v>1.9697163294325064E-2</v>
      </c>
      <c r="BT17" s="28">
        <v>4.2999999999999997E-2</v>
      </c>
      <c r="BU17" s="28">
        <v>1.6201541027844237E-2</v>
      </c>
      <c r="BV17" s="28">
        <v>8.0000000000000002E-3</v>
      </c>
      <c r="BW17" s="28">
        <v>1.2452714734012686E-2</v>
      </c>
    </row>
    <row r="18" spans="1:75" ht="14" x14ac:dyDescent="0.2">
      <c r="A18">
        <v>10</v>
      </c>
      <c r="B18" s="221">
        <v>11.25</v>
      </c>
      <c r="C18" s="85">
        <v>42775</v>
      </c>
      <c r="D18" s="74">
        <v>2.0016000000000003</v>
      </c>
      <c r="E18" s="171">
        <v>35</v>
      </c>
      <c r="F18" s="223">
        <v>243758</v>
      </c>
      <c r="G18" s="222">
        <v>1974</v>
      </c>
      <c r="H18" s="223">
        <v>151</v>
      </c>
      <c r="I18" s="219">
        <v>1462</v>
      </c>
      <c r="J18" s="219">
        <v>186</v>
      </c>
      <c r="K18" s="219">
        <v>2418</v>
      </c>
      <c r="L18" s="219">
        <v>163</v>
      </c>
      <c r="M18" s="219">
        <v>1166</v>
      </c>
      <c r="N18" s="219">
        <v>116</v>
      </c>
      <c r="O18" s="219">
        <v>3704</v>
      </c>
      <c r="P18" s="219">
        <v>135</v>
      </c>
      <c r="Q18" s="94">
        <f t="shared" si="8"/>
        <v>0.48589174509144312</v>
      </c>
      <c r="R18" s="94">
        <f t="shared" si="9"/>
        <v>3.7168010896052643E-2</v>
      </c>
      <c r="S18" s="94">
        <f t="shared" si="10"/>
        <v>0.35986511211939715</v>
      </c>
      <c r="T18" s="94">
        <f t="shared" si="11"/>
        <v>4.5783112759376104E-2</v>
      </c>
      <c r="U18" s="94">
        <f t="shared" si="12"/>
        <v>0.59518046587188933</v>
      </c>
      <c r="V18" s="94">
        <f t="shared" si="13"/>
        <v>4.0121760106334975E-2</v>
      </c>
      <c r="W18" s="94">
        <f t="shared" si="1"/>
        <v>0.28700596493243297</v>
      </c>
      <c r="X18" s="94">
        <f t="shared" si="2"/>
        <v>2.8552909032729182E-2</v>
      </c>
      <c r="Y18" s="94">
        <f t="shared" si="14"/>
        <v>0.91172392290714555</v>
      </c>
      <c r="Z18" s="94">
        <f t="shared" si="15"/>
        <v>3.3229678615676203E-2</v>
      </c>
      <c r="AA18" s="71">
        <f t="shared" si="16"/>
        <v>0.41889174509144311</v>
      </c>
      <c r="AB18" s="80">
        <f t="shared" si="17"/>
        <v>4.3140132521459505E-2</v>
      </c>
      <c r="AC18" s="71">
        <f t="shared" si="18"/>
        <v>0.30186511211939715</v>
      </c>
      <c r="AD18" s="80">
        <f t="shared" si="19"/>
        <v>4.9803013169538481E-2</v>
      </c>
      <c r="AE18" s="71">
        <f t="shared" si="41"/>
        <v>0.48318046587188934</v>
      </c>
      <c r="AF18" s="80">
        <f t="shared" si="20"/>
        <v>4.4696016331140731E-2</v>
      </c>
      <c r="AG18" s="71">
        <f t="shared" si="3"/>
        <v>0.24400596493243298</v>
      </c>
      <c r="AH18" s="80">
        <f t="shared" si="21"/>
        <v>3.2829233099605414E-2</v>
      </c>
      <c r="AI18" s="71">
        <f t="shared" si="4"/>
        <v>0.90372392290714554</v>
      </c>
      <c r="AJ18" s="80">
        <f t="shared" si="22"/>
        <v>3.5486358578301958E-2</v>
      </c>
      <c r="AK18" s="95">
        <f t="shared" si="23"/>
        <v>42775</v>
      </c>
      <c r="AL18" s="94">
        <f t="shared" si="24"/>
        <v>10</v>
      </c>
      <c r="AM18" s="94">
        <f t="shared" si="25"/>
        <v>11.25</v>
      </c>
      <c r="AN18" s="94">
        <f t="shared" si="26"/>
        <v>2.0016000000000003</v>
      </c>
      <c r="AO18" s="96">
        <f t="shared" si="27"/>
        <v>35</v>
      </c>
      <c r="AP18" s="71">
        <f t="shared" si="28"/>
        <v>7.9416144249605178</v>
      </c>
      <c r="AQ18" s="80">
        <f t="shared" si="29"/>
        <v>0.80339446537575776</v>
      </c>
      <c r="AR18" s="80"/>
      <c r="AS18" s="193">
        <f t="shared" si="5"/>
        <v>2.3543458124857661</v>
      </c>
      <c r="AT18" s="80">
        <f t="shared" si="30"/>
        <v>0.4064202436693401</v>
      </c>
      <c r="AU18" s="80"/>
      <c r="AV18" s="71">
        <f t="shared" si="6"/>
        <v>4.0020262791739416</v>
      </c>
      <c r="AW18" s="80">
        <f t="shared" si="31"/>
        <v>0.15714681882682199</v>
      </c>
      <c r="AX18" s="80">
        <f t="shared" si="32"/>
        <v>1.7204905474445733</v>
      </c>
      <c r="AY18" s="80">
        <f t="shared" si="33"/>
        <v>1.7204905474445733</v>
      </c>
      <c r="BA18" s="194">
        <f t="shared" si="34"/>
        <v>5.5872686124747517</v>
      </c>
      <c r="BB18" s="80">
        <f t="shared" si="35"/>
        <v>0.90034442379605228</v>
      </c>
      <c r="BC18" s="195" t="s">
        <v>218</v>
      </c>
      <c r="BD18" s="183"/>
      <c r="BE18" s="80"/>
      <c r="BF18" s="71">
        <f t="shared" si="7"/>
        <v>2.5139289763527799</v>
      </c>
      <c r="BG18" s="80">
        <f t="shared" si="36"/>
        <v>0.41475888696624491</v>
      </c>
      <c r="BH18" s="71">
        <f t="shared" si="42"/>
        <v>2.1947626486187528</v>
      </c>
      <c r="BI18" s="71">
        <f t="shared" si="37"/>
        <v>0.2030238267365117</v>
      </c>
      <c r="BJ18" s="193">
        <f t="shared" si="38"/>
        <v>3.0207517618132789</v>
      </c>
      <c r="BK18" s="71">
        <f t="shared" si="39"/>
        <v>0.4064202436693401</v>
      </c>
      <c r="BL18" s="97"/>
      <c r="BM18" s="98">
        <f t="shared" si="40"/>
        <v>42775</v>
      </c>
      <c r="BN18" s="28">
        <v>6.7000000000000004E-2</v>
      </c>
      <c r="BO18" s="28">
        <v>2.1899999999999999E-2</v>
      </c>
      <c r="BP18" s="28">
        <v>5.8000000000000003E-2</v>
      </c>
      <c r="BQ18" s="28">
        <v>1.9602211784068544E-2</v>
      </c>
      <c r="BR18" s="71">
        <v>0.112</v>
      </c>
      <c r="BS18" s="28">
        <v>1.9697163294325064E-2</v>
      </c>
      <c r="BT18" s="28">
        <v>4.2999999999999997E-2</v>
      </c>
      <c r="BU18" s="28">
        <v>1.6201541027844237E-2</v>
      </c>
      <c r="BV18" s="28">
        <v>8.0000000000000002E-3</v>
      </c>
      <c r="BW18" s="28">
        <v>1.2452714734012686E-2</v>
      </c>
    </row>
    <row r="19" spans="1:75" ht="14" x14ac:dyDescent="0.2">
      <c r="A19">
        <v>13</v>
      </c>
      <c r="B19" s="221">
        <v>14.25</v>
      </c>
      <c r="C19" s="85">
        <v>42776</v>
      </c>
      <c r="D19" s="74">
        <v>2.2212000000000001</v>
      </c>
      <c r="E19" s="171">
        <v>35</v>
      </c>
      <c r="F19" s="223">
        <v>103406</v>
      </c>
      <c r="G19" s="222">
        <v>896</v>
      </c>
      <c r="H19" s="223">
        <v>95</v>
      </c>
      <c r="I19" s="219">
        <v>655</v>
      </c>
      <c r="J19" s="219">
        <v>123</v>
      </c>
      <c r="K19" s="219">
        <v>896</v>
      </c>
      <c r="L19" s="219">
        <v>116</v>
      </c>
      <c r="M19" s="219">
        <v>540</v>
      </c>
      <c r="N19" s="219">
        <v>73</v>
      </c>
      <c r="O19" s="219">
        <v>3330</v>
      </c>
      <c r="P19" s="219">
        <v>97</v>
      </c>
      <c r="Q19" s="94">
        <f t="shared" si="8"/>
        <v>0.51989246271976475</v>
      </c>
      <c r="R19" s="94">
        <f t="shared" si="9"/>
        <v>5.5122526739260783E-2</v>
      </c>
      <c r="S19" s="94">
        <f t="shared" si="10"/>
        <v>0.38005531593911379</v>
      </c>
      <c r="T19" s="94">
        <f t="shared" si="11"/>
        <v>7.1369166199253431E-2</v>
      </c>
      <c r="U19" s="94">
        <f t="shared" si="12"/>
        <v>0.51989246271976475</v>
      </c>
      <c r="V19" s="94">
        <f t="shared" si="13"/>
        <v>6.7307506334255265E-2</v>
      </c>
      <c r="W19" s="94">
        <f t="shared" si="1"/>
        <v>0.31332804672842968</v>
      </c>
      <c r="X19" s="94">
        <f t="shared" si="2"/>
        <v>4.2357310020695121E-2</v>
      </c>
      <c r="Y19" s="94">
        <f t="shared" si="14"/>
        <v>1.9321896214919829</v>
      </c>
      <c r="Z19" s="94">
        <f t="shared" si="15"/>
        <v>5.6283000986403112E-2</v>
      </c>
      <c r="AA19" s="71">
        <f t="shared" si="16"/>
        <v>0.45289246271976474</v>
      </c>
      <c r="AB19" s="80">
        <f t="shared" si="17"/>
        <v>5.9313598391267076E-2</v>
      </c>
      <c r="AC19" s="71">
        <f t="shared" si="18"/>
        <v>0.3220553159391138</v>
      </c>
      <c r="AD19" s="80">
        <f t="shared" si="19"/>
        <v>7.401219217672271E-2</v>
      </c>
      <c r="AE19" s="71">
        <f t="shared" si="41"/>
        <v>0.40789246271976476</v>
      </c>
      <c r="AF19" s="80">
        <f t="shared" si="20"/>
        <v>7.0130440257987245E-2</v>
      </c>
      <c r="AG19" s="71">
        <f t="shared" si="3"/>
        <v>0.27032804672842969</v>
      </c>
      <c r="AH19" s="80">
        <f t="shared" si="21"/>
        <v>4.5350100814289258E-2</v>
      </c>
      <c r="AI19" s="71">
        <f t="shared" si="4"/>
        <v>1.9241896214919829</v>
      </c>
      <c r="AJ19" s="80">
        <f t="shared" si="22"/>
        <v>5.7644135038025769E-2</v>
      </c>
      <c r="AK19" s="95">
        <f t="shared" si="23"/>
        <v>42776</v>
      </c>
      <c r="AL19" s="94">
        <f t="shared" si="24"/>
        <v>13</v>
      </c>
      <c r="AM19" s="94">
        <f t="shared" si="25"/>
        <v>14.25</v>
      </c>
      <c r="AN19" s="94">
        <f t="shared" si="26"/>
        <v>2.2212000000000001</v>
      </c>
      <c r="AO19" s="96">
        <f t="shared" si="27"/>
        <v>35</v>
      </c>
      <c r="AP19" s="71">
        <f t="shared" si="28"/>
        <v>7.73799895766932</v>
      </c>
      <c r="AQ19" s="80">
        <f t="shared" si="29"/>
        <v>0.9953853865247666</v>
      </c>
      <c r="AR19" s="80"/>
      <c r="AS19" s="193">
        <f t="shared" si="5"/>
        <v>2.0432562170328334</v>
      </c>
      <c r="AT19" s="80">
        <f t="shared" si="30"/>
        <v>0.50592073440188878</v>
      </c>
      <c r="AU19" s="80"/>
      <c r="AV19" s="71">
        <f t="shared" si="6"/>
        <v>7.6785930710079491</v>
      </c>
      <c r="AW19" s="80">
        <f t="shared" si="31"/>
        <v>0.2300323476144866</v>
      </c>
      <c r="AX19" s="80">
        <f t="shared" si="32"/>
        <v>1.7395434230318483</v>
      </c>
      <c r="AY19" s="80">
        <f t="shared" si="33"/>
        <v>1.7395434230318483</v>
      </c>
      <c r="BA19" s="194">
        <f t="shared" si="34"/>
        <v>5.694742740636487</v>
      </c>
      <c r="BB19" s="80">
        <f t="shared" si="35"/>
        <v>1.1165786390598762</v>
      </c>
      <c r="BC19" s="195" t="s">
        <v>219</v>
      </c>
      <c r="BD19" s="183"/>
      <c r="BE19" s="80"/>
      <c r="BF19" s="71">
        <f t="shared" si="7"/>
        <v>2.4169083432385765</v>
      </c>
      <c r="BG19" s="80">
        <f t="shared" si="36"/>
        <v>0.55543465957604721</v>
      </c>
      <c r="BH19" s="71">
        <f t="shared" si="42"/>
        <v>1.6696040908270904</v>
      </c>
      <c r="BI19" s="71">
        <f t="shared" si="37"/>
        <v>0.28706112676243545</v>
      </c>
      <c r="BJ19" s="193">
        <f t="shared" si="38"/>
        <v>3.0157499426590566</v>
      </c>
      <c r="BK19" s="71">
        <f t="shared" si="39"/>
        <v>0.50592073440188878</v>
      </c>
      <c r="BL19" s="97"/>
      <c r="BM19" s="98">
        <f t="shared" si="40"/>
        <v>42776</v>
      </c>
      <c r="BN19" s="28">
        <v>6.7000000000000004E-2</v>
      </c>
      <c r="BO19" s="28">
        <v>2.1899999999999999E-2</v>
      </c>
      <c r="BP19" s="28">
        <v>5.8000000000000003E-2</v>
      </c>
      <c r="BQ19" s="28">
        <v>1.9602211784068544E-2</v>
      </c>
      <c r="BR19" s="71">
        <v>0.112</v>
      </c>
      <c r="BS19" s="28">
        <v>1.9697163294325064E-2</v>
      </c>
      <c r="BT19" s="28">
        <v>4.2999999999999997E-2</v>
      </c>
      <c r="BU19" s="28">
        <v>1.6201541027844237E-2</v>
      </c>
      <c r="BV19" s="28">
        <v>8.0000000000000002E-3</v>
      </c>
      <c r="BW19" s="28">
        <v>1.2452714734012686E-2</v>
      </c>
    </row>
    <row r="20" spans="1:75" ht="14" x14ac:dyDescent="0.2">
      <c r="A20">
        <v>16</v>
      </c>
      <c r="B20" s="221">
        <v>17.25</v>
      </c>
      <c r="C20" s="85">
        <v>42777</v>
      </c>
      <c r="D20" s="74">
        <v>2.6742000000000004</v>
      </c>
      <c r="E20" s="171">
        <v>35</v>
      </c>
      <c r="F20" s="223">
        <v>85956</v>
      </c>
      <c r="G20" s="222">
        <v>690</v>
      </c>
      <c r="H20" s="223">
        <v>88</v>
      </c>
      <c r="I20" s="219">
        <v>734</v>
      </c>
      <c r="J20" s="219">
        <v>113</v>
      </c>
      <c r="K20" s="219">
        <v>1242</v>
      </c>
      <c r="L20" s="219">
        <v>100</v>
      </c>
      <c r="M20" s="219">
        <v>681</v>
      </c>
      <c r="N20" s="219">
        <v>73</v>
      </c>
      <c r="O20" s="219">
        <v>1040</v>
      </c>
      <c r="P20" s="28">
        <v>81</v>
      </c>
      <c r="Q20" s="94">
        <f t="shared" si="8"/>
        <v>0.48164177020801335</v>
      </c>
      <c r="R20" s="94">
        <f t="shared" si="9"/>
        <v>6.1426776490297361E-2</v>
      </c>
      <c r="S20" s="94">
        <f t="shared" si="10"/>
        <v>0.51235515845316204</v>
      </c>
      <c r="T20" s="94">
        <f t="shared" si="11"/>
        <v>7.8877565265950023E-2</v>
      </c>
      <c r="U20" s="94">
        <f t="shared" si="12"/>
        <v>0.86695518637442415</v>
      </c>
      <c r="V20" s="94">
        <f t="shared" si="13"/>
        <v>6.9803155102610648E-2</v>
      </c>
      <c r="W20" s="94">
        <f t="shared" si="1"/>
        <v>0.47535948624877844</v>
      </c>
      <c r="X20" s="94">
        <f t="shared" si="2"/>
        <v>5.0956303224905769E-2</v>
      </c>
      <c r="Y20" s="94">
        <f t="shared" si="14"/>
        <v>0.72595281306715065</v>
      </c>
      <c r="Z20" s="94">
        <f t="shared" si="15"/>
        <v>5.6540555633114616E-2</v>
      </c>
      <c r="AA20" s="71">
        <f t="shared" si="16"/>
        <v>0.41464177020801335</v>
      </c>
      <c r="AB20" s="80">
        <f t="shared" si="17"/>
        <v>6.5213946897798997E-2</v>
      </c>
      <c r="AC20" s="71">
        <f t="shared" si="18"/>
        <v>0.45435515845316204</v>
      </c>
      <c r="AD20" s="80">
        <f t="shared" si="19"/>
        <v>8.1276792561663508E-2</v>
      </c>
      <c r="AE20" s="71">
        <f t="shared" si="41"/>
        <v>0.75495518637442416</v>
      </c>
      <c r="AF20" s="80">
        <f t="shared" si="20"/>
        <v>7.2529019737774106E-2</v>
      </c>
      <c r="AG20" s="71">
        <f t="shared" si="3"/>
        <v>0.43235948624877846</v>
      </c>
      <c r="AH20" s="80">
        <f t="shared" si="21"/>
        <v>5.3469942678344644E-2</v>
      </c>
      <c r="AI20" s="71">
        <f t="shared" si="4"/>
        <v>0.71795281306715064</v>
      </c>
      <c r="AJ20" s="80">
        <f t="shared" si="22"/>
        <v>5.7895634857457308E-2</v>
      </c>
      <c r="AK20" s="95">
        <f t="shared" si="23"/>
        <v>42777</v>
      </c>
      <c r="AL20" s="94">
        <f t="shared" si="24"/>
        <v>16</v>
      </c>
      <c r="AM20" s="94">
        <f t="shared" si="25"/>
        <v>17.25</v>
      </c>
      <c r="AN20" s="94">
        <f t="shared" si="26"/>
        <v>2.6742000000000004</v>
      </c>
      <c r="AO20" s="96">
        <f t="shared" si="27"/>
        <v>35</v>
      </c>
      <c r="AP20" s="71">
        <f t="shared" si="28"/>
        <v>5.8848765223737081</v>
      </c>
      <c r="AQ20" s="80">
        <f t="shared" si="29"/>
        <v>0.90901542762211096</v>
      </c>
      <c r="AR20" s="80"/>
      <c r="AS20" s="193">
        <f t="shared" si="5"/>
        <v>2.6994564501222067</v>
      </c>
      <c r="AT20" s="80">
        <f t="shared" si="30"/>
        <v>0.49545899877101418</v>
      </c>
      <c r="AU20" s="80"/>
      <c r="AV20" s="71">
        <f t="shared" si="6"/>
        <v>2.3797068822334366</v>
      </c>
      <c r="AW20" s="80">
        <f t="shared" si="31"/>
        <v>0.19189929785633286</v>
      </c>
      <c r="AX20" s="80">
        <f t="shared" si="32"/>
        <v>1.1585841711440954</v>
      </c>
      <c r="AY20" s="80">
        <f t="shared" si="33"/>
        <v>1.1585841711440954</v>
      </c>
      <c r="BA20" s="194">
        <f t="shared" si="34"/>
        <v>3.1854200722515014</v>
      </c>
      <c r="BB20" s="80">
        <f t="shared" si="35"/>
        <v>1.0352722671443417</v>
      </c>
      <c r="BC20" s="195" t="s">
        <v>220</v>
      </c>
      <c r="BD20" s="183"/>
      <c r="BE20" s="80"/>
      <c r="BF20" s="71">
        <f t="shared" si="7"/>
        <v>2.8321676134452183</v>
      </c>
      <c r="BG20" s="80">
        <f t="shared" si="36"/>
        <v>0.50662900010098177</v>
      </c>
      <c r="BH20" s="71">
        <f t="shared" si="42"/>
        <v>2.5667452867991951</v>
      </c>
      <c r="BI20" s="71">
        <f t="shared" si="37"/>
        <v>0.24658883457986958</v>
      </c>
      <c r="BJ20" s="193">
        <f t="shared" si="38"/>
        <v>4.0062956389277673</v>
      </c>
      <c r="BK20" s="71">
        <f t="shared" si="39"/>
        <v>0.49545899877101418</v>
      </c>
      <c r="BL20" s="97"/>
      <c r="BM20" s="98">
        <f t="shared" si="40"/>
        <v>42777</v>
      </c>
      <c r="BN20" s="28">
        <v>6.7000000000000004E-2</v>
      </c>
      <c r="BO20" s="28">
        <v>2.1899999999999999E-2</v>
      </c>
      <c r="BP20" s="28">
        <v>5.8000000000000003E-2</v>
      </c>
      <c r="BQ20" s="28">
        <v>1.9602211784068544E-2</v>
      </c>
      <c r="BR20" s="71">
        <v>0.112</v>
      </c>
      <c r="BS20" s="28">
        <v>1.9697163294325064E-2</v>
      </c>
      <c r="BT20" s="28">
        <v>4.2999999999999997E-2</v>
      </c>
      <c r="BU20" s="28">
        <v>1.6201541027844237E-2</v>
      </c>
      <c r="BV20" s="28">
        <v>8.0000000000000002E-3</v>
      </c>
      <c r="BW20" s="28">
        <v>1.2452714734012686E-2</v>
      </c>
    </row>
    <row r="21" spans="1:75" ht="14" x14ac:dyDescent="0.2">
      <c r="A21">
        <v>19</v>
      </c>
      <c r="B21" s="221">
        <v>20.25</v>
      </c>
      <c r="C21" s="85">
        <v>42778</v>
      </c>
      <c r="D21" s="74">
        <v>2.4608999999999996</v>
      </c>
      <c r="E21" s="171">
        <v>35</v>
      </c>
      <c r="F21" s="223">
        <v>84261</v>
      </c>
      <c r="G21" s="222">
        <v>393</v>
      </c>
      <c r="H21" s="223">
        <v>85</v>
      </c>
      <c r="I21" s="219">
        <v>479</v>
      </c>
      <c r="J21" s="219">
        <v>114</v>
      </c>
      <c r="K21" s="219">
        <v>1217</v>
      </c>
      <c r="L21" s="219">
        <v>96</v>
      </c>
      <c r="M21" s="219">
        <v>585</v>
      </c>
      <c r="N21" s="219">
        <v>63</v>
      </c>
      <c r="O21" s="219">
        <v>285</v>
      </c>
      <c r="P21" s="219">
        <v>75</v>
      </c>
      <c r="Q21" s="94">
        <f t="shared" si="8"/>
        <v>0.27984476804215475</v>
      </c>
      <c r="R21" s="94">
        <f t="shared" si="9"/>
        <v>6.0526222095631431E-2</v>
      </c>
      <c r="S21" s="94">
        <f t="shared" si="10"/>
        <v>0.34108306333891125</v>
      </c>
      <c r="T21" s="94">
        <f t="shared" si="11"/>
        <v>8.117634492825862E-2</v>
      </c>
      <c r="U21" s="94">
        <f t="shared" si="12"/>
        <v>0.86659308576921712</v>
      </c>
      <c r="V21" s="94">
        <f t="shared" si="13"/>
        <v>6.8359027308007275E-2</v>
      </c>
      <c r="W21" s="94">
        <f t="shared" si="1"/>
        <v>0.41656282265816924</v>
      </c>
      <c r="X21" s="94">
        <f t="shared" si="2"/>
        <v>4.4860611670879763E-2</v>
      </c>
      <c r="Y21" s="94">
        <f t="shared" si="14"/>
        <v>0.20294086232064656</v>
      </c>
      <c r="Z21" s="94">
        <f t="shared" si="15"/>
        <v>5.3405490084380676E-2</v>
      </c>
      <c r="AA21" s="71">
        <f t="shared" si="16"/>
        <v>0.21284476804215474</v>
      </c>
      <c r="AB21" s="80">
        <f t="shared" si="17"/>
        <v>6.4366400871648105E-2</v>
      </c>
      <c r="AC21" s="71">
        <f t="shared" si="18"/>
        <v>0.28308306333891126</v>
      </c>
      <c r="AD21" s="80">
        <f t="shared" si="19"/>
        <v>8.3509554439830977E-2</v>
      </c>
      <c r="AE21" s="71">
        <f t="shared" si="41"/>
        <v>0.75459308576921713</v>
      </c>
      <c r="AF21" s="80">
        <f t="shared" si="20"/>
        <v>7.1140247795043493E-2</v>
      </c>
      <c r="AG21" s="71">
        <f t="shared" si="3"/>
        <v>0.37356282265816926</v>
      </c>
      <c r="AH21" s="80">
        <f t="shared" si="21"/>
        <v>4.7696586997000044E-2</v>
      </c>
      <c r="AI21" s="71">
        <f t="shared" si="4"/>
        <v>0.19494086232064656</v>
      </c>
      <c r="AJ21" s="80">
        <f t="shared" si="22"/>
        <v>5.4838093287418184E-2</v>
      </c>
      <c r="AK21" s="95">
        <f t="shared" si="23"/>
        <v>42778</v>
      </c>
      <c r="AL21" s="94">
        <f t="shared" si="24"/>
        <v>19</v>
      </c>
      <c r="AM21" s="94">
        <f t="shared" si="25"/>
        <v>20.25</v>
      </c>
      <c r="AN21" s="94">
        <f t="shared" si="26"/>
        <v>2.4608999999999996</v>
      </c>
      <c r="AO21" s="96">
        <f t="shared" si="27"/>
        <v>35</v>
      </c>
      <c r="AP21" s="71">
        <f t="shared" si="28"/>
        <v>3.2829491272360745</v>
      </c>
      <c r="AQ21" s="80">
        <f t="shared" si="29"/>
        <v>0.9749669914041782</v>
      </c>
      <c r="AR21" s="80"/>
      <c r="AS21" s="193">
        <f t="shared" si="5"/>
        <v>2.3526950877029527</v>
      </c>
      <c r="AT21" s="80">
        <f t="shared" si="30"/>
        <v>0.48026973964186587</v>
      </c>
      <c r="AU21" s="80"/>
      <c r="AV21" s="71">
        <f t="shared" si="6"/>
        <v>0.70215075336249722</v>
      </c>
      <c r="AW21" s="80">
        <f t="shared" si="31"/>
        <v>0.19751943259279139</v>
      </c>
      <c r="AX21" s="80">
        <f t="shared" si="32"/>
        <v>-7.2297569348147808E-2</v>
      </c>
      <c r="AY21" s="80">
        <f t="shared" si="33"/>
        <v>-7.2297569348147808E-2</v>
      </c>
      <c r="BA21" s="194">
        <f t="shared" si="34"/>
        <v>0.9302540395331218</v>
      </c>
      <c r="BB21" s="80">
        <f t="shared" si="35"/>
        <v>1.0868392968343483</v>
      </c>
      <c r="BC21" s="195" t="s">
        <v>221</v>
      </c>
      <c r="BD21" s="183"/>
      <c r="BE21" s="80"/>
      <c r="BF21" s="71">
        <f t="shared" si="7"/>
        <v>1.9175084828783586</v>
      </c>
      <c r="BG21" s="80">
        <f t="shared" si="36"/>
        <v>0.56566534624523845</v>
      </c>
      <c r="BH21" s="71">
        <f t="shared" si="42"/>
        <v>2.7878816925275469</v>
      </c>
      <c r="BI21" s="71">
        <f t="shared" si="37"/>
        <v>0.26283118434288422</v>
      </c>
      <c r="BJ21" s="193">
        <f t="shared" si="38"/>
        <v>3.7615043522758516</v>
      </c>
      <c r="BK21" s="71">
        <f t="shared" si="39"/>
        <v>0.48026973964186587</v>
      </c>
      <c r="BL21" s="97"/>
      <c r="BM21" s="98">
        <f t="shared" si="40"/>
        <v>42778</v>
      </c>
      <c r="BN21" s="28">
        <v>6.7000000000000004E-2</v>
      </c>
      <c r="BO21" s="28">
        <v>2.1899999999999999E-2</v>
      </c>
      <c r="BP21" s="28">
        <v>5.8000000000000003E-2</v>
      </c>
      <c r="BQ21" s="28">
        <v>1.9602211784068544E-2</v>
      </c>
      <c r="BR21" s="71">
        <v>0.112</v>
      </c>
      <c r="BS21" s="28">
        <v>1.9697163294325064E-2</v>
      </c>
      <c r="BT21" s="28">
        <v>4.2999999999999997E-2</v>
      </c>
      <c r="BU21" s="28">
        <v>1.6201541027844237E-2</v>
      </c>
      <c r="BV21" s="28">
        <v>8.0000000000000002E-3</v>
      </c>
      <c r="BW21" s="28">
        <v>1.2452714734012686E-2</v>
      </c>
    </row>
    <row r="22" spans="1:75" ht="14" x14ac:dyDescent="0.2">
      <c r="A22">
        <v>22</v>
      </c>
      <c r="B22" s="221">
        <v>23.25</v>
      </c>
      <c r="C22" s="85">
        <v>42779</v>
      </c>
      <c r="D22" s="74">
        <v>2.4632999999999998</v>
      </c>
      <c r="E22" s="171">
        <v>35</v>
      </c>
      <c r="F22" s="223">
        <v>85882</v>
      </c>
      <c r="G22" s="222">
        <v>431</v>
      </c>
      <c r="H22" s="223">
        <v>86</v>
      </c>
      <c r="I22" s="219">
        <v>865</v>
      </c>
      <c r="J22" s="219">
        <v>108</v>
      </c>
      <c r="K22" s="219">
        <v>985</v>
      </c>
      <c r="L22" s="219">
        <v>100</v>
      </c>
      <c r="M22" s="219">
        <v>579</v>
      </c>
      <c r="N22" s="219">
        <v>67</v>
      </c>
      <c r="O22" s="219">
        <v>223</v>
      </c>
      <c r="P22" s="219">
        <v>71</v>
      </c>
      <c r="Q22" s="94">
        <f t="shared" si="8"/>
        <v>0.30111082648284854</v>
      </c>
      <c r="R22" s="94">
        <f t="shared" si="9"/>
        <v>6.0082438694953534E-2</v>
      </c>
      <c r="S22" s="94">
        <f>I22/$F22*60</f>
        <v>0.60431755198993964</v>
      </c>
      <c r="T22" s="94">
        <f t="shared" si="11"/>
        <v>7.5452364872732353E-2</v>
      </c>
      <c r="U22" s="94">
        <f t="shared" si="12"/>
        <v>0.68815351295964233</v>
      </c>
      <c r="V22" s="94">
        <f t="shared" si="13"/>
        <v>6.9863300808085504E-2</v>
      </c>
      <c r="W22" s="94">
        <f t="shared" si="1"/>
        <v>0.40450851167881507</v>
      </c>
      <c r="X22" s="94">
        <f t="shared" si="2"/>
        <v>4.6808411541417294E-2</v>
      </c>
      <c r="Y22" s="94">
        <f t="shared" si="14"/>
        <v>0.15579516080203068</v>
      </c>
      <c r="Z22" s="94">
        <f t="shared" si="15"/>
        <v>4.9602943573740718E-2</v>
      </c>
      <c r="AA22" s="71">
        <f t="shared" si="16"/>
        <v>0.23411082648284853</v>
      </c>
      <c r="AB22" s="80">
        <f t="shared" si="17"/>
        <v>6.3949272392521003E-2</v>
      </c>
      <c r="AC22" s="71">
        <f>(S22 - BP22)</f>
        <v>0.54631755198993959</v>
      </c>
      <c r="AD22" s="80">
        <f t="shared" si="19"/>
        <v>7.7957078393917578E-2</v>
      </c>
      <c r="AE22" s="71">
        <f t="shared" si="41"/>
        <v>0.57615351295964234</v>
      </c>
      <c r="AF22" s="80">
        <f t="shared" si="20"/>
        <v>7.2586906819648592E-2</v>
      </c>
      <c r="AG22" s="71">
        <f t="shared" si="3"/>
        <v>0.36150851167881509</v>
      </c>
      <c r="AH22" s="80">
        <f t="shared" si="21"/>
        <v>4.9532992264828983E-2</v>
      </c>
      <c r="AI22" s="71">
        <f t="shared" si="4"/>
        <v>0.14779516080203067</v>
      </c>
      <c r="AJ22" s="80">
        <f t="shared" si="22"/>
        <v>5.1142175505412384E-2</v>
      </c>
      <c r="AK22" s="95">
        <f t="shared" si="23"/>
        <v>42779</v>
      </c>
      <c r="AL22" s="94">
        <f t="shared" si="24"/>
        <v>22</v>
      </c>
      <c r="AM22" s="94">
        <f t="shared" si="25"/>
        <v>23.25</v>
      </c>
      <c r="AN22" s="94">
        <f t="shared" si="26"/>
        <v>2.4632999999999998</v>
      </c>
      <c r="AO22" s="96">
        <f t="shared" si="27"/>
        <v>35</v>
      </c>
      <c r="AP22" s="71">
        <f t="shared" si="28"/>
        <v>3.6077487255562493</v>
      </c>
      <c r="AQ22" s="80">
        <f t="shared" si="29"/>
        <v>0.96770493015134107</v>
      </c>
      <c r="AR22" s="80"/>
      <c r="AS22" s="193">
        <f>AVERAGE(BF22,BH22)</f>
        <v>2.9117589382126661</v>
      </c>
      <c r="AT22" s="80">
        <f t="shared" si="30"/>
        <v>0.4982750530873708</v>
      </c>
      <c r="AU22" s="80"/>
      <c r="AV22" s="71">
        <f t="shared" si="6"/>
        <v>0.53181962211587697</v>
      </c>
      <c r="AW22" s="80">
        <f t="shared" si="31"/>
        <v>0.18402776047521693</v>
      </c>
      <c r="AX22" s="80">
        <f>LN(BA22)</f>
        <v>-0.36242029211229287</v>
      </c>
      <c r="AY22" s="80">
        <f t="shared" si="33"/>
        <v>-0.36242029211229287</v>
      </c>
      <c r="BA22" s="194">
        <f>AP22 - AS22</f>
        <v>0.69598978734358319</v>
      </c>
      <c r="BB22" s="80">
        <f t="shared" si="35"/>
        <v>1.0884534259068848</v>
      </c>
      <c r="BC22" s="195" t="s">
        <v>222</v>
      </c>
      <c r="BD22" s="183"/>
      <c r="BE22" s="80"/>
      <c r="BF22" s="71">
        <f>(AC22/($AG$5*$AI$5*$AN22))</f>
        <v>3.6969639900646873</v>
      </c>
      <c r="BG22" s="80">
        <f t="shared" si="36"/>
        <v>0.52754027496131117</v>
      </c>
      <c r="BH22" s="71">
        <f t="shared" si="42"/>
        <v>2.1265538863606448</v>
      </c>
      <c r="BI22" s="71">
        <f t="shared" si="37"/>
        <v>0.26791465351532817</v>
      </c>
      <c r="BJ22" s="193">
        <f t="shared" si="38"/>
        <v>3.6365796737097225</v>
      </c>
      <c r="BK22" s="71">
        <f t="shared" si="39"/>
        <v>0.4982750530873708</v>
      </c>
      <c r="BL22" s="97"/>
      <c r="BM22" s="98">
        <f t="shared" si="40"/>
        <v>42779</v>
      </c>
      <c r="BN22" s="28">
        <v>6.7000000000000004E-2</v>
      </c>
      <c r="BO22" s="28">
        <v>2.1899999999999999E-2</v>
      </c>
      <c r="BP22" s="28">
        <v>5.8000000000000003E-2</v>
      </c>
      <c r="BQ22" s="28">
        <v>1.9602211784068544E-2</v>
      </c>
      <c r="BR22" s="71">
        <v>0.112</v>
      </c>
      <c r="BS22" s="28">
        <v>1.9697163294325064E-2</v>
      </c>
      <c r="BT22" s="28">
        <v>4.2999999999999997E-2</v>
      </c>
      <c r="BU22" s="28">
        <v>1.6201541027844237E-2</v>
      </c>
      <c r="BV22" s="28">
        <v>8.0000000000000002E-3</v>
      </c>
      <c r="BW22" s="28">
        <v>1.2452714734012686E-2</v>
      </c>
    </row>
    <row r="23" spans="1:75" ht="14" x14ac:dyDescent="0.2">
      <c r="A23">
        <v>25</v>
      </c>
      <c r="B23" s="221">
        <v>26.25</v>
      </c>
      <c r="C23" s="85">
        <v>42780</v>
      </c>
      <c r="D23" s="74">
        <v>2.4904999999999995</v>
      </c>
      <c r="E23" s="171">
        <v>35</v>
      </c>
      <c r="F23" s="223">
        <v>341631</v>
      </c>
      <c r="G23" s="222">
        <v>1501</v>
      </c>
      <c r="H23" s="223">
        <v>172</v>
      </c>
      <c r="I23" s="219">
        <v>2687</v>
      </c>
      <c r="J23" s="219">
        <v>217</v>
      </c>
      <c r="K23" s="219">
        <v>1098</v>
      </c>
      <c r="L23" s="219">
        <v>196</v>
      </c>
      <c r="M23" s="219">
        <v>1902</v>
      </c>
      <c r="N23" s="219">
        <v>138</v>
      </c>
      <c r="O23" s="219">
        <v>322</v>
      </c>
      <c r="P23" s="219">
        <v>147</v>
      </c>
      <c r="Q23" s="94">
        <f t="shared" ref="Q23:X26" si="43">G23/$F23*60</f>
        <v>0.26361776302501821</v>
      </c>
      <c r="R23" s="94">
        <f t="shared" si="43"/>
        <v>3.0208031472553718E-2</v>
      </c>
      <c r="S23" s="94">
        <f t="shared" si="43"/>
        <v>0.47191267771367357</v>
      </c>
      <c r="T23" s="94">
        <f t="shared" si="43"/>
        <v>3.8111295520605569E-2</v>
      </c>
      <c r="U23" s="94">
        <f t="shared" si="43"/>
        <v>0.19283964277246501</v>
      </c>
      <c r="V23" s="94">
        <f t="shared" si="43"/>
        <v>3.4423105631514704E-2</v>
      </c>
      <c r="W23" s="94">
        <f t="shared" si="43"/>
        <v>0.33404462709765798</v>
      </c>
      <c r="X23" s="94">
        <f t="shared" si="43"/>
        <v>2.423667641402566E-2</v>
      </c>
      <c r="Y23" s="94">
        <f t="shared" si="14"/>
        <v>5.6552244966059872E-2</v>
      </c>
      <c r="Z23" s="94">
        <f t="shared" ref="Z23:Z26" si="44">P23/$F23*60</f>
        <v>2.5817329223636026E-2</v>
      </c>
      <c r="AA23" s="71">
        <f t="shared" ref="AA23:AA26" si="45">(Q23 - BN23)</f>
        <v>0.19661776302501821</v>
      </c>
      <c r="AB23" s="80">
        <f t="shared" ref="AB23:AB26" si="46" xml:space="preserve"> (SQRT((R23^2) + (BO23^2)))</f>
        <v>3.7311327575507092E-2</v>
      </c>
      <c r="AC23" s="71">
        <f t="shared" ref="AC23:AC26" si="47">(S23 - BP23)</f>
        <v>0.41391267771367357</v>
      </c>
      <c r="AD23" s="80">
        <f t="shared" ref="AD23:AD26" si="48" xml:space="preserve"> (SQRT((T23^2) + (BQ23^2)))</f>
        <v>4.2856942880779604E-2</v>
      </c>
      <c r="AE23" s="71">
        <f t="shared" ref="AE23:AE26" si="49">(U23 - BR23)</f>
        <v>8.0839642772465012E-2</v>
      </c>
      <c r="AF23" s="80">
        <f t="shared" ref="AF23:AF26" si="50" xml:space="preserve"> (SQRT((V23^2) + (BS23^2)))</f>
        <v>3.966016191547541E-2</v>
      </c>
      <c r="AG23" s="71">
        <f t="shared" si="3"/>
        <v>0.29104462709765799</v>
      </c>
      <c r="AH23" s="80">
        <f t="shared" ref="AH23:AH26" si="51" xml:space="preserve"> (SQRT((X23^2) + (BU23^2)))</f>
        <v>2.9153154465256549E-2</v>
      </c>
      <c r="AI23" s="71">
        <f t="shared" si="4"/>
        <v>4.8552244966059872E-2</v>
      </c>
      <c r="AJ23" s="80">
        <f t="shared" ref="AJ23:AJ26" si="52" xml:space="preserve"> (SQRT((Z23^2) + (BW23^2)))</f>
        <v>2.866364583384862E-2</v>
      </c>
      <c r="AK23" s="95">
        <f t="shared" ref="AK23:AK26" si="53">C23</f>
        <v>42780</v>
      </c>
      <c r="AL23" s="94">
        <f t="shared" ref="AL23:AL26" si="54">A23</f>
        <v>25</v>
      </c>
      <c r="AM23" s="94">
        <f t="shared" si="25"/>
        <v>26.25</v>
      </c>
      <c r="AN23" s="94">
        <f t="shared" ref="AN23:AO26" si="55">D23</f>
        <v>2.4904999999999995</v>
      </c>
      <c r="AO23" s="96">
        <f t="shared" si="55"/>
        <v>35</v>
      </c>
      <c r="AP23" s="71">
        <f t="shared" ref="AP23:AP26" si="56">(AA23/($AG$4*$AI$4*AN23)/(EXP(-(0.000085082*(AK23-$AL$6)))))</f>
        <v>2.9971276888806835</v>
      </c>
      <c r="AQ23" s="80">
        <f t="shared" ref="AQ23:AQ26" si="57">AB23/($AG$4*$AI$4*$AN23)</f>
        <v>0.55844294523499993</v>
      </c>
      <c r="AR23" s="80"/>
      <c r="AS23" s="193">
        <f t="shared" si="5"/>
        <v>1.5327488719174893</v>
      </c>
      <c r="AT23" s="80">
        <f t="shared" ref="AT23:AT26" si="58">BK23</f>
        <v>0.29006203815609982</v>
      </c>
      <c r="AU23" s="80"/>
      <c r="AV23" s="71">
        <f t="shared" si="6"/>
        <v>0.1728001914079324</v>
      </c>
      <c r="AW23" s="80">
        <f t="shared" ref="AW23:AW26" si="59">AJ23/($AG$8*$AI$8*$AN23)</f>
        <v>0.10201553996114178</v>
      </c>
      <c r="AX23" s="80">
        <f t="shared" ref="AX23:AX24" si="60">LN(BA23)</f>
        <v>0.3814311368241618</v>
      </c>
      <c r="AY23" s="80">
        <f t="shared" ref="AY23:AY26" si="61">LN(BA23)</f>
        <v>0.3814311368241618</v>
      </c>
      <c r="BA23" s="194">
        <f t="shared" ref="BA23:BA26" si="62">AP23 - AS23</f>
        <v>1.4643788169631942</v>
      </c>
      <c r="BB23" s="80">
        <f t="shared" ref="BB23:BB26" si="63">SQRT((AQ23^2) + (AT23^2))</f>
        <v>0.62928094605034068</v>
      </c>
      <c r="BC23" s="195" t="s">
        <v>223</v>
      </c>
      <c r="BD23" s="183"/>
      <c r="BE23" s="80"/>
      <c r="BF23" s="71">
        <f t="shared" si="7"/>
        <v>2.770381357500511</v>
      </c>
      <c r="BG23" s="80">
        <f t="shared" ref="BG23:BG26" si="64">AD23/($AG$5*$AI$5*$AN23)</f>
        <v>0.28684812519443592</v>
      </c>
      <c r="BH23" s="71">
        <f t="shared" ref="BH23:BI26" si="65">(AE23/($AG$6*$AI$6*$AN23))</f>
        <v>0.29511638633446757</v>
      </c>
      <c r="BI23" s="71">
        <f t="shared" si="65"/>
        <v>0.1447849503600433</v>
      </c>
      <c r="BJ23" s="193">
        <f t="shared" si="38"/>
        <v>2.8957757497885166</v>
      </c>
      <c r="BK23" s="71">
        <f t="shared" ref="BK23:BK26" si="66">(AH23/($AG$7*$AI$7*$AN23))</f>
        <v>0.29006203815609982</v>
      </c>
      <c r="BL23" s="97"/>
      <c r="BM23" s="98">
        <f t="shared" ref="BM23:BM26" si="67">C23</f>
        <v>42780</v>
      </c>
      <c r="BN23" s="28">
        <v>6.7000000000000004E-2</v>
      </c>
      <c r="BO23" s="28">
        <v>2.1899999999999999E-2</v>
      </c>
      <c r="BP23" s="28">
        <v>5.8000000000000003E-2</v>
      </c>
      <c r="BQ23" s="28">
        <v>1.9602211784068544E-2</v>
      </c>
      <c r="BR23" s="71">
        <v>0.112</v>
      </c>
      <c r="BS23" s="28">
        <v>1.9697163294325064E-2</v>
      </c>
      <c r="BT23" s="28">
        <v>4.2999999999999997E-2</v>
      </c>
      <c r="BU23" s="28">
        <v>1.6201541027844237E-2</v>
      </c>
      <c r="BV23" s="28">
        <v>8.0000000000000002E-3</v>
      </c>
      <c r="BW23" s="28">
        <v>1.2452714734012686E-2</v>
      </c>
    </row>
    <row r="24" spans="1:75" ht="14" x14ac:dyDescent="0.2">
      <c r="A24">
        <v>28</v>
      </c>
      <c r="B24" s="221">
        <v>29.25</v>
      </c>
      <c r="C24" s="85">
        <v>42781</v>
      </c>
      <c r="D24" s="74">
        <v>2.3653</v>
      </c>
      <c r="E24" s="171">
        <v>35</v>
      </c>
      <c r="F24" s="223">
        <v>177286</v>
      </c>
      <c r="G24" s="222">
        <v>783</v>
      </c>
      <c r="H24" s="223">
        <v>122</v>
      </c>
      <c r="I24" s="219">
        <v>1237</v>
      </c>
      <c r="J24" s="219">
        <v>156</v>
      </c>
      <c r="K24" s="228">
        <v>2112</v>
      </c>
      <c r="L24" s="219">
        <v>136</v>
      </c>
      <c r="M24" s="219">
        <v>879</v>
      </c>
      <c r="N24" s="219">
        <v>101</v>
      </c>
      <c r="O24" s="219">
        <v>97</v>
      </c>
      <c r="P24" s="219">
        <v>104</v>
      </c>
      <c r="Q24" s="94">
        <f t="shared" si="43"/>
        <v>0.26499554392337804</v>
      </c>
      <c r="R24" s="94">
        <f t="shared" si="43"/>
        <v>4.1289216294574868E-2</v>
      </c>
      <c r="S24" s="94">
        <f t="shared" si="43"/>
        <v>0.41864557833105831</v>
      </c>
      <c r="T24" s="94">
        <f t="shared" si="43"/>
        <v>5.2796047065194092E-2</v>
      </c>
      <c r="U24" s="94">
        <f t="shared" si="43"/>
        <v>0.71477725257493541</v>
      </c>
      <c r="V24" s="94">
        <f t="shared" si="43"/>
        <v>4.6027323082476902E-2</v>
      </c>
      <c r="W24" s="94">
        <f t="shared" si="43"/>
        <v>0.29748541904042053</v>
      </c>
      <c r="X24" s="94">
        <f t="shared" si="43"/>
        <v>3.4182056112721813E-2</v>
      </c>
      <c r="Y24" s="94">
        <f t="shared" si="14"/>
        <v>3.2828311316178381E-2</v>
      </c>
      <c r="Z24" s="94">
        <f t="shared" si="44"/>
        <v>3.5197364710129395E-2</v>
      </c>
      <c r="AA24" s="71">
        <f t="shared" si="45"/>
        <v>0.19799554392337804</v>
      </c>
      <c r="AB24" s="80">
        <f t="shared" si="46"/>
        <v>4.673766556237257E-2</v>
      </c>
      <c r="AC24" s="71">
        <f t="shared" si="47"/>
        <v>0.36064557833105831</v>
      </c>
      <c r="AD24" s="80">
        <f t="shared" si="48"/>
        <v>5.6317575343205833E-2</v>
      </c>
      <c r="AE24" s="71">
        <f t="shared" si="49"/>
        <v>0.60277725257493542</v>
      </c>
      <c r="AF24" s="80">
        <f t="shared" si="50"/>
        <v>5.0064885019163057E-2</v>
      </c>
      <c r="AG24" s="71">
        <f t="shared" si="3"/>
        <v>0.25448541904042055</v>
      </c>
      <c r="AH24" s="80">
        <f t="shared" si="51"/>
        <v>3.7827277086385468E-2</v>
      </c>
      <c r="AI24" s="71">
        <f t="shared" si="4"/>
        <v>2.4828311316178381E-2</v>
      </c>
      <c r="AJ24" s="80">
        <f t="shared" si="52"/>
        <v>3.7335299473615566E-2</v>
      </c>
      <c r="AK24" s="95">
        <f t="shared" si="53"/>
        <v>42781</v>
      </c>
      <c r="AL24" s="94">
        <f t="shared" si="54"/>
        <v>28</v>
      </c>
      <c r="AM24" s="94">
        <f t="shared" si="25"/>
        <v>29.25</v>
      </c>
      <c r="AN24" s="94">
        <f t="shared" si="55"/>
        <v>2.3653</v>
      </c>
      <c r="AO24" s="96">
        <f t="shared" si="55"/>
        <v>35</v>
      </c>
      <c r="AP24" s="71">
        <f t="shared" si="56"/>
        <v>3.178155747726882</v>
      </c>
      <c r="AQ24" s="80">
        <f t="shared" si="57"/>
        <v>0.73655543385256372</v>
      </c>
      <c r="AR24" s="80"/>
      <c r="AS24" s="193">
        <f t="shared" si="5"/>
        <v>2.4293135163558821</v>
      </c>
      <c r="AT24" s="80">
        <f t="shared" si="58"/>
        <v>0.39628783016023439</v>
      </c>
      <c r="AU24" s="80"/>
      <c r="AV24" s="71">
        <f t="shared" si="6"/>
        <v>9.3042720437381765E-2</v>
      </c>
      <c r="AW24" s="80">
        <f t="shared" si="59"/>
        <v>0.13991196530172356</v>
      </c>
      <c r="AX24" s="80">
        <f t="shared" si="60"/>
        <v>-0.2892269566764647</v>
      </c>
      <c r="AY24" s="80">
        <f t="shared" si="61"/>
        <v>-0.2892269566764647</v>
      </c>
      <c r="BA24" s="194">
        <f t="shared" si="62"/>
        <v>0.74884223137099992</v>
      </c>
      <c r="BB24" s="80">
        <f t="shared" si="63"/>
        <v>0.83639581029010734</v>
      </c>
      <c r="BC24" s="195" t="s">
        <v>224</v>
      </c>
      <c r="BD24" s="183"/>
      <c r="BE24" s="80"/>
      <c r="BF24" s="71">
        <f t="shared" si="7"/>
        <v>2.5416266388831126</v>
      </c>
      <c r="BG24" s="80">
        <f t="shared" si="64"/>
        <v>0.39689450898578182</v>
      </c>
      <c r="BH24" s="71">
        <f t="shared" si="65"/>
        <v>2.3170003938286516</v>
      </c>
      <c r="BI24" s="71">
        <f t="shared" si="65"/>
        <v>0.19244315841524917</v>
      </c>
      <c r="BJ24" s="193">
        <f t="shared" si="38"/>
        <v>2.6660516507344192</v>
      </c>
      <c r="BK24" s="71">
        <f t="shared" si="66"/>
        <v>0.39628783016023439</v>
      </c>
      <c r="BL24" s="97"/>
      <c r="BM24" s="98">
        <f t="shared" si="67"/>
        <v>42781</v>
      </c>
      <c r="BN24" s="28">
        <v>6.7000000000000004E-2</v>
      </c>
      <c r="BO24" s="28">
        <v>2.1899999999999999E-2</v>
      </c>
      <c r="BP24" s="28">
        <v>5.8000000000000003E-2</v>
      </c>
      <c r="BQ24" s="28">
        <v>1.9602211784068544E-2</v>
      </c>
      <c r="BR24" s="71">
        <v>0.112</v>
      </c>
      <c r="BS24" s="28">
        <v>1.9697163294325064E-2</v>
      </c>
      <c r="BT24" s="28">
        <v>4.2999999999999997E-2</v>
      </c>
      <c r="BU24" s="28">
        <v>1.6201541027844237E-2</v>
      </c>
      <c r="BV24" s="28">
        <v>8.0000000000000002E-3</v>
      </c>
      <c r="BW24" s="28">
        <v>1.2452714734012686E-2</v>
      </c>
    </row>
    <row r="25" spans="1:75" ht="14" x14ac:dyDescent="0.2">
      <c r="A25">
        <v>31</v>
      </c>
      <c r="B25" s="221">
        <v>32.25</v>
      </c>
      <c r="C25" s="85">
        <v>42782</v>
      </c>
      <c r="D25" s="74">
        <v>2.5585</v>
      </c>
      <c r="E25" s="171">
        <v>35</v>
      </c>
      <c r="F25" s="223">
        <v>88912</v>
      </c>
      <c r="G25" s="222">
        <v>273</v>
      </c>
      <c r="H25" s="223">
        <v>87</v>
      </c>
      <c r="I25" s="219">
        <v>655</v>
      </c>
      <c r="J25" s="219">
        <v>109</v>
      </c>
      <c r="K25" s="219">
        <v>1079</v>
      </c>
      <c r="L25" s="219">
        <v>98</v>
      </c>
      <c r="M25" s="219">
        <v>507</v>
      </c>
      <c r="N25" s="219">
        <v>69</v>
      </c>
      <c r="O25" s="219">
        <v>17</v>
      </c>
      <c r="P25" s="219">
        <v>74</v>
      </c>
      <c r="Q25" s="94">
        <f t="shared" si="43"/>
        <v>0.18422710095375203</v>
      </c>
      <c r="R25" s="94">
        <f t="shared" si="43"/>
        <v>5.8709735468778126E-2</v>
      </c>
      <c r="S25" s="94">
        <f t="shared" si="43"/>
        <v>0.44201007737988124</v>
      </c>
      <c r="T25" s="94">
        <f t="shared" si="43"/>
        <v>7.3555875472377186E-2</v>
      </c>
      <c r="U25" s="94">
        <f t="shared" si="43"/>
        <v>0.72813568472197221</v>
      </c>
      <c r="V25" s="94">
        <f t="shared" si="43"/>
        <v>6.6132805470577649E-2</v>
      </c>
      <c r="W25" s="94">
        <f t="shared" si="43"/>
        <v>0.34213604462839664</v>
      </c>
      <c r="X25" s="94">
        <f t="shared" si="43"/>
        <v>4.6562893647651607E-2</v>
      </c>
      <c r="Y25" s="94">
        <f t="shared" si="14"/>
        <v>1.1472017275508369E-2</v>
      </c>
      <c r="Z25" s="94">
        <f t="shared" si="44"/>
        <v>4.9937016375742306E-2</v>
      </c>
      <c r="AA25" s="71">
        <f t="shared" si="45"/>
        <v>0.11722710095375202</v>
      </c>
      <c r="AB25" s="80">
        <f t="shared" si="46"/>
        <v>6.2661336075876206E-2</v>
      </c>
      <c r="AC25" s="71">
        <f t="shared" si="47"/>
        <v>0.38401007737988124</v>
      </c>
      <c r="AD25" s="80">
        <f t="shared" si="48"/>
        <v>7.6123015726752022E-2</v>
      </c>
      <c r="AE25" s="71">
        <f t="shared" si="49"/>
        <v>0.61613568472197222</v>
      </c>
      <c r="AF25" s="80">
        <f t="shared" si="50"/>
        <v>6.9003812947202939E-2</v>
      </c>
      <c r="AG25" s="71">
        <f t="shared" si="3"/>
        <v>0.29913604462839666</v>
      </c>
      <c r="AH25" s="80">
        <f t="shared" si="51"/>
        <v>4.9301044578380228E-2</v>
      </c>
      <c r="AI25" s="71">
        <f t="shared" si="4"/>
        <v>3.4720172755083687E-3</v>
      </c>
      <c r="AJ25" s="80">
        <f t="shared" si="52"/>
        <v>5.1466257963425431E-2</v>
      </c>
      <c r="AK25" s="95">
        <f t="shared" si="53"/>
        <v>42782</v>
      </c>
      <c r="AL25" s="94">
        <f t="shared" si="54"/>
        <v>31</v>
      </c>
      <c r="AM25" s="94">
        <f t="shared" si="25"/>
        <v>32.25</v>
      </c>
      <c r="AN25" s="94">
        <f t="shared" si="55"/>
        <v>2.5585</v>
      </c>
      <c r="AO25" s="96">
        <f t="shared" si="55"/>
        <v>35</v>
      </c>
      <c r="AP25" s="71">
        <f t="shared" si="56"/>
        <v>1.7397447964352299</v>
      </c>
      <c r="AQ25" s="80">
        <f t="shared" si="57"/>
        <v>0.91293295068994718</v>
      </c>
      <c r="AR25" s="80"/>
      <c r="AS25" s="193">
        <f t="shared" si="5"/>
        <v>2.3457170484195018</v>
      </c>
      <c r="AT25" s="80">
        <f t="shared" si="58"/>
        <v>0.47748813727049727</v>
      </c>
      <c r="AU25" s="80"/>
      <c r="AV25" s="71">
        <f t="shared" si="6"/>
        <v>1.2028678178070421E-2</v>
      </c>
      <c r="AW25" s="80">
        <f t="shared" si="59"/>
        <v>0.17830298784471194</v>
      </c>
      <c r="AX25" s="80" t="e">
        <f>LN(BA25)</f>
        <v>#NUM!</v>
      </c>
      <c r="AY25" s="80" t="e">
        <f t="shared" si="61"/>
        <v>#NUM!</v>
      </c>
      <c r="BA25" s="194">
        <f t="shared" si="62"/>
        <v>-0.60597225198427185</v>
      </c>
      <c r="BB25" s="80">
        <f t="shared" si="63"/>
        <v>1.0302628274811738</v>
      </c>
      <c r="BC25" s="195" t="s">
        <v>225</v>
      </c>
      <c r="BD25" s="183"/>
      <c r="BE25" s="80"/>
      <c r="BF25" s="71">
        <f t="shared" si="7"/>
        <v>2.5019266533779545</v>
      </c>
      <c r="BG25" s="80">
        <f t="shared" si="64"/>
        <v>0.49596146872433144</v>
      </c>
      <c r="BH25" s="71">
        <f t="shared" si="65"/>
        <v>2.1895074434610486</v>
      </c>
      <c r="BI25" s="71">
        <f t="shared" si="65"/>
        <v>0.24521280916113583</v>
      </c>
      <c r="BJ25" s="193">
        <f t="shared" si="38"/>
        <v>2.8971782233335031</v>
      </c>
      <c r="BK25" s="71">
        <f t="shared" si="66"/>
        <v>0.47748813727049727</v>
      </c>
      <c r="BL25" s="97"/>
      <c r="BM25" s="98">
        <f t="shared" si="67"/>
        <v>42782</v>
      </c>
      <c r="BN25" s="28">
        <v>6.7000000000000004E-2</v>
      </c>
      <c r="BO25" s="28">
        <v>2.1899999999999999E-2</v>
      </c>
      <c r="BP25" s="28">
        <v>5.8000000000000003E-2</v>
      </c>
      <c r="BQ25" s="28">
        <v>1.9602211784068544E-2</v>
      </c>
      <c r="BR25" s="71">
        <v>0.112</v>
      </c>
      <c r="BS25" s="28">
        <v>1.9697163294325064E-2</v>
      </c>
      <c r="BT25" s="28">
        <v>4.2999999999999997E-2</v>
      </c>
      <c r="BU25" s="28">
        <v>1.6201541027844237E-2</v>
      </c>
      <c r="BV25" s="28">
        <v>8.0000000000000002E-3</v>
      </c>
      <c r="BW25" s="28">
        <v>1.2452714734012686E-2</v>
      </c>
    </row>
    <row r="26" spans="1:75" ht="14" x14ac:dyDescent="0.2">
      <c r="A26">
        <v>34</v>
      </c>
      <c r="B26" s="221">
        <v>35.25</v>
      </c>
      <c r="C26" s="85">
        <v>42783</v>
      </c>
      <c r="D26" s="74">
        <v>2.2424000000000004</v>
      </c>
      <c r="E26" s="171">
        <v>35</v>
      </c>
      <c r="F26" s="223">
        <v>269832</v>
      </c>
      <c r="G26" s="222">
        <v>694</v>
      </c>
      <c r="H26" s="223">
        <v>153</v>
      </c>
      <c r="I26" s="219">
        <v>1847</v>
      </c>
      <c r="J26" s="219">
        <v>196</v>
      </c>
      <c r="K26" s="219">
        <v>3326</v>
      </c>
      <c r="L26" s="219">
        <v>167</v>
      </c>
      <c r="M26" s="219">
        <v>1362</v>
      </c>
      <c r="N26" s="219">
        <v>123</v>
      </c>
      <c r="O26" s="219">
        <v>48</v>
      </c>
      <c r="P26" s="219">
        <v>129</v>
      </c>
      <c r="Q26" s="94">
        <f t="shared" si="43"/>
        <v>0.15431824246197634</v>
      </c>
      <c r="R26" s="94">
        <f t="shared" si="43"/>
        <v>3.4021168727208041E-2</v>
      </c>
      <c r="S26" s="94">
        <f t="shared" si="43"/>
        <v>0.41069999110557681</v>
      </c>
      <c r="T26" s="94">
        <f t="shared" si="43"/>
        <v>4.358267366361291E-2</v>
      </c>
      <c r="U26" s="94">
        <f t="shared" si="43"/>
        <v>0.73957128880192113</v>
      </c>
      <c r="V26" s="94">
        <f t="shared" si="43"/>
        <v>3.7134216846037536E-2</v>
      </c>
      <c r="W26" s="94">
        <f t="shared" si="43"/>
        <v>0.30285510984612646</v>
      </c>
      <c r="X26" s="94">
        <f t="shared" si="43"/>
        <v>2.735035132971627E-2</v>
      </c>
      <c r="Y26" s="94">
        <f t="shared" si="14"/>
        <v>1.0673307835986837E-2</v>
      </c>
      <c r="Z26" s="94">
        <f t="shared" si="44"/>
        <v>2.8684514809214624E-2</v>
      </c>
      <c r="AA26" s="71">
        <f t="shared" si="45"/>
        <v>8.7318242461976336E-2</v>
      </c>
      <c r="AB26" s="80">
        <f t="shared" si="46"/>
        <v>4.046047357069809E-2</v>
      </c>
      <c r="AC26" s="71">
        <f t="shared" si="47"/>
        <v>0.35269999110557682</v>
      </c>
      <c r="AD26" s="80">
        <f t="shared" si="48"/>
        <v>4.7788033549168503E-2</v>
      </c>
      <c r="AE26" s="71">
        <f t="shared" si="49"/>
        <v>0.62757128880192115</v>
      </c>
      <c r="AF26" s="80">
        <f t="shared" si="50"/>
        <v>4.2034846289856286E-2</v>
      </c>
      <c r="AG26" s="71">
        <f t="shared" si="3"/>
        <v>0.25985510984612648</v>
      </c>
      <c r="AH26" s="80">
        <f t="shared" si="51"/>
        <v>3.1788860462996039E-2</v>
      </c>
      <c r="AI26" s="71">
        <f t="shared" si="4"/>
        <v>2.6733078359868368E-3</v>
      </c>
      <c r="AJ26" s="80">
        <f t="shared" si="52"/>
        <v>3.1270936891733027E-2</v>
      </c>
      <c r="AK26" s="95">
        <f t="shared" si="53"/>
        <v>42783</v>
      </c>
      <c r="AL26" s="94">
        <f t="shared" si="54"/>
        <v>34</v>
      </c>
      <c r="AM26" s="94">
        <f t="shared" si="25"/>
        <v>35.25</v>
      </c>
      <c r="AN26" s="94">
        <f t="shared" si="55"/>
        <v>2.2424000000000004</v>
      </c>
      <c r="AO26" s="96">
        <f t="shared" si="55"/>
        <v>35</v>
      </c>
      <c r="AP26" s="71">
        <f t="shared" si="56"/>
        <v>1.4786718124877087</v>
      </c>
      <c r="AQ26" s="80">
        <f t="shared" si="57"/>
        <v>0.67257780250883714</v>
      </c>
      <c r="AR26" s="80"/>
      <c r="AS26" s="193">
        <f t="shared" si="5"/>
        <v>2.5831895449259203</v>
      </c>
      <c r="AT26" s="80">
        <f t="shared" si="58"/>
        <v>0.35128027323450828</v>
      </c>
      <c r="AU26" s="80"/>
      <c r="AV26" s="71">
        <f t="shared" si="6"/>
        <v>1.0567136957705165E-2</v>
      </c>
      <c r="AW26" s="80">
        <f t="shared" si="59"/>
        <v>0.12360876232898044</v>
      </c>
      <c r="AX26" s="80" t="e">
        <f>LN(BA26)</f>
        <v>#NUM!</v>
      </c>
      <c r="AY26" s="80" t="e">
        <f t="shared" si="61"/>
        <v>#NUM!</v>
      </c>
      <c r="BA26" s="194">
        <f t="shared" si="62"/>
        <v>-1.1045177324382116</v>
      </c>
      <c r="BB26" s="80">
        <f t="shared" si="63"/>
        <v>0.75878767174442618</v>
      </c>
      <c r="BC26" s="195" t="s">
        <v>226</v>
      </c>
      <c r="BD26" s="183"/>
      <c r="BE26" s="80"/>
      <c r="BF26" s="71">
        <f t="shared" si="7"/>
        <v>2.6218614468899797</v>
      </c>
      <c r="BG26" s="80">
        <f t="shared" si="64"/>
        <v>0.35524129839783458</v>
      </c>
      <c r="BH26" s="71">
        <f t="shared" si="65"/>
        <v>2.5445176429618614</v>
      </c>
      <c r="BI26" s="71">
        <f t="shared" si="65"/>
        <v>0.17043228380941483</v>
      </c>
      <c r="BJ26" s="193">
        <f t="shared" si="38"/>
        <v>2.8715082157281997</v>
      </c>
      <c r="BK26" s="71">
        <f t="shared" si="66"/>
        <v>0.35128027323450828</v>
      </c>
      <c r="BL26" s="97"/>
      <c r="BM26" s="98">
        <f t="shared" si="67"/>
        <v>42783</v>
      </c>
      <c r="BN26" s="28">
        <v>6.7000000000000004E-2</v>
      </c>
      <c r="BO26" s="28">
        <v>2.1899999999999999E-2</v>
      </c>
      <c r="BP26" s="28">
        <v>5.8000000000000003E-2</v>
      </c>
      <c r="BQ26" s="28">
        <v>1.9602211784068544E-2</v>
      </c>
      <c r="BR26" s="71">
        <v>0.112</v>
      </c>
      <c r="BS26" s="28">
        <v>1.9697163294325064E-2</v>
      </c>
      <c r="BT26" s="28">
        <v>4.2999999999999997E-2</v>
      </c>
      <c r="BU26" s="28">
        <v>1.6201541027844237E-2</v>
      </c>
      <c r="BV26" s="28">
        <v>8.0000000000000002E-3</v>
      </c>
      <c r="BW26" s="28">
        <v>1.2452714734012686E-2</v>
      </c>
    </row>
    <row r="27" spans="1:75" ht="14" x14ac:dyDescent="0.2">
      <c r="A27"/>
      <c r="B27" s="221"/>
      <c r="C27" s="85"/>
      <c r="D27" s="74"/>
      <c r="E27" s="171"/>
      <c r="F27" s="223"/>
      <c r="G27" s="222"/>
      <c r="H27" s="223"/>
      <c r="I27" s="219"/>
      <c r="J27" s="219"/>
      <c r="K27" s="219"/>
      <c r="L27" s="219"/>
      <c r="M27" s="219"/>
      <c r="N27" s="219"/>
      <c r="O27" s="219"/>
      <c r="P27" s="219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71"/>
      <c r="AB27" s="80"/>
      <c r="AC27" s="71"/>
      <c r="AD27" s="80"/>
      <c r="AE27" s="71"/>
      <c r="AF27" s="80"/>
      <c r="AG27" s="71"/>
      <c r="AH27" s="80"/>
      <c r="AI27" s="71"/>
      <c r="AJ27" s="80"/>
      <c r="AK27" s="95"/>
      <c r="AL27" s="94"/>
      <c r="AM27" s="94"/>
      <c r="AN27" s="94"/>
      <c r="AO27" s="96"/>
      <c r="AP27" s="71"/>
      <c r="AQ27" s="80"/>
      <c r="AR27" s="80"/>
      <c r="AS27" s="193"/>
      <c r="AT27" s="80"/>
      <c r="AU27" s="80"/>
      <c r="AV27" s="71"/>
      <c r="AW27" s="80"/>
      <c r="AX27" s="80"/>
      <c r="AY27" s="80"/>
      <c r="BA27" s="194"/>
      <c r="BB27" s="80"/>
      <c r="BC27" s="195"/>
      <c r="BD27" s="183"/>
      <c r="BE27" s="80"/>
      <c r="BF27" s="71"/>
      <c r="BG27" s="80"/>
      <c r="BH27" s="71"/>
      <c r="BI27" s="71"/>
      <c r="BJ27" s="193"/>
      <c r="BK27" s="71"/>
      <c r="BL27" s="97"/>
      <c r="BM27" s="98"/>
      <c r="BR27" s="71"/>
    </row>
    <row r="28" spans="1:75" ht="14" x14ac:dyDescent="0.2">
      <c r="A28"/>
      <c r="B28" s="221"/>
      <c r="C28" s="85"/>
      <c r="D28" s="74"/>
      <c r="E28" s="171"/>
      <c r="F28" s="223"/>
      <c r="G28" s="222"/>
      <c r="H28" s="223"/>
      <c r="I28" s="219"/>
      <c r="J28" s="219"/>
      <c r="K28" s="219"/>
      <c r="L28" s="219"/>
      <c r="M28" s="219"/>
      <c r="N28" s="219"/>
      <c r="O28" s="72"/>
      <c r="P28" s="219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71"/>
      <c r="AB28" s="80"/>
      <c r="AC28" s="71"/>
      <c r="AD28" s="80"/>
      <c r="AE28" s="71"/>
      <c r="AF28" s="80"/>
      <c r="AG28" s="71"/>
      <c r="AH28" s="80"/>
      <c r="AI28" s="71"/>
      <c r="AJ28" s="80"/>
      <c r="AK28" s="95"/>
      <c r="AL28" s="94"/>
      <c r="AM28" s="94"/>
      <c r="AN28" s="94"/>
      <c r="AO28" s="96"/>
      <c r="AP28" s="71"/>
      <c r="AQ28" s="80"/>
      <c r="AR28" s="80"/>
      <c r="AS28" s="193"/>
      <c r="AT28" s="80"/>
      <c r="AU28" s="80"/>
      <c r="AV28" s="71"/>
      <c r="AW28" s="80"/>
      <c r="AX28" s="80"/>
      <c r="AY28" s="80"/>
      <c r="BA28" s="194"/>
      <c r="BB28" s="80"/>
      <c r="BC28" s="195"/>
      <c r="BD28" s="183"/>
      <c r="BE28" s="80"/>
      <c r="BF28" s="71"/>
      <c r="BG28" s="80"/>
      <c r="BH28" s="71"/>
      <c r="BI28" s="71"/>
      <c r="BJ28" s="193"/>
      <c r="BK28" s="71"/>
      <c r="BL28" s="97"/>
      <c r="BM28" s="98"/>
      <c r="BR28" s="71"/>
    </row>
    <row r="29" spans="1:75" ht="14" x14ac:dyDescent="0.2">
      <c r="A29"/>
      <c r="B29" s="221"/>
      <c r="C29" s="85"/>
      <c r="D29" s="74"/>
      <c r="E29" s="171"/>
      <c r="F29" s="223"/>
      <c r="G29" s="223"/>
      <c r="H29" s="223"/>
      <c r="I29" s="219"/>
      <c r="J29" s="219"/>
      <c r="K29" s="219"/>
      <c r="L29" s="219"/>
      <c r="M29" s="219"/>
      <c r="N29" s="219"/>
      <c r="O29" s="219"/>
      <c r="P29" s="219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71"/>
      <c r="AB29" s="80"/>
      <c r="AC29" s="71"/>
      <c r="AD29" s="80"/>
      <c r="AE29" s="71"/>
      <c r="AF29" s="80"/>
      <c r="AG29" s="71"/>
      <c r="AH29" s="80"/>
      <c r="AI29" s="71"/>
      <c r="AJ29" s="80"/>
      <c r="AK29" s="95"/>
      <c r="AL29" s="94"/>
      <c r="AM29" s="94"/>
      <c r="AN29" s="94"/>
      <c r="AO29" s="96"/>
      <c r="AP29" s="71"/>
      <c r="AQ29" s="80"/>
      <c r="AR29" s="80"/>
      <c r="AS29" s="193"/>
      <c r="AT29" s="80"/>
      <c r="AU29" s="80"/>
      <c r="AV29" s="71"/>
      <c r="AW29" s="80"/>
      <c r="AX29" s="80"/>
      <c r="AY29" s="80"/>
      <c r="BA29" s="194"/>
      <c r="BB29" s="80"/>
      <c r="BC29" s="195"/>
      <c r="BD29" s="183"/>
      <c r="BE29" s="80"/>
      <c r="BF29" s="71"/>
      <c r="BG29" s="80"/>
      <c r="BH29" s="71"/>
      <c r="BI29" s="71"/>
      <c r="BJ29" s="193"/>
      <c r="BK29" s="71"/>
      <c r="BL29" s="97"/>
      <c r="BM29" s="98"/>
      <c r="BR29" s="71"/>
    </row>
    <row r="30" spans="1:75" ht="14" x14ac:dyDescent="0.2">
      <c r="A30" s="72"/>
      <c r="B30" s="221"/>
      <c r="C30" s="85"/>
      <c r="D30" s="74"/>
      <c r="E30" s="171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71"/>
      <c r="AB30" s="80"/>
      <c r="AC30" s="71"/>
      <c r="AD30" s="80"/>
      <c r="AE30" s="71"/>
      <c r="AF30" s="80"/>
      <c r="AG30" s="71"/>
      <c r="AH30" s="80"/>
      <c r="AI30" s="71"/>
      <c r="AJ30" s="80"/>
      <c r="AK30" s="95"/>
      <c r="AL30" s="94"/>
      <c r="AM30" s="94"/>
      <c r="AN30" s="94"/>
      <c r="AO30" s="96"/>
      <c r="AP30" s="71"/>
      <c r="AQ30" s="80"/>
      <c r="AR30" s="80"/>
      <c r="AS30" s="193"/>
      <c r="AT30" s="80"/>
      <c r="AU30" s="80"/>
      <c r="AV30" s="71"/>
      <c r="AW30" s="80"/>
      <c r="AX30" s="80"/>
      <c r="AY30" s="80"/>
      <c r="BA30" s="194"/>
      <c r="BB30" s="80"/>
      <c r="BC30" s="195"/>
      <c r="BD30" s="183"/>
      <c r="BE30" s="80"/>
      <c r="BF30" s="71"/>
      <c r="BG30" s="80"/>
      <c r="BH30" s="71"/>
      <c r="BI30" s="71"/>
      <c r="BJ30" s="193"/>
      <c r="BK30" s="71"/>
      <c r="BL30" s="97"/>
      <c r="BM30" s="98"/>
      <c r="BR30" s="71"/>
    </row>
    <row r="31" spans="1:75" ht="14" x14ac:dyDescent="0.2">
      <c r="A31" s="223"/>
      <c r="B31" s="221"/>
      <c r="C31" s="85"/>
      <c r="D31" s="74"/>
      <c r="E31" s="171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71"/>
      <c r="AB31" s="80"/>
      <c r="AC31" s="71"/>
      <c r="AD31" s="80"/>
      <c r="AE31" s="71"/>
      <c r="AF31" s="80"/>
      <c r="AG31" s="71"/>
      <c r="AH31" s="80"/>
      <c r="AI31" s="71"/>
      <c r="AJ31" s="80"/>
      <c r="AK31" s="95"/>
      <c r="AL31" s="94"/>
      <c r="AM31" s="94"/>
      <c r="AN31" s="94"/>
      <c r="AO31" s="96"/>
      <c r="AP31" s="71"/>
      <c r="AQ31" s="80"/>
      <c r="AR31" s="80"/>
      <c r="AS31" s="193"/>
      <c r="AT31" s="80"/>
      <c r="AU31" s="80"/>
      <c r="AV31" s="71"/>
      <c r="AW31" s="80"/>
      <c r="AX31" s="80"/>
      <c r="AY31" s="80"/>
      <c r="BA31" s="194"/>
      <c r="BB31" s="80"/>
      <c r="BC31" s="195"/>
      <c r="BD31" s="183"/>
      <c r="BE31" s="80"/>
      <c r="BF31" s="71"/>
      <c r="BG31" s="80"/>
      <c r="BH31" s="71"/>
      <c r="BI31" s="71"/>
      <c r="BJ31" s="193"/>
      <c r="BK31" s="71"/>
      <c r="BL31" s="97"/>
      <c r="BM31" s="98"/>
      <c r="BR31" s="71"/>
    </row>
    <row r="32" spans="1:75" ht="14" x14ac:dyDescent="0.2">
      <c r="A32" s="223"/>
      <c r="B32" s="221"/>
      <c r="C32" s="85"/>
      <c r="D32" s="74"/>
      <c r="E32" s="171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71"/>
      <c r="AB32" s="80"/>
      <c r="AC32" s="71"/>
      <c r="AD32" s="80"/>
      <c r="AE32" s="71"/>
      <c r="AF32" s="80"/>
      <c r="AG32" s="71"/>
      <c r="AH32" s="80"/>
      <c r="AI32" s="71"/>
      <c r="AJ32" s="80"/>
      <c r="AK32" s="95"/>
      <c r="AL32" s="94"/>
      <c r="AM32" s="94"/>
      <c r="AN32" s="94"/>
      <c r="AO32" s="96"/>
      <c r="AP32" s="71"/>
      <c r="AQ32" s="80"/>
      <c r="AR32" s="80"/>
      <c r="AS32" s="193"/>
      <c r="AT32" s="80"/>
      <c r="AU32" s="80"/>
      <c r="AV32" s="71"/>
      <c r="AW32" s="80"/>
      <c r="AX32" s="80"/>
      <c r="AY32" s="80"/>
      <c r="BA32" s="194"/>
      <c r="BB32" s="80"/>
      <c r="BC32" s="195"/>
      <c r="BD32" s="183"/>
      <c r="BE32" s="80"/>
      <c r="BF32" s="71"/>
      <c r="BG32" s="80"/>
      <c r="BH32" s="71"/>
      <c r="BI32" s="71"/>
      <c r="BJ32" s="193"/>
      <c r="BK32" s="71"/>
      <c r="BL32" s="97"/>
      <c r="BM32" s="98"/>
      <c r="BR32" s="71"/>
    </row>
    <row r="33" spans="1:70" ht="14" x14ac:dyDescent="0.2">
      <c r="A33" s="72"/>
      <c r="B33" s="221"/>
      <c r="C33" s="85"/>
      <c r="D33" s="74"/>
      <c r="E33" s="171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71"/>
      <c r="AB33" s="80"/>
      <c r="AC33" s="71"/>
      <c r="AD33" s="80"/>
      <c r="AE33" s="71"/>
      <c r="AF33" s="80"/>
      <c r="AG33" s="71"/>
      <c r="AH33" s="80"/>
      <c r="AI33" s="71"/>
      <c r="AJ33" s="80"/>
      <c r="AK33" s="95"/>
      <c r="AL33" s="94"/>
      <c r="AM33" s="94"/>
      <c r="AN33" s="94"/>
      <c r="AO33" s="96"/>
      <c r="AP33" s="71"/>
      <c r="AQ33" s="80"/>
      <c r="AR33" s="80"/>
      <c r="AS33" s="193"/>
      <c r="AT33" s="80"/>
      <c r="AU33" s="80"/>
      <c r="AV33" s="71"/>
      <c r="AW33" s="80"/>
      <c r="AX33" s="80"/>
      <c r="AY33" s="80"/>
      <c r="BA33" s="194"/>
      <c r="BB33" s="80"/>
      <c r="BC33" s="195"/>
      <c r="BD33" s="183"/>
      <c r="BE33" s="80"/>
      <c r="BF33" s="71"/>
      <c r="BG33" s="80"/>
      <c r="BH33" s="71"/>
      <c r="BI33" s="71"/>
      <c r="BJ33" s="193"/>
      <c r="BK33" s="71"/>
      <c r="BL33" s="97"/>
      <c r="BM33" s="98"/>
      <c r="BR33" s="71"/>
    </row>
    <row r="34" spans="1:70" ht="14" x14ac:dyDescent="0.2">
      <c r="A34" s="223"/>
      <c r="B34" s="221"/>
      <c r="C34" s="85"/>
      <c r="D34" s="74"/>
      <c r="E34" s="171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71"/>
      <c r="AB34" s="80"/>
      <c r="AC34" s="71"/>
      <c r="AD34" s="80"/>
      <c r="AE34" s="71"/>
      <c r="AF34" s="80"/>
      <c r="AG34" s="71"/>
      <c r="AH34" s="80"/>
      <c r="AI34" s="71"/>
      <c r="AJ34" s="80"/>
      <c r="AK34" s="95"/>
      <c r="AL34" s="94"/>
      <c r="AM34" s="94"/>
      <c r="AN34" s="94"/>
      <c r="AO34" s="96"/>
      <c r="AP34" s="71"/>
      <c r="AQ34" s="80"/>
      <c r="AR34" s="80"/>
      <c r="AS34" s="193"/>
      <c r="AT34" s="80"/>
      <c r="AU34" s="80"/>
      <c r="AV34" s="71"/>
      <c r="AW34" s="80"/>
      <c r="AX34" s="80"/>
      <c r="AY34" s="80"/>
      <c r="BA34" s="194"/>
      <c r="BB34" s="80"/>
      <c r="BC34" s="195"/>
      <c r="BD34" s="183"/>
      <c r="BE34" s="80"/>
      <c r="BF34" s="71"/>
      <c r="BG34" s="80"/>
      <c r="BH34" s="71"/>
      <c r="BI34" s="71"/>
      <c r="BJ34" s="193"/>
      <c r="BK34" s="71"/>
      <c r="BL34" s="97"/>
      <c r="BM34" s="98"/>
      <c r="BR34" s="71"/>
    </row>
    <row r="35" spans="1:70" ht="14" x14ac:dyDescent="0.2">
      <c r="A35" s="221"/>
      <c r="C35" s="85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71"/>
      <c r="AB35" s="80"/>
      <c r="AC35" s="71"/>
      <c r="AD35" s="80"/>
      <c r="AE35" s="71"/>
      <c r="AF35" s="80"/>
      <c r="AG35" s="71"/>
      <c r="AH35" s="80"/>
      <c r="AI35" s="71"/>
      <c r="AJ35" s="80"/>
      <c r="AK35" s="95"/>
      <c r="AL35" s="94"/>
      <c r="AM35" s="94"/>
      <c r="AN35" s="94"/>
      <c r="AO35" s="96"/>
      <c r="AP35" s="71"/>
      <c r="AQ35" s="80"/>
      <c r="AR35" s="80"/>
      <c r="AS35" s="193"/>
      <c r="AT35" s="80"/>
      <c r="AU35" s="80"/>
      <c r="AV35" s="71"/>
      <c r="AW35" s="80"/>
      <c r="AX35" s="80"/>
      <c r="AY35" s="80"/>
      <c r="BA35" s="194"/>
      <c r="BB35" s="80"/>
      <c r="BC35" s="195"/>
      <c r="BD35" s="183"/>
      <c r="BE35" s="80"/>
      <c r="BF35" s="71"/>
      <c r="BG35" s="80"/>
      <c r="BH35" s="71"/>
      <c r="BI35" s="71"/>
      <c r="BJ35" s="193"/>
      <c r="BK35" s="71"/>
      <c r="BL35" s="97"/>
      <c r="BM35" s="98"/>
      <c r="BR35" s="71"/>
    </row>
    <row r="36" spans="1:70" ht="14" x14ac:dyDescent="0.2">
      <c r="A36" s="221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71"/>
      <c r="AB36" s="80"/>
      <c r="AC36" s="71"/>
      <c r="AD36" s="80"/>
      <c r="AE36" s="71"/>
      <c r="AF36" s="80"/>
      <c r="AG36" s="71"/>
      <c r="AH36" s="80"/>
      <c r="AI36" s="71"/>
      <c r="AJ36" s="80"/>
      <c r="AK36" s="95"/>
      <c r="AL36" s="94"/>
      <c r="AM36" s="94"/>
      <c r="AN36" s="94"/>
      <c r="AO36" s="96"/>
      <c r="AP36" s="71"/>
      <c r="AQ36" s="80"/>
      <c r="AR36" s="80"/>
      <c r="AS36" s="193"/>
      <c r="AT36" s="80"/>
      <c r="AU36" s="80"/>
      <c r="AV36" s="71"/>
      <c r="AW36" s="80"/>
      <c r="AX36" s="80"/>
      <c r="AY36" s="80"/>
      <c r="BA36" s="194"/>
      <c r="BB36" s="80"/>
      <c r="BC36" s="195"/>
      <c r="BD36" s="183"/>
      <c r="BE36" s="80"/>
      <c r="BF36" s="71"/>
      <c r="BG36" s="80"/>
      <c r="BH36" s="71"/>
      <c r="BI36" s="71"/>
      <c r="BJ36" s="193"/>
      <c r="BK36" s="71"/>
      <c r="BL36" s="97"/>
      <c r="BM36" s="98"/>
      <c r="BR36" s="71"/>
    </row>
    <row r="37" spans="1:70" ht="14" x14ac:dyDescent="0.2">
      <c r="A37" s="221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71"/>
      <c r="AB37" s="80"/>
      <c r="AC37" s="71"/>
      <c r="AD37" s="80"/>
      <c r="AE37" s="71"/>
      <c r="AF37" s="80"/>
      <c r="AG37" s="71"/>
      <c r="AH37" s="80"/>
      <c r="AI37" s="71"/>
      <c r="AJ37" s="80"/>
      <c r="AK37" s="95"/>
      <c r="AL37" s="94"/>
      <c r="AM37" s="94"/>
      <c r="AN37" s="94"/>
      <c r="AO37" s="96"/>
      <c r="AP37" s="71"/>
      <c r="AQ37" s="80"/>
      <c r="AR37" s="80"/>
      <c r="AS37" s="193"/>
      <c r="AT37" s="80"/>
      <c r="AU37" s="80"/>
      <c r="AV37" s="71"/>
      <c r="AW37" s="80"/>
      <c r="AX37" s="80"/>
      <c r="AY37" s="80"/>
      <c r="BA37" s="194"/>
      <c r="BB37" s="80"/>
      <c r="BC37" s="195"/>
      <c r="BD37" s="183"/>
      <c r="BE37" s="80"/>
      <c r="BF37" s="71"/>
      <c r="BG37" s="80"/>
      <c r="BH37" s="71"/>
      <c r="BI37" s="71"/>
      <c r="BJ37" s="193"/>
      <c r="BK37" s="71"/>
      <c r="BL37" s="97"/>
      <c r="BM37" s="98"/>
      <c r="BR37" s="71"/>
    </row>
    <row r="38" spans="1:70" ht="14" x14ac:dyDescent="0.2">
      <c r="A38" s="221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71"/>
      <c r="AB38" s="80"/>
      <c r="AC38" s="71"/>
      <c r="AD38" s="80"/>
      <c r="AE38" s="71"/>
      <c r="AF38" s="80"/>
      <c r="AG38" s="71"/>
      <c r="AH38" s="80"/>
      <c r="AI38" s="71"/>
      <c r="AJ38" s="80"/>
      <c r="AK38" s="95"/>
      <c r="AL38" s="94"/>
      <c r="AM38" s="94"/>
      <c r="AN38" s="94"/>
      <c r="AO38" s="96"/>
      <c r="AP38" s="71"/>
      <c r="AQ38" s="80"/>
      <c r="AR38" s="80"/>
      <c r="AS38" s="193"/>
      <c r="AT38" s="80"/>
      <c r="AU38" s="80"/>
      <c r="AV38" s="71"/>
      <c r="AW38" s="80"/>
      <c r="AX38" s="80"/>
      <c r="AY38" s="80"/>
      <c r="BA38" s="194"/>
      <c r="BB38" s="80"/>
      <c r="BC38" s="195"/>
      <c r="BD38" s="183"/>
      <c r="BE38" s="80"/>
      <c r="BF38" s="71"/>
      <c r="BG38" s="80"/>
      <c r="BH38" s="71"/>
      <c r="BI38" s="71"/>
      <c r="BJ38" s="193"/>
      <c r="BK38" s="71"/>
      <c r="BL38" s="97"/>
      <c r="BM38" s="98"/>
      <c r="BR38" s="71"/>
    </row>
    <row r="39" spans="1:70" ht="14" x14ac:dyDescent="0.2">
      <c r="A39" s="221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71"/>
      <c r="AB39" s="80"/>
      <c r="AC39" s="71"/>
      <c r="AD39" s="80"/>
      <c r="AE39" s="71"/>
      <c r="AF39" s="80"/>
      <c r="AG39" s="71"/>
      <c r="AH39" s="80"/>
      <c r="AI39" s="71"/>
      <c r="AJ39" s="80"/>
      <c r="AK39" s="95"/>
      <c r="AL39" s="94"/>
      <c r="AM39" s="94"/>
      <c r="AN39" s="94"/>
      <c r="AO39" s="96"/>
      <c r="AP39" s="71"/>
      <c r="AQ39" s="80"/>
      <c r="AR39" s="80"/>
      <c r="AS39" s="193"/>
      <c r="AT39" s="80"/>
      <c r="AU39" s="80"/>
      <c r="AV39" s="71"/>
      <c r="AW39" s="80"/>
      <c r="AX39" s="80"/>
      <c r="AY39" s="80"/>
      <c r="BA39" s="194"/>
      <c r="BB39" s="80"/>
      <c r="BC39" s="195"/>
      <c r="BD39" s="183"/>
      <c r="BE39" s="80"/>
      <c r="BF39" s="71"/>
      <c r="BG39" s="80"/>
      <c r="BH39" s="71"/>
      <c r="BI39" s="71"/>
      <c r="BJ39" s="193"/>
      <c r="BK39" s="71"/>
      <c r="BL39" s="97"/>
      <c r="BM39" s="98"/>
      <c r="BR39" s="71"/>
    </row>
    <row r="40" spans="1:70" ht="14" x14ac:dyDescent="0.2">
      <c r="A40" s="221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71"/>
      <c r="AB40" s="80"/>
      <c r="AC40" s="71"/>
      <c r="AD40" s="80"/>
      <c r="AE40" s="71"/>
      <c r="AF40" s="80"/>
      <c r="AG40" s="71"/>
      <c r="AH40" s="80"/>
      <c r="AI40" s="71"/>
      <c r="AJ40" s="80"/>
      <c r="AK40" s="95"/>
      <c r="AL40" s="94"/>
      <c r="AM40" s="94"/>
      <c r="AN40" s="94"/>
      <c r="AO40" s="96"/>
      <c r="AP40" s="71"/>
      <c r="AQ40" s="80"/>
      <c r="AR40" s="80"/>
      <c r="AS40" s="193"/>
      <c r="AT40" s="80"/>
      <c r="AU40" s="80"/>
      <c r="AV40" s="71"/>
      <c r="AW40" s="80"/>
      <c r="AX40" s="80"/>
      <c r="AY40" s="80"/>
      <c r="BA40" s="194"/>
      <c r="BB40" s="80"/>
      <c r="BC40" s="195"/>
      <c r="BD40" s="183"/>
      <c r="BE40" s="80"/>
      <c r="BF40" s="71"/>
      <c r="BG40" s="80"/>
      <c r="BH40" s="71"/>
      <c r="BI40" s="71"/>
      <c r="BJ40" s="193"/>
      <c r="BK40" s="71"/>
      <c r="BL40" s="97"/>
      <c r="BM40" s="98"/>
      <c r="BR40" s="71"/>
    </row>
    <row r="41" spans="1:70" ht="14" x14ac:dyDescent="0.2">
      <c r="A41" s="221"/>
      <c r="E41" s="28" t="s">
        <v>246</v>
      </c>
      <c r="F41" s="28" t="s">
        <v>247</v>
      </c>
      <c r="G41" s="28" t="s">
        <v>248</v>
      </c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71"/>
      <c r="AB41" s="80"/>
      <c r="AC41" s="71"/>
      <c r="AD41" s="80"/>
      <c r="AE41" s="71"/>
      <c r="AF41" s="80"/>
      <c r="AG41" s="71"/>
      <c r="AH41" s="80"/>
      <c r="AI41" s="71"/>
      <c r="AJ41" s="80"/>
      <c r="AK41" s="95"/>
      <c r="AL41" s="94"/>
      <c r="AM41" s="94"/>
      <c r="AN41" s="94"/>
      <c r="AO41" s="96"/>
      <c r="AP41" s="71"/>
      <c r="AQ41" s="80"/>
      <c r="AR41" s="80"/>
      <c r="AS41" s="193"/>
      <c r="AT41" s="80"/>
      <c r="AU41" s="80"/>
      <c r="AV41" s="71"/>
      <c r="AW41" s="80"/>
      <c r="AX41" s="80"/>
      <c r="AY41" s="80"/>
      <c r="BA41" s="194"/>
      <c r="BB41" s="80"/>
      <c r="BC41" s="195"/>
      <c r="BD41" s="183"/>
      <c r="BE41" s="80"/>
      <c r="BF41" s="71"/>
      <c r="BG41" s="80"/>
      <c r="BH41" s="71"/>
      <c r="BI41" s="71"/>
      <c r="BJ41" s="193"/>
      <c r="BK41" s="71"/>
      <c r="BL41" s="97"/>
      <c r="BM41" s="98"/>
      <c r="BR41" s="71"/>
    </row>
    <row r="42" spans="1:70" ht="14" x14ac:dyDescent="0.2">
      <c r="A42" s="221"/>
      <c r="D42">
        <v>1</v>
      </c>
      <c r="E42" s="94">
        <v>3.5874999999999999</v>
      </c>
      <c r="F42" s="28">
        <v>5.4741999999999997</v>
      </c>
      <c r="G42" s="74">
        <f t="shared" ref="G42:G53" si="68">F42-E42</f>
        <v>1.8866999999999998</v>
      </c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71"/>
      <c r="AB42" s="80"/>
      <c r="AC42" s="71"/>
      <c r="AD42" s="80"/>
      <c r="AE42" s="71"/>
      <c r="AF42" s="80"/>
      <c r="AG42" s="71"/>
      <c r="AH42" s="80"/>
      <c r="AI42" s="71"/>
      <c r="AJ42" s="80"/>
      <c r="AK42" s="95"/>
      <c r="AL42" s="94"/>
      <c r="AM42" s="94"/>
      <c r="AN42" s="94"/>
      <c r="AO42" s="96"/>
      <c r="AP42" s="71"/>
      <c r="AQ42" s="80"/>
      <c r="AR42" s="80"/>
      <c r="AS42" s="193"/>
      <c r="AT42" s="80"/>
      <c r="AU42" s="80"/>
      <c r="AV42" s="71"/>
      <c r="AW42" s="80"/>
      <c r="AX42" s="80"/>
      <c r="AY42" s="80"/>
      <c r="BA42" s="194"/>
      <c r="BB42" s="80"/>
      <c r="BC42" s="195"/>
      <c r="BD42" s="183"/>
      <c r="BE42" s="80"/>
      <c r="BF42" s="71"/>
      <c r="BG42" s="80"/>
      <c r="BH42" s="71"/>
      <c r="BI42" s="71"/>
      <c r="BJ42" s="193"/>
      <c r="BK42" s="71"/>
      <c r="BL42" s="97"/>
      <c r="BM42" s="98"/>
      <c r="BR42" s="71"/>
    </row>
    <row r="43" spans="1:70" ht="14" x14ac:dyDescent="0.2">
      <c r="A43" s="221"/>
      <c r="D43">
        <v>2</v>
      </c>
      <c r="E43" s="94">
        <v>3.5750999999999999</v>
      </c>
      <c r="F43" s="28">
        <v>5.4755000000000003</v>
      </c>
      <c r="G43" s="74">
        <f t="shared" si="68"/>
        <v>1.9004000000000003</v>
      </c>
    </row>
    <row r="44" spans="1:70" ht="14" x14ac:dyDescent="0.2">
      <c r="A44" s="221"/>
      <c r="D44">
        <v>3</v>
      </c>
      <c r="E44" s="94">
        <v>3.5777000000000001</v>
      </c>
      <c r="F44" s="28">
        <v>5.4508999999999999</v>
      </c>
      <c r="G44" s="74">
        <f t="shared" si="68"/>
        <v>1.8731999999999998</v>
      </c>
    </row>
    <row r="45" spans="1:70" ht="14" x14ac:dyDescent="0.2">
      <c r="A45" s="221"/>
      <c r="D45">
        <v>4</v>
      </c>
      <c r="E45" s="94">
        <v>3.6476999999999999</v>
      </c>
      <c r="F45" s="28">
        <v>5.6493000000000002</v>
      </c>
      <c r="G45" s="74">
        <f t="shared" si="68"/>
        <v>2.0016000000000003</v>
      </c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3"/>
    </row>
    <row r="46" spans="1:70" ht="14" x14ac:dyDescent="0.2">
      <c r="A46" s="221"/>
      <c r="D46">
        <v>5</v>
      </c>
      <c r="E46" s="28">
        <v>3.6217999999999999</v>
      </c>
      <c r="F46" s="28">
        <v>5.843</v>
      </c>
      <c r="G46" s="74">
        <f t="shared" si="68"/>
        <v>2.2212000000000001</v>
      </c>
      <c r="L46" s="171"/>
      <c r="M46" s="171"/>
      <c r="N46" s="171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</row>
    <row r="47" spans="1:70" x14ac:dyDescent="0.15">
      <c r="A47" s="221"/>
      <c r="D47">
        <v>6</v>
      </c>
      <c r="E47" s="28">
        <v>3.5920000000000001</v>
      </c>
      <c r="F47" s="28">
        <v>6.2662000000000004</v>
      </c>
      <c r="G47" s="74">
        <f t="shared" si="68"/>
        <v>2.6742000000000004</v>
      </c>
    </row>
    <row r="48" spans="1:70" x14ac:dyDescent="0.15">
      <c r="A48" s="221"/>
      <c r="D48">
        <v>7</v>
      </c>
      <c r="E48" s="28">
        <v>3.5994000000000002</v>
      </c>
      <c r="F48" s="28">
        <v>6.0602999999999998</v>
      </c>
      <c r="G48" s="74">
        <f t="shared" si="68"/>
        <v>2.4608999999999996</v>
      </c>
    </row>
    <row r="49" spans="4:7" x14ac:dyDescent="0.15">
      <c r="D49">
        <v>8</v>
      </c>
      <c r="E49" s="28">
        <v>3.6214</v>
      </c>
      <c r="F49" s="28">
        <v>6.0846999999999998</v>
      </c>
      <c r="G49" s="74">
        <f t="shared" si="68"/>
        <v>2.4632999999999998</v>
      </c>
    </row>
    <row r="50" spans="4:7" x14ac:dyDescent="0.15">
      <c r="D50">
        <v>9</v>
      </c>
      <c r="E50" s="28">
        <v>3.6232000000000002</v>
      </c>
      <c r="F50" s="28">
        <v>6.1136999999999997</v>
      </c>
      <c r="G50" s="74">
        <f t="shared" si="68"/>
        <v>2.4904999999999995</v>
      </c>
    </row>
    <row r="51" spans="4:7" x14ac:dyDescent="0.15">
      <c r="D51">
        <v>10</v>
      </c>
      <c r="E51" s="28">
        <v>3.6918000000000002</v>
      </c>
      <c r="F51" s="28">
        <v>6.0571000000000002</v>
      </c>
      <c r="G51" s="74">
        <f t="shared" si="68"/>
        <v>2.3653</v>
      </c>
    </row>
    <row r="52" spans="4:7" x14ac:dyDescent="0.15">
      <c r="D52">
        <v>11</v>
      </c>
      <c r="E52" s="28">
        <v>3.6358999999999999</v>
      </c>
      <c r="F52" s="28">
        <v>6.1943999999999999</v>
      </c>
      <c r="G52" s="74">
        <f t="shared" si="68"/>
        <v>2.5585</v>
      </c>
    </row>
    <row r="53" spans="4:7" x14ac:dyDescent="0.15">
      <c r="D53">
        <v>12</v>
      </c>
      <c r="E53" s="28">
        <v>3.5771999999999999</v>
      </c>
      <c r="F53" s="28">
        <v>5.8196000000000003</v>
      </c>
      <c r="G53" s="74">
        <f t="shared" si="68"/>
        <v>2.2424000000000004</v>
      </c>
    </row>
    <row r="54" spans="4:7" x14ac:dyDescent="0.15">
      <c r="D54"/>
      <c r="G54" s="74"/>
    </row>
    <row r="55" spans="4:7" x14ac:dyDescent="0.15">
      <c r="D55"/>
      <c r="G55" s="74"/>
    </row>
    <row r="56" spans="4:7" x14ac:dyDescent="0.15">
      <c r="D56"/>
      <c r="G56" s="74"/>
    </row>
    <row r="57" spans="4:7" x14ac:dyDescent="0.15">
      <c r="D57"/>
      <c r="G57" s="74"/>
    </row>
    <row r="58" spans="4:7" x14ac:dyDescent="0.15">
      <c r="D58"/>
      <c r="G58" s="74"/>
    </row>
    <row r="59" spans="4:7" x14ac:dyDescent="0.15">
      <c r="D59"/>
      <c r="G59" s="74"/>
    </row>
    <row r="60" spans="4:7" x14ac:dyDescent="0.15">
      <c r="D60"/>
      <c r="G60" s="74"/>
    </row>
    <row r="61" spans="4:7" x14ac:dyDescent="0.15">
      <c r="D61"/>
      <c r="G61" s="74"/>
    </row>
    <row r="62" spans="4:7" x14ac:dyDescent="0.15">
      <c r="D62" s="28" t="s">
        <v>203</v>
      </c>
    </row>
  </sheetData>
  <phoneticPr fontId="17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tabSelected="1" zoomScale="75" workbookViewId="0">
      <selection activeCell="Y24" sqref="Y24"/>
    </sheetView>
  </sheetViews>
  <sheetFormatPr baseColWidth="10" defaultColWidth="8.6640625" defaultRowHeight="13" x14ac:dyDescent="0.15"/>
  <cols>
    <col min="1" max="1" width="15.6640625" customWidth="1"/>
    <col min="2" max="2" width="12.6640625" customWidth="1"/>
    <col min="3" max="3" width="9.83203125" style="143" customWidth="1"/>
    <col min="4" max="7" width="8.6640625" customWidth="1"/>
    <col min="8" max="8" width="3.1640625" customWidth="1"/>
    <col min="9" max="10" width="8.6640625" customWidth="1"/>
    <col min="11" max="11" width="3.5" customWidth="1"/>
    <col min="12" max="13" width="8.6640625" customWidth="1"/>
    <col min="14" max="14" width="11.83203125" customWidth="1"/>
    <col min="15" max="15" width="9.5" customWidth="1"/>
    <col min="16" max="20" width="8.6640625" customWidth="1"/>
    <col min="21" max="21" width="11.5" customWidth="1"/>
    <col min="22" max="22" width="13.1640625" customWidth="1"/>
    <col min="23" max="23" width="13.6640625" customWidth="1"/>
    <col min="24" max="27" width="8.6640625" customWidth="1"/>
    <col min="28" max="28" width="9.1640625" customWidth="1"/>
    <col min="29" max="29" width="10.5" customWidth="1"/>
  </cols>
  <sheetData>
    <row r="1" spans="1:56" ht="16" x14ac:dyDescent="0.2">
      <c r="A1" s="162" t="s">
        <v>39</v>
      </c>
      <c r="B1" s="163"/>
      <c r="C1" s="71"/>
      <c r="D1" s="28"/>
      <c r="E1" s="73"/>
      <c r="F1" s="73"/>
      <c r="G1" s="73"/>
      <c r="H1" s="73"/>
      <c r="I1" s="73"/>
      <c r="J1" s="73"/>
      <c r="K1" s="164"/>
      <c r="L1" s="164"/>
      <c r="M1" s="164"/>
      <c r="N1" s="164"/>
      <c r="O1" s="164"/>
      <c r="P1" s="164"/>
      <c r="R1" s="165"/>
      <c r="S1" s="165"/>
      <c r="T1" s="71"/>
      <c r="U1" s="143"/>
      <c r="W1" s="72"/>
      <c r="X1" s="72"/>
      <c r="Y1" s="73"/>
      <c r="Z1" s="71"/>
      <c r="AA1" s="28"/>
      <c r="AC1" s="28"/>
      <c r="AD1" s="71"/>
      <c r="AE1" s="71"/>
      <c r="AF1" s="71"/>
      <c r="AG1" s="71"/>
      <c r="AH1" s="28"/>
      <c r="AI1" s="28"/>
      <c r="AJ1" s="73"/>
      <c r="AK1" s="73"/>
      <c r="AL1" s="71"/>
      <c r="AM1" s="73"/>
      <c r="AN1" s="71"/>
      <c r="AO1" s="72"/>
      <c r="AP1" s="73"/>
      <c r="AQ1" s="164"/>
      <c r="AR1" s="73"/>
      <c r="AS1" s="73"/>
      <c r="AT1" s="28"/>
      <c r="AU1" s="28"/>
      <c r="AW1" s="73"/>
      <c r="AX1" s="28"/>
      <c r="BB1" s="71"/>
      <c r="BC1" s="74"/>
      <c r="BD1" s="74"/>
    </row>
    <row r="2" spans="1:56" ht="14" x14ac:dyDescent="0.2">
      <c r="A2" s="166" t="s">
        <v>40</v>
      </c>
      <c r="B2" s="163"/>
      <c r="C2" s="71"/>
      <c r="D2" s="28"/>
      <c r="E2" s="73"/>
      <c r="F2" s="73"/>
      <c r="G2" s="73"/>
      <c r="H2" s="73"/>
      <c r="I2" s="73"/>
      <c r="J2" s="73"/>
      <c r="K2" s="164"/>
      <c r="L2" s="164"/>
      <c r="M2" s="164"/>
      <c r="N2" s="164"/>
      <c r="O2" s="164"/>
      <c r="P2" s="164"/>
      <c r="R2" s="165"/>
      <c r="S2" s="165"/>
      <c r="T2" s="71"/>
      <c r="U2" s="143"/>
      <c r="W2" s="72"/>
      <c r="X2" s="72"/>
      <c r="Y2" s="73"/>
      <c r="Z2" s="71"/>
      <c r="AA2" s="28"/>
      <c r="AC2" s="28"/>
      <c r="AD2" s="71"/>
      <c r="AE2" s="71"/>
      <c r="AF2" s="71"/>
      <c r="AG2" s="71"/>
      <c r="AH2" s="28"/>
      <c r="AI2" s="28"/>
      <c r="AJ2" s="73"/>
      <c r="AK2" s="73"/>
      <c r="AL2" s="71"/>
      <c r="AM2" s="73"/>
      <c r="AN2" s="71"/>
      <c r="AO2" s="72"/>
      <c r="AP2" s="73"/>
      <c r="AQ2" s="164"/>
      <c r="AR2" s="73"/>
      <c r="AS2" s="73"/>
      <c r="AT2" s="28"/>
      <c r="AU2" s="28"/>
      <c r="AW2" s="73"/>
      <c r="AX2" s="28"/>
      <c r="BB2" s="71"/>
      <c r="BC2" s="74"/>
      <c r="BD2" s="74"/>
    </row>
    <row r="3" spans="1:56" s="82" customFormat="1" ht="14" x14ac:dyDescent="0.2">
      <c r="A3" s="166" t="s">
        <v>41</v>
      </c>
      <c r="B3" s="167"/>
      <c r="C3" s="81"/>
      <c r="D3" s="75"/>
      <c r="E3" s="168"/>
      <c r="F3" s="168"/>
      <c r="G3" s="168"/>
      <c r="H3" s="168"/>
      <c r="I3" s="168"/>
      <c r="J3" s="168"/>
      <c r="K3" s="169"/>
      <c r="L3" s="169"/>
      <c r="M3" s="169"/>
      <c r="N3" s="169"/>
      <c r="O3" s="169"/>
      <c r="P3" s="169"/>
      <c r="R3" s="93"/>
      <c r="S3" s="93"/>
      <c r="T3" s="81"/>
      <c r="U3" s="170"/>
      <c r="W3" s="171"/>
      <c r="X3" s="171"/>
      <c r="Y3" s="168"/>
      <c r="Z3" s="81"/>
      <c r="AA3" s="75"/>
      <c r="AC3" s="75"/>
      <c r="AD3" s="81"/>
      <c r="AE3" s="81"/>
      <c r="AF3" s="81"/>
      <c r="AG3" s="81"/>
      <c r="AH3" s="75"/>
      <c r="AI3" s="75"/>
      <c r="AJ3" s="168"/>
      <c r="AK3" s="168"/>
      <c r="AL3" s="81"/>
      <c r="AM3" s="168"/>
      <c r="AN3" s="81"/>
      <c r="AO3" s="171"/>
      <c r="AP3" s="168"/>
      <c r="AQ3" s="169"/>
      <c r="AR3" s="168"/>
      <c r="AS3" s="168"/>
      <c r="AT3" s="75"/>
      <c r="AU3" s="75"/>
      <c r="AW3" s="168"/>
      <c r="AX3" s="75"/>
      <c r="BB3" s="81"/>
      <c r="BC3" s="83"/>
      <c r="BD3" s="83"/>
    </row>
    <row r="4" spans="1:56" s="82" customFormat="1" ht="14" x14ac:dyDescent="0.2">
      <c r="A4"/>
      <c r="B4"/>
      <c r="C4" s="143"/>
      <c r="D4"/>
      <c r="E4"/>
      <c r="F4"/>
      <c r="G4" s="168"/>
      <c r="H4" s="168"/>
      <c r="I4" s="168"/>
      <c r="J4" s="168"/>
      <c r="K4" s="169"/>
      <c r="L4" s="169"/>
      <c r="M4" s="169"/>
      <c r="N4" s="169"/>
      <c r="O4" s="169"/>
      <c r="P4" s="169"/>
      <c r="R4" s="93"/>
      <c r="S4" s="93"/>
      <c r="T4" s="81"/>
      <c r="U4" s="170"/>
      <c r="W4" s="171"/>
      <c r="X4" s="171"/>
      <c r="Y4" s="168"/>
      <c r="Z4" s="81"/>
      <c r="AA4" s="75"/>
      <c r="AC4" s="75"/>
      <c r="AD4" s="81"/>
      <c r="AE4" s="81"/>
      <c r="AF4" s="81"/>
      <c r="AG4" s="81"/>
      <c r="AH4" s="75"/>
      <c r="AI4" s="75"/>
      <c r="AJ4" s="168"/>
      <c r="AK4" s="168"/>
      <c r="AL4" s="81"/>
      <c r="AM4" s="168"/>
      <c r="AN4" s="81"/>
      <c r="AO4" s="171"/>
      <c r="AP4" s="168"/>
      <c r="AQ4" s="169"/>
      <c r="AR4" s="168"/>
      <c r="AS4" s="168"/>
      <c r="AT4" s="75"/>
      <c r="AU4" s="75"/>
      <c r="AW4" s="168"/>
      <c r="AX4" s="75"/>
      <c r="BB4" s="81"/>
      <c r="BC4" s="83"/>
      <c r="BD4" s="83"/>
    </row>
    <row r="5" spans="1:56" ht="14" x14ac:dyDescent="0.2">
      <c r="A5" s="2" t="s">
        <v>160</v>
      </c>
      <c r="B5" s="76" t="s">
        <v>245</v>
      </c>
      <c r="C5" s="4"/>
      <c r="D5" s="172"/>
      <c r="E5" s="3" t="s">
        <v>42</v>
      </c>
      <c r="K5" s="73"/>
      <c r="L5" s="73"/>
      <c r="M5" s="73"/>
      <c r="N5" s="73"/>
      <c r="O5" s="73"/>
      <c r="P5" s="73"/>
      <c r="Q5" s="173"/>
      <c r="R5" s="73"/>
      <c r="S5" s="73"/>
      <c r="T5" s="174" t="s">
        <v>43</v>
      </c>
      <c r="U5" s="163">
        <f>SUM(U15:U27)</f>
        <v>8.9578832096915555</v>
      </c>
      <c r="V5" s="143"/>
      <c r="W5" s="73"/>
      <c r="X5" s="73"/>
      <c r="AA5" s="73"/>
      <c r="AC5" s="73"/>
      <c r="AD5" s="73"/>
      <c r="AE5" s="71"/>
      <c r="AF5" s="71"/>
      <c r="AG5" s="71"/>
    </row>
    <row r="6" spans="1:56" ht="14" x14ac:dyDescent="0.2">
      <c r="A6" s="2" t="s">
        <v>44</v>
      </c>
      <c r="B6" s="76"/>
      <c r="C6" s="220"/>
      <c r="D6" s="172"/>
      <c r="E6" s="76" t="s">
        <v>45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175"/>
      <c r="R6" s="73"/>
      <c r="S6" s="73"/>
      <c r="T6" s="2" t="s">
        <v>46</v>
      </c>
      <c r="U6" s="71">
        <f>(SUM(AG15:AG28))^0.5</f>
        <v>0</v>
      </c>
      <c r="Z6" s="176"/>
      <c r="AE6" s="71"/>
      <c r="AF6" s="71"/>
      <c r="AG6" s="71"/>
    </row>
    <row r="7" spans="1:56" ht="14" customHeight="1" x14ac:dyDescent="0.2">
      <c r="A7" s="2" t="s">
        <v>47</v>
      </c>
      <c r="B7" s="77">
        <v>42569</v>
      </c>
      <c r="C7" s="220"/>
      <c r="E7" t="s">
        <v>48</v>
      </c>
      <c r="G7" s="73"/>
      <c r="H7" s="73"/>
      <c r="J7" s="73"/>
      <c r="K7" s="73"/>
      <c r="L7" s="73"/>
      <c r="M7" s="73"/>
      <c r="N7" s="73"/>
      <c r="O7" s="73"/>
      <c r="P7" s="73"/>
      <c r="Q7" s="164"/>
      <c r="T7" s="2" t="s">
        <v>49</v>
      </c>
      <c r="U7" s="71">
        <f>AH14</f>
        <v>0</v>
      </c>
      <c r="V7" s="177"/>
      <c r="W7" s="28"/>
      <c r="X7" s="28"/>
      <c r="AA7" s="71"/>
      <c r="AC7" s="71"/>
      <c r="AE7" s="71"/>
    </row>
    <row r="8" spans="1:56" ht="14" x14ac:dyDescent="0.2">
      <c r="A8" s="2" t="s">
        <v>50</v>
      </c>
      <c r="B8" s="178">
        <v>2015</v>
      </c>
      <c r="C8" s="4"/>
      <c r="D8" s="172"/>
      <c r="E8" s="28"/>
      <c r="F8" s="73"/>
      <c r="G8" s="73"/>
      <c r="H8" s="73"/>
      <c r="I8" s="18" t="s">
        <v>51</v>
      </c>
      <c r="J8" s="73"/>
      <c r="K8" s="73"/>
      <c r="L8" s="73"/>
      <c r="M8" s="73"/>
      <c r="N8" s="73"/>
      <c r="O8" s="73"/>
      <c r="P8" s="73"/>
      <c r="Q8" s="164"/>
      <c r="R8" s="73"/>
      <c r="S8" s="73"/>
      <c r="V8" s="177"/>
      <c r="W8" s="86" t="s">
        <v>52</v>
      </c>
      <c r="X8" s="86"/>
      <c r="AA8" s="71"/>
      <c r="AC8" s="71"/>
      <c r="AF8" s="10" t="s">
        <v>230</v>
      </c>
    </row>
    <row r="9" spans="1:56" ht="14" x14ac:dyDescent="0.2">
      <c r="A9" s="2" t="s">
        <v>168</v>
      </c>
      <c r="B9" s="72">
        <v>1</v>
      </c>
      <c r="C9" s="220"/>
      <c r="D9" s="72"/>
      <c r="E9" s="28"/>
      <c r="F9" s="73"/>
      <c r="G9" s="73"/>
      <c r="H9" s="73"/>
      <c r="I9" s="18" t="s">
        <v>104</v>
      </c>
      <c r="J9" s="73"/>
      <c r="K9" s="73"/>
      <c r="L9" s="73"/>
      <c r="M9" s="73"/>
      <c r="N9" s="73"/>
      <c r="O9" s="73"/>
      <c r="P9" s="73"/>
      <c r="R9" s="10" t="s">
        <v>52</v>
      </c>
      <c r="S9" s="10"/>
      <c r="T9" s="89" t="s">
        <v>53</v>
      </c>
      <c r="V9" s="86" t="s">
        <v>52</v>
      </c>
      <c r="W9" s="10" t="s">
        <v>104</v>
      </c>
      <c r="X9" s="10"/>
      <c r="AF9" s="86" t="s">
        <v>231</v>
      </c>
      <c r="AG9" s="71"/>
      <c r="AH9" s="86"/>
      <c r="AI9" s="86" t="s">
        <v>52</v>
      </c>
      <c r="AJ9" t="s">
        <v>203</v>
      </c>
    </row>
    <row r="10" spans="1:56" ht="14" x14ac:dyDescent="0.2">
      <c r="A10" s="166"/>
      <c r="B10" s="179"/>
      <c r="D10" s="72"/>
      <c r="E10" s="28"/>
      <c r="F10" s="73"/>
      <c r="G10" s="73"/>
      <c r="H10" s="73"/>
      <c r="I10" s="18" t="s">
        <v>54</v>
      </c>
      <c r="J10" s="73"/>
      <c r="K10" s="73"/>
      <c r="L10" s="73"/>
      <c r="M10" s="73"/>
      <c r="N10" s="73"/>
      <c r="O10" s="73"/>
      <c r="P10" s="73"/>
      <c r="Q10" s="10" t="s">
        <v>52</v>
      </c>
      <c r="R10" s="10" t="s">
        <v>104</v>
      </c>
      <c r="S10" s="10"/>
      <c r="T10" s="89" t="s">
        <v>55</v>
      </c>
      <c r="U10" s="86" t="s">
        <v>52</v>
      </c>
      <c r="V10" s="10" t="s">
        <v>104</v>
      </c>
      <c r="W10" s="86" t="s">
        <v>56</v>
      </c>
      <c r="X10" s="86"/>
      <c r="Y10" s="18" t="s">
        <v>57</v>
      </c>
      <c r="Z10" s="18" t="s">
        <v>58</v>
      </c>
      <c r="AA10" s="10" t="s">
        <v>59</v>
      </c>
      <c r="AC10" s="10"/>
      <c r="AD10" s="86"/>
      <c r="AE10" s="86" t="s">
        <v>231</v>
      </c>
      <c r="AF10" s="86" t="s">
        <v>232</v>
      </c>
      <c r="AG10" s="86" t="s">
        <v>233</v>
      </c>
      <c r="AH10" s="86" t="s">
        <v>52</v>
      </c>
      <c r="AI10" s="86" t="s">
        <v>104</v>
      </c>
    </row>
    <row r="11" spans="1:56" ht="14" x14ac:dyDescent="0.2">
      <c r="B11" s="88" t="s">
        <v>183</v>
      </c>
      <c r="C11" s="86" t="s">
        <v>60</v>
      </c>
      <c r="D11" s="89" t="s">
        <v>174</v>
      </c>
      <c r="E11" s="10" t="s">
        <v>174</v>
      </c>
      <c r="F11" s="86" t="s">
        <v>104</v>
      </c>
      <c r="G11" s="10" t="s">
        <v>104</v>
      </c>
      <c r="H11" s="10"/>
      <c r="I11" s="10" t="s">
        <v>132</v>
      </c>
      <c r="J11" s="10" t="s">
        <v>132</v>
      </c>
      <c r="K11" s="10"/>
      <c r="L11" s="10" t="s">
        <v>118</v>
      </c>
      <c r="M11" s="10" t="s">
        <v>118</v>
      </c>
      <c r="N11" s="10" t="s">
        <v>61</v>
      </c>
      <c r="O11" s="10"/>
      <c r="P11" s="10"/>
      <c r="Q11" s="10" t="s">
        <v>104</v>
      </c>
      <c r="R11" s="10" t="s">
        <v>184</v>
      </c>
      <c r="S11" s="10"/>
      <c r="T11" s="89" t="s">
        <v>62</v>
      </c>
      <c r="U11" s="10" t="s">
        <v>104</v>
      </c>
      <c r="V11" s="86" t="s">
        <v>56</v>
      </c>
      <c r="W11" s="88" t="s">
        <v>63</v>
      </c>
      <c r="X11" s="88" t="str">
        <f>B11</f>
        <v xml:space="preserve">Depth </v>
      </c>
      <c r="Y11" s="18" t="s">
        <v>64</v>
      </c>
      <c r="Z11" s="18" t="s">
        <v>57</v>
      </c>
      <c r="AA11" s="18" t="s">
        <v>57</v>
      </c>
      <c r="AC11" s="180" t="s">
        <v>65</v>
      </c>
      <c r="AD11" s="86"/>
      <c r="AE11" s="86" t="s">
        <v>232</v>
      </c>
      <c r="AF11" s="86" t="s">
        <v>234</v>
      </c>
      <c r="AG11" s="86" t="s">
        <v>234</v>
      </c>
      <c r="AH11" s="86" t="s">
        <v>104</v>
      </c>
      <c r="AI11" s="86" t="s">
        <v>53</v>
      </c>
      <c r="AJ11" s="10" t="s">
        <v>235</v>
      </c>
      <c r="AK11" s="10" t="s">
        <v>236</v>
      </c>
    </row>
    <row r="12" spans="1:56" ht="14" x14ac:dyDescent="0.2">
      <c r="A12" s="10" t="s">
        <v>177</v>
      </c>
      <c r="B12" s="88" t="s">
        <v>176</v>
      </c>
      <c r="C12" s="86" t="s">
        <v>66</v>
      </c>
      <c r="D12" s="89" t="s">
        <v>178</v>
      </c>
      <c r="E12" s="10" t="s">
        <v>179</v>
      </c>
      <c r="F12" s="10" t="s">
        <v>184</v>
      </c>
      <c r="G12" s="10" t="s">
        <v>67</v>
      </c>
      <c r="H12" s="10"/>
      <c r="I12" s="10" t="s">
        <v>184</v>
      </c>
      <c r="J12" s="10" t="s">
        <v>67</v>
      </c>
      <c r="K12" s="10"/>
      <c r="L12" s="10" t="s">
        <v>184</v>
      </c>
      <c r="M12" s="10" t="s">
        <v>67</v>
      </c>
      <c r="N12" s="10"/>
      <c r="O12" s="10"/>
      <c r="P12" s="10"/>
      <c r="Q12" s="10" t="s">
        <v>184</v>
      </c>
      <c r="R12" s="10" t="s">
        <v>67</v>
      </c>
      <c r="S12" s="10"/>
      <c r="T12" s="89" t="s">
        <v>172</v>
      </c>
      <c r="U12" s="86" t="s">
        <v>56</v>
      </c>
      <c r="V12" s="86" t="s">
        <v>67</v>
      </c>
      <c r="W12" s="88" t="s">
        <v>68</v>
      </c>
      <c r="X12" s="88" t="str">
        <f>B12</f>
        <v>Interval</v>
      </c>
      <c r="Y12" s="18" t="s">
        <v>172</v>
      </c>
      <c r="Z12" s="86" t="s">
        <v>67</v>
      </c>
      <c r="AA12" s="86" t="s">
        <v>67</v>
      </c>
      <c r="AC12" s="180" t="s">
        <v>64</v>
      </c>
      <c r="AD12" s="86"/>
      <c r="AE12" s="86" t="s">
        <v>234</v>
      </c>
      <c r="AF12" s="86" t="s">
        <v>67</v>
      </c>
      <c r="AG12" s="10" t="s">
        <v>163</v>
      </c>
      <c r="AH12" s="86" t="s">
        <v>237</v>
      </c>
      <c r="AI12" s="86" t="s">
        <v>237</v>
      </c>
      <c r="AJ12" s="10" t="s">
        <v>238</v>
      </c>
      <c r="AK12" s="10" t="s">
        <v>239</v>
      </c>
    </row>
    <row r="13" spans="1:56" ht="14" x14ac:dyDescent="0.2">
      <c r="A13" s="10" t="s">
        <v>187</v>
      </c>
      <c r="B13" s="88" t="s">
        <v>186</v>
      </c>
      <c r="C13" s="86"/>
      <c r="D13" s="89" t="s">
        <v>200</v>
      </c>
      <c r="E13" s="10" t="s">
        <v>201</v>
      </c>
      <c r="F13" s="10" t="s">
        <v>202</v>
      </c>
      <c r="G13" s="10"/>
      <c r="H13" s="10"/>
      <c r="I13" s="10" t="s">
        <v>202</v>
      </c>
      <c r="J13" s="10"/>
      <c r="K13" s="10"/>
      <c r="L13" s="10" t="s">
        <v>202</v>
      </c>
      <c r="M13" s="10"/>
      <c r="N13" s="10"/>
      <c r="O13" s="10"/>
      <c r="P13" s="10"/>
      <c r="Q13" s="10" t="s">
        <v>202</v>
      </c>
      <c r="R13" s="10"/>
      <c r="S13" s="10" t="s">
        <v>69</v>
      </c>
      <c r="T13" s="89" t="s">
        <v>69</v>
      </c>
      <c r="U13" s="86" t="s">
        <v>70</v>
      </c>
      <c r="V13" s="86"/>
      <c r="W13" s="88" t="s">
        <v>70</v>
      </c>
      <c r="X13" s="88" t="str">
        <f>B13</f>
        <v>(cm)</v>
      </c>
      <c r="Y13" s="18" t="s">
        <v>71</v>
      </c>
      <c r="Z13" s="18"/>
      <c r="AA13" s="181"/>
      <c r="AC13" s="180" t="s">
        <v>172</v>
      </c>
      <c r="AD13" s="182"/>
      <c r="AE13" s="182" t="s">
        <v>240</v>
      </c>
      <c r="AF13" s="182" t="s">
        <v>240</v>
      </c>
      <c r="AG13" s="86" t="s">
        <v>241</v>
      </c>
      <c r="AH13" s="86" t="s">
        <v>242</v>
      </c>
      <c r="AI13" s="86" t="s">
        <v>242</v>
      </c>
      <c r="AJ13" s="10" t="s">
        <v>243</v>
      </c>
      <c r="AK13" s="10">
        <v>1840</v>
      </c>
    </row>
    <row r="14" spans="1:56" ht="14" x14ac:dyDescent="0.2">
      <c r="B14" s="88"/>
      <c r="C14" s="86"/>
      <c r="D14" s="172"/>
      <c r="E14" s="28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164"/>
      <c r="T14" s="183">
        <v>0</v>
      </c>
      <c r="U14" s="71"/>
      <c r="V14" s="143"/>
      <c r="W14" s="163">
        <f t="shared" ref="W14:W24" si="0">IF(U15=0,0,U15+W15)</f>
        <v>8.9578832096915573</v>
      </c>
      <c r="X14" s="167"/>
      <c r="AC14" s="72"/>
      <c r="AF14" s="71"/>
      <c r="AI14" s="71">
        <f>AH14+AI15</f>
        <v>0.63471179980366565</v>
      </c>
    </row>
    <row r="15" spans="1:56" x14ac:dyDescent="0.15">
      <c r="A15" s="225">
        <v>42772</v>
      </c>
      <c r="B15" s="73">
        <v>1</v>
      </c>
      <c r="C15" s="73">
        <v>2.25</v>
      </c>
      <c r="D15" s="73">
        <v>1.8866999999999998</v>
      </c>
      <c r="E15" s="73">
        <v>35</v>
      </c>
      <c r="F15" s="73">
        <v>17.73168514115746</v>
      </c>
      <c r="G15" s="73">
        <v>1.3855201289716192</v>
      </c>
      <c r="H15" s="73"/>
      <c r="I15" s="73">
        <v>3.0513808565770772</v>
      </c>
      <c r="J15" s="73">
        <v>0.68768168977743815</v>
      </c>
      <c r="K15" s="73"/>
      <c r="L15" s="73">
        <v>1.9292983126450285</v>
      </c>
      <c r="M15" s="73">
        <v>0.24431987802296182</v>
      </c>
      <c r="N15" s="73">
        <v>2.6865067508040021</v>
      </c>
      <c r="O15" s="73">
        <v>2.6865067508040021</v>
      </c>
      <c r="P15" s="73"/>
      <c r="Q15" s="73">
        <v>14.680304284580382</v>
      </c>
      <c r="R15" s="73">
        <v>1.5467941473385154</v>
      </c>
      <c r="S15" s="73">
        <f>D15*6/62</f>
        <v>0.18258387096774192</v>
      </c>
      <c r="T15" s="73">
        <f>T14+S15</f>
        <v>0.18258387096774192</v>
      </c>
      <c r="U15" s="73">
        <f>(T15-T14)*Q15</f>
        <v>2.6803867832630135</v>
      </c>
      <c r="V15" s="73">
        <f>(T15-T14)*R15</f>
        <v>0.28241966301131388</v>
      </c>
      <c r="W15" s="73">
        <f t="shared" si="0"/>
        <v>6.2774964264285433</v>
      </c>
      <c r="X15" s="73">
        <f>C15</f>
        <v>2.25</v>
      </c>
      <c r="Y15" s="73">
        <f>LN($U$5/W15)/0.031146067</f>
        <v>11.415974523349384</v>
      </c>
      <c r="Z15" s="73">
        <f>((U$7/(U$5^2*0.031146067^2))+(AH16/(0.031146067^2*W15^2)))^0.5</f>
        <v>1.0523803477438129</v>
      </c>
      <c r="AA15" s="73">
        <f>((U$7/(U$5^2*0.03114^2))+(AH16/(0.03114^2*W15^2))-(AH16/(0.03114^2*U$5*W15)))^0.5</f>
        <v>0.57577575122258784</v>
      </c>
      <c r="AB15" s="73"/>
      <c r="AC15" s="73">
        <f>$B$8-Y15</f>
        <v>2003.5840254766506</v>
      </c>
      <c r="AD15" s="71"/>
      <c r="AE15" s="71" t="e">
        <f>((U$7/(U$5^2*0.031146067^2))+(AN16/(0.031146067^2*AC15^2)))^0.5</f>
        <v>#DIV/0!</v>
      </c>
      <c r="AF15" s="73" t="e">
        <f>((U$7/(U$5^2*0.03114^2))+(AN16/(0.03114^2*AC15^2))-(AN16/(0.03114^2*U$5*AC15)))^0.5</f>
        <v>#DIV/0!</v>
      </c>
      <c r="AG15" s="73"/>
      <c r="AH15" s="74">
        <f>(V15)^2</f>
        <v>7.9760866055424096E-2</v>
      </c>
      <c r="AI15" s="71">
        <f>AH15+AI16</f>
        <v>0.63471179980366565</v>
      </c>
      <c r="AJ15" s="72" t="e">
        <f>(Y15-T14)/(AE15-Y14)*1000</f>
        <v>#DIV/0!</v>
      </c>
      <c r="AK15" s="163" t="e">
        <f>((0.03114^2*(AC15/X15)^2*((AN15^0.5/AC15)^2+(Y15/X15)^2))^0.5)*1000</f>
        <v>#DIV/0!</v>
      </c>
      <c r="AL15" s="71" t="e">
        <f>AK15/AJ15*100</f>
        <v>#DIV/0!</v>
      </c>
      <c r="AM15" s="71">
        <f>AA15^2</f>
        <v>0.33151771569593536</v>
      </c>
      <c r="AN15" s="71" t="e">
        <f>AM15+AN16</f>
        <v>#DIV/0!</v>
      </c>
      <c r="AO15" s="165" t="e">
        <f t="shared" ref="AO15:AO26" si="1">-4577.8+(7.343*$AF15)+(-3.9213*0.001*$AF15^2)+(6.9812*0.0000001*$AF15^3)</f>
        <v>#DIV/0!</v>
      </c>
      <c r="AP15" s="143" t="e">
        <f>-(AO15-$AO$22)</f>
        <v>#DIV/0!</v>
      </c>
    </row>
    <row r="16" spans="1:56" x14ac:dyDescent="0.15">
      <c r="A16" s="225">
        <v>42773</v>
      </c>
      <c r="B16" s="73">
        <v>4</v>
      </c>
      <c r="C16" s="73">
        <v>5.25</v>
      </c>
      <c r="D16" s="73">
        <v>1.9004000000000003</v>
      </c>
      <c r="E16" s="73">
        <v>35</v>
      </c>
      <c r="F16" s="73">
        <v>11.039432241479094</v>
      </c>
      <c r="G16" s="73">
        <v>0.99432730389385937</v>
      </c>
      <c r="H16" s="73"/>
      <c r="I16" s="73">
        <v>2.7588584552807212</v>
      </c>
      <c r="J16" s="73">
        <v>0.51289145695207117</v>
      </c>
      <c r="K16" s="73"/>
      <c r="L16" s="73">
        <v>1.7283166096669018</v>
      </c>
      <c r="M16" s="73">
        <v>0.1948057089995619</v>
      </c>
      <c r="N16" s="73">
        <v>2.1139122638462284</v>
      </c>
      <c r="O16" s="73">
        <v>2.1139122638462284</v>
      </c>
      <c r="P16" s="73"/>
      <c r="Q16" s="73">
        <v>8.2805737861983726</v>
      </c>
      <c r="R16" s="73">
        <v>1.1188138513100603</v>
      </c>
      <c r="S16" s="73">
        <f>D16*6/62</f>
        <v>0.18390967741935488</v>
      </c>
      <c r="T16" s="73">
        <f>T15+S16</f>
        <v>0.3664935483870968</v>
      </c>
      <c r="U16" s="73">
        <f>(T16-T15)*Q16</f>
        <v>1.5228776538669089</v>
      </c>
      <c r="V16" s="73">
        <f>(T16-T15)*R16</f>
        <v>0.20576069448673925</v>
      </c>
      <c r="W16" s="73">
        <f t="shared" si="0"/>
        <v>4.7546187725616349</v>
      </c>
      <c r="X16" s="73">
        <f>C16</f>
        <v>5.25</v>
      </c>
      <c r="Y16" s="73">
        <f>LN($U$5/W16)/0.031146067</f>
        <v>20.336995723679848</v>
      </c>
      <c r="Z16" s="73">
        <f>((U$7/(U$5^2*0.031146067^2))+(AH17/(0.031146067^2*W16^2)))^0.5</f>
        <v>1.7433363301536582</v>
      </c>
      <c r="AA16" s="73">
        <f>((U$7/(U$5^2*0.03114^2))+(AH17/(0.03114^2*W16^2))-(AH17/(0.03114^2*U$5*W16)))^0.5</f>
        <v>1.194418288899955</v>
      </c>
      <c r="AB16" s="73"/>
      <c r="AC16" s="73">
        <f>$B$8-Y16</f>
        <v>1994.6630042763202</v>
      </c>
      <c r="AD16" s="71"/>
      <c r="AE16" s="71" t="e">
        <f>((U$7/(U$5^2*0.031146067^2))+(AN17/(0.031146067^2*AC16^2)))^0.5</f>
        <v>#DIV/0!</v>
      </c>
      <c r="AF16" s="73" t="e">
        <f>((U$7/(U$5^2*0.03114^2))+(AN17/(0.03114^2*AC16^2))-(AN17/(0.03114^2*U$5*AC16)))^0.5</f>
        <v>#DIV/0!</v>
      </c>
      <c r="AG16" s="73"/>
      <c r="AH16" s="74">
        <f>(V16)^2</f>
        <v>4.2337463395665249E-2</v>
      </c>
      <c r="AI16" s="71">
        <f>AH16+AI17</f>
        <v>0.55495093374824156</v>
      </c>
      <c r="AJ16" s="72" t="e">
        <f>(Y16-T15)/(AE16-Y15)*1000</f>
        <v>#DIV/0!</v>
      </c>
      <c r="AK16" s="163" t="e">
        <f>((0.03114^2*(AC16/X16)^2*((AN16^0.5/AC16)^2+(Y16/X16)^2))^0.5)*1000</f>
        <v>#DIV/0!</v>
      </c>
      <c r="AL16" s="71" t="e">
        <f>AK16/AJ16*100</f>
        <v>#DIV/0!</v>
      </c>
      <c r="AM16" s="71">
        <f>AA16^2</f>
        <v>1.4266350488586965</v>
      </c>
      <c r="AN16" s="71" t="e">
        <f>AM16+AN17</f>
        <v>#DIV/0!</v>
      </c>
      <c r="AO16" s="165" t="e">
        <f t="shared" si="1"/>
        <v>#DIV/0!</v>
      </c>
      <c r="AP16" s="143" t="e">
        <f>-(AO16-$AO$22)</f>
        <v>#DIV/0!</v>
      </c>
    </row>
    <row r="17" spans="1:42" x14ac:dyDescent="0.15">
      <c r="A17" s="225">
        <v>42774</v>
      </c>
      <c r="B17" s="73">
        <v>7</v>
      </c>
      <c r="C17" s="73">
        <v>8.25</v>
      </c>
      <c r="D17" s="73">
        <v>1.8731999999999998</v>
      </c>
      <c r="E17" s="73">
        <v>35</v>
      </c>
      <c r="F17" s="73">
        <v>7.4991295418289576</v>
      </c>
      <c r="G17" s="73">
        <v>1.2686693858185776</v>
      </c>
      <c r="H17" s="73"/>
      <c r="I17" s="73">
        <v>3.5710892472537923</v>
      </c>
      <c r="J17" s="73">
        <v>0.64706049961074119</v>
      </c>
      <c r="K17" s="73"/>
      <c r="L17" s="73">
        <v>2.9399762231707087</v>
      </c>
      <c r="M17" s="73">
        <v>0.26055960934002409</v>
      </c>
      <c r="N17" s="73">
        <v>1.3681406487326702</v>
      </c>
      <c r="O17" s="73">
        <v>1.3681406487326702</v>
      </c>
      <c r="P17" s="73"/>
      <c r="Q17" s="73">
        <v>3.9280402945751653</v>
      </c>
      <c r="R17" s="73">
        <v>1.4241521339624461</v>
      </c>
      <c r="S17" s="73">
        <f t="shared" ref="S17:S24" si="2">D17*6/62</f>
        <v>0.18127741935483868</v>
      </c>
      <c r="T17" s="73">
        <f t="shared" ref="T17:T24" si="3">T16+S17</f>
        <v>0.54777096774193546</v>
      </c>
      <c r="U17" s="73">
        <f t="shared" ref="U17:U23" si="4">(T17-T16)*Q17</f>
        <v>0.71206500772240622</v>
      </c>
      <c r="V17" s="73">
        <f t="shared" ref="V17:V24" si="5">(T17-T16)*R17</f>
        <v>0.2581666236133987</v>
      </c>
      <c r="W17" s="73">
        <f t="shared" si="0"/>
        <v>4.0425537648392282</v>
      </c>
      <c r="X17" s="73">
        <f t="shared" ref="X17:X24" si="6">C17</f>
        <v>8.25</v>
      </c>
      <c r="Y17" s="73">
        <f t="shared" ref="Y17:Y24" si="7">LN($U$5/W17)/0.031146067</f>
        <v>25.54599711990106</v>
      </c>
      <c r="Z17" s="73">
        <f t="shared" ref="Z17:Z24" si="8">((U$7/(U$5^2*0.031146067^2))+(AH18/(0.031146067^2*W17^2)))^0.5</f>
        <v>1.3851171745546202</v>
      </c>
      <c r="AA17" s="73">
        <f t="shared" ref="AA17:AA24" si="9">((U$7/(U$5^2*0.03114^2))+(AH18/(0.03114^2*W17^2))-(AH18/(0.03114^2*U$5*W17)))^0.5</f>
        <v>1.0262300729754763</v>
      </c>
      <c r="AB17" s="73"/>
      <c r="AC17" s="73">
        <f t="shared" ref="AC17:AC24" si="10">$B$8-Y17</f>
        <v>1989.4540028800989</v>
      </c>
      <c r="AD17" s="71"/>
      <c r="AE17" s="71" t="e">
        <f>((U$7/(U$5^2*0.031146067^2))+(AN18/(0.031146067^2*AC17^2)))^0.5</f>
        <v>#DIV/0!</v>
      </c>
      <c r="AF17" s="73" t="e">
        <f>((U$7/(U$5^2*0.03114^2))+(AN18/(0.03114^2*AC17^2))-(AN18/(0.03114^2*U$5*AC17)))^0.5</f>
        <v>#DIV/0!</v>
      </c>
      <c r="AG17" s="73"/>
      <c r="AH17" s="74">
        <f>(V17)^2</f>
        <v>6.6650005547942273E-2</v>
      </c>
      <c r="AI17" s="71">
        <f>AH17+AI18</f>
        <v>0.51261347035257632</v>
      </c>
      <c r="AJ17" s="72" t="e">
        <f>(Y17-T16)/(AE17-Y16)*1000</f>
        <v>#DIV/0!</v>
      </c>
      <c r="AK17" s="163" t="e">
        <f>((0.03114^2*(AC17/X17)^2*((AN17^0.5/AC17)^2+(Y17/X17)^2))^0.5)*1000</f>
        <v>#DIV/0!</v>
      </c>
      <c r="AL17" s="71" t="e">
        <f>AK17/AJ17*100</f>
        <v>#DIV/0!</v>
      </c>
      <c r="AM17" s="71">
        <f>AA17^2</f>
        <v>1.0531481626792514</v>
      </c>
      <c r="AN17" s="71" t="e">
        <f>AM17+AN18</f>
        <v>#DIV/0!</v>
      </c>
      <c r="AO17" s="165" t="e">
        <f t="shared" si="1"/>
        <v>#DIV/0!</v>
      </c>
      <c r="AP17" s="143" t="e">
        <f>-(AO17-$AO$22)</f>
        <v>#DIV/0!</v>
      </c>
    </row>
    <row r="18" spans="1:42" x14ac:dyDescent="0.15">
      <c r="A18" s="225">
        <v>42775</v>
      </c>
      <c r="B18" s="73">
        <v>10</v>
      </c>
      <c r="C18" s="73">
        <v>11.25</v>
      </c>
      <c r="D18" s="73">
        <v>2.0016000000000003</v>
      </c>
      <c r="E18" s="73">
        <v>35</v>
      </c>
      <c r="F18" s="73">
        <v>7.9416144249605178</v>
      </c>
      <c r="G18" s="73">
        <v>0.80339446537575776</v>
      </c>
      <c r="H18" s="73"/>
      <c r="I18" s="73">
        <v>2.3543458124857661</v>
      </c>
      <c r="J18" s="73">
        <v>0.4064202436693401</v>
      </c>
      <c r="K18" s="73"/>
      <c r="L18" s="73">
        <v>4.0020262791739416</v>
      </c>
      <c r="M18" s="73">
        <v>0.15714681882682199</v>
      </c>
      <c r="N18" s="73">
        <v>1.7204905474445733</v>
      </c>
      <c r="O18" s="73">
        <v>1.7204905474445733</v>
      </c>
      <c r="P18" s="73"/>
      <c r="Q18" s="73">
        <v>5.5872686124747517</v>
      </c>
      <c r="R18" s="73">
        <v>0.90034442379605228</v>
      </c>
      <c r="S18" s="73">
        <f t="shared" si="2"/>
        <v>0.19370322580645166</v>
      </c>
      <c r="T18" s="73">
        <f t="shared" si="3"/>
        <v>0.74147419354838706</v>
      </c>
      <c r="U18" s="73">
        <f t="shared" si="4"/>
        <v>1.0822719536834964</v>
      </c>
      <c r="V18" s="73">
        <f t="shared" si="5"/>
        <v>0.17439961922614627</v>
      </c>
      <c r="W18" s="73">
        <f t="shared" si="0"/>
        <v>2.9602818111557321</v>
      </c>
      <c r="X18" s="73">
        <f t="shared" si="6"/>
        <v>11.25</v>
      </c>
      <c r="Y18" s="73">
        <f t="shared" si="7"/>
        <v>35.550218262924261</v>
      </c>
      <c r="Z18" s="73">
        <f t="shared" si="8"/>
        <v>2.6031564538553975</v>
      </c>
      <c r="AA18" s="73">
        <f t="shared" si="9"/>
        <v>2.1304481919745455</v>
      </c>
      <c r="AB18" s="73"/>
      <c r="AC18" s="73">
        <f t="shared" si="10"/>
        <v>1979.4497817370757</v>
      </c>
      <c r="AD18" s="71"/>
      <c r="AE18" s="71" t="e">
        <f t="shared" ref="AE18:AE24" si="11">((U$7/(U$5^2*0.031146067^2))+(AN19/(0.031146067^2*AC18^2)))^0.5</f>
        <v>#DIV/0!</v>
      </c>
      <c r="AF18" s="73" t="e">
        <f t="shared" ref="AF18:AF24" si="12">((U$7/(U$5^2*0.03114^2))+(AN19/(0.03114^2*AC18^2))-(AN19/(0.03114^2*U$5*AC18)))^0.5</f>
        <v>#DIV/0!</v>
      </c>
      <c r="AG18" s="73"/>
      <c r="AH18" s="74">
        <f t="shared" ref="AH18:AH24" si="13">(V18)^2</f>
        <v>3.0415227186224809E-2</v>
      </c>
      <c r="AI18" s="71">
        <f t="shared" ref="AI18:AI24" si="14">AH18+AI19</f>
        <v>0.445963464804634</v>
      </c>
      <c r="AJ18" s="72" t="e">
        <f t="shared" ref="AJ18:AJ24" si="15">(Y18-T17)/(AE18-Y17)*1000</f>
        <v>#DIV/0!</v>
      </c>
      <c r="AK18" s="163" t="e">
        <f t="shared" ref="AK18:AK24" si="16">((0.03114^2*(AC18/X18)^2*((AN18^0.5/AC18)^2+(Y18/X18)^2))^0.5)*1000</f>
        <v>#DIV/0!</v>
      </c>
      <c r="AL18" s="71" t="e">
        <f t="shared" ref="AL18:AL24" si="17">AK18/AJ18*100</f>
        <v>#DIV/0!</v>
      </c>
      <c r="AM18" s="71">
        <f t="shared" ref="AM18:AM24" si="18">AA18^2</f>
        <v>4.53880949868761</v>
      </c>
      <c r="AN18" s="71" t="e">
        <f t="shared" ref="AN18:AN24" si="19">AM18+AN19</f>
        <v>#DIV/0!</v>
      </c>
      <c r="AO18" s="165" t="e">
        <f t="shared" si="1"/>
        <v>#DIV/0!</v>
      </c>
      <c r="AP18" s="143" t="e">
        <f t="shared" ref="AP18:AP24" si="20">-(AO18-$AO$22)</f>
        <v>#DIV/0!</v>
      </c>
    </row>
    <row r="19" spans="1:42" x14ac:dyDescent="0.15">
      <c r="A19" s="225">
        <v>42776</v>
      </c>
      <c r="B19" s="73">
        <v>13</v>
      </c>
      <c r="C19" s="73">
        <v>14.25</v>
      </c>
      <c r="D19" s="73">
        <v>2.2212000000000001</v>
      </c>
      <c r="E19" s="73">
        <v>35</v>
      </c>
      <c r="F19" s="73">
        <v>7.73799895766932</v>
      </c>
      <c r="G19" s="73">
        <v>0.9953853865247666</v>
      </c>
      <c r="H19" s="73"/>
      <c r="I19" s="73">
        <v>2.0432562170328334</v>
      </c>
      <c r="J19" s="73">
        <v>0.50592073440188878</v>
      </c>
      <c r="K19" s="73"/>
      <c r="L19" s="73">
        <v>7.6785930710079491</v>
      </c>
      <c r="M19" s="73">
        <v>0.2300323476144866</v>
      </c>
      <c r="N19" s="73">
        <v>1.7395434230318483</v>
      </c>
      <c r="O19" s="73">
        <v>1.7395434230318483</v>
      </c>
      <c r="P19" s="73"/>
      <c r="Q19" s="73">
        <v>5.694742740636487</v>
      </c>
      <c r="R19" s="73">
        <v>1.1165786390598762</v>
      </c>
      <c r="S19" s="73">
        <f t="shared" si="2"/>
        <v>0.21495483870967744</v>
      </c>
      <c r="T19" s="73">
        <f t="shared" si="3"/>
        <v>0.95642903225806453</v>
      </c>
      <c r="U19" s="73">
        <f t="shared" si="4"/>
        <v>1.2241125073066226</v>
      </c>
      <c r="V19" s="73">
        <f t="shared" si="5"/>
        <v>0.24001398126578685</v>
      </c>
      <c r="W19" s="73">
        <f t="shared" si="0"/>
        <v>1.7361693038491097</v>
      </c>
      <c r="X19" s="73">
        <f t="shared" si="6"/>
        <v>14.25</v>
      </c>
      <c r="Y19" s="73">
        <f t="shared" si="7"/>
        <v>52.682504452832866</v>
      </c>
      <c r="Z19" s="73">
        <f t="shared" si="8"/>
        <v>4.9546472352682436</v>
      </c>
      <c r="AA19" s="73">
        <f t="shared" si="9"/>
        <v>4.4495366235218281</v>
      </c>
      <c r="AB19" s="73"/>
      <c r="AC19" s="73">
        <f t="shared" si="10"/>
        <v>1962.317495547167</v>
      </c>
      <c r="AD19" s="71"/>
      <c r="AE19" s="71" t="e">
        <f t="shared" si="11"/>
        <v>#DIV/0!</v>
      </c>
      <c r="AF19" s="73" t="e">
        <f t="shared" si="12"/>
        <v>#DIV/0!</v>
      </c>
      <c r="AG19" s="73"/>
      <c r="AH19" s="74">
        <f t="shared" si="13"/>
        <v>5.7606711203053482E-2</v>
      </c>
      <c r="AI19" s="71">
        <f t="shared" si="14"/>
        <v>0.4155482376184092</v>
      </c>
      <c r="AJ19" s="72" t="e">
        <f t="shared" si="15"/>
        <v>#DIV/0!</v>
      </c>
      <c r="AK19" s="163" t="e">
        <f t="shared" si="16"/>
        <v>#DIV/0!</v>
      </c>
      <c r="AL19" s="71" t="e">
        <f t="shared" si="17"/>
        <v>#DIV/0!</v>
      </c>
      <c r="AM19" s="71">
        <f t="shared" si="18"/>
        <v>19.798376164062031</v>
      </c>
      <c r="AN19" s="71" t="e">
        <f t="shared" si="19"/>
        <v>#DIV/0!</v>
      </c>
      <c r="AO19" s="165" t="e">
        <f t="shared" si="1"/>
        <v>#DIV/0!</v>
      </c>
      <c r="AP19" s="143" t="e">
        <f t="shared" si="20"/>
        <v>#DIV/0!</v>
      </c>
    </row>
    <row r="20" spans="1:42" x14ac:dyDescent="0.15">
      <c r="A20" s="225">
        <v>42777</v>
      </c>
      <c r="B20" s="73">
        <v>16</v>
      </c>
      <c r="C20" s="73">
        <v>17.25</v>
      </c>
      <c r="D20" s="73">
        <v>2.6742000000000004</v>
      </c>
      <c r="E20" s="73">
        <v>35</v>
      </c>
      <c r="F20" s="73">
        <v>5.8848765223737081</v>
      </c>
      <c r="G20" s="73">
        <v>0.90901542762211096</v>
      </c>
      <c r="H20" s="73"/>
      <c r="I20" s="73">
        <v>2.6994564501222067</v>
      </c>
      <c r="J20" s="73">
        <v>0.49545899877101418</v>
      </c>
      <c r="K20" s="73"/>
      <c r="L20" s="73">
        <v>2.3797068822334366</v>
      </c>
      <c r="M20" s="73">
        <v>0.19189929785633286</v>
      </c>
      <c r="N20" s="73">
        <v>1.1585841711440954</v>
      </c>
      <c r="O20" s="73">
        <v>1.1585841711440954</v>
      </c>
      <c r="P20" s="73"/>
      <c r="Q20" s="73">
        <v>3.1854200722515014</v>
      </c>
      <c r="R20" s="73">
        <v>1.0352722671443417</v>
      </c>
      <c r="S20" s="73">
        <f t="shared" si="2"/>
        <v>0.25879354838709678</v>
      </c>
      <c r="T20" s="73">
        <f t="shared" si="3"/>
        <v>1.2152225806451613</v>
      </c>
      <c r="U20" s="73">
        <f t="shared" si="4"/>
        <v>0.82436616360144821</v>
      </c>
      <c r="V20" s="73">
        <f t="shared" si="5"/>
        <v>0.26792178356103857</v>
      </c>
      <c r="W20" s="73">
        <f t="shared" si="0"/>
        <v>0.91180314024766151</v>
      </c>
      <c r="X20" s="73">
        <f t="shared" si="6"/>
        <v>17.25</v>
      </c>
      <c r="Y20" s="73">
        <f t="shared" si="7"/>
        <v>73.359667445548126</v>
      </c>
      <c r="Z20" s="73">
        <f t="shared" si="8"/>
        <v>9.1141162333913641</v>
      </c>
      <c r="AA20" s="73">
        <f t="shared" si="9"/>
        <v>8.6395007212537198</v>
      </c>
      <c r="AB20" s="73"/>
      <c r="AC20" s="73">
        <f t="shared" si="10"/>
        <v>1941.6403325544518</v>
      </c>
      <c r="AD20" s="71"/>
      <c r="AE20" s="71" t="e">
        <f t="shared" si="11"/>
        <v>#DIV/0!</v>
      </c>
      <c r="AF20" s="73" t="e">
        <f t="shared" si="12"/>
        <v>#DIV/0!</v>
      </c>
      <c r="AG20" s="73"/>
      <c r="AH20" s="74">
        <f t="shared" si="13"/>
        <v>7.1782082106528006E-2</v>
      </c>
      <c r="AI20" s="71">
        <f t="shared" si="14"/>
        <v>0.3579415264153557</v>
      </c>
      <c r="AJ20" s="72" t="e">
        <f t="shared" si="15"/>
        <v>#DIV/0!</v>
      </c>
      <c r="AK20" s="163" t="e">
        <f t="shared" si="16"/>
        <v>#DIV/0!</v>
      </c>
      <c r="AL20" s="71" t="e">
        <f t="shared" si="17"/>
        <v>#DIV/0!</v>
      </c>
      <c r="AM20" s="71">
        <f t="shared" si="18"/>
        <v>74.640972712543544</v>
      </c>
      <c r="AN20" s="71" t="e">
        <f t="shared" si="19"/>
        <v>#DIV/0!</v>
      </c>
      <c r="AO20" s="165" t="e">
        <f t="shared" si="1"/>
        <v>#DIV/0!</v>
      </c>
      <c r="AP20" s="143" t="e">
        <f t="shared" si="20"/>
        <v>#DIV/0!</v>
      </c>
    </row>
    <row r="21" spans="1:42" x14ac:dyDescent="0.15">
      <c r="A21" s="225">
        <v>42778</v>
      </c>
      <c r="B21" s="73">
        <v>19</v>
      </c>
      <c r="C21" s="73">
        <v>20.25</v>
      </c>
      <c r="D21" s="73">
        <v>2.4608999999999996</v>
      </c>
      <c r="E21" s="73">
        <v>35</v>
      </c>
      <c r="F21" s="73">
        <v>3.2829491272360745</v>
      </c>
      <c r="G21" s="73">
        <v>0.9749669914041782</v>
      </c>
      <c r="H21" s="73"/>
      <c r="I21" s="73">
        <v>2.3526950877029527</v>
      </c>
      <c r="J21" s="73">
        <v>0.48026973964186587</v>
      </c>
      <c r="K21" s="73"/>
      <c r="L21" s="73">
        <v>0.70215075336249722</v>
      </c>
      <c r="M21" s="73">
        <v>0.19751943259279139</v>
      </c>
      <c r="N21" s="73">
        <v>-7.2297569348147808E-2</v>
      </c>
      <c r="O21" s="73">
        <v>-7.2297569348147808E-2</v>
      </c>
      <c r="P21" s="73"/>
      <c r="Q21" s="73">
        <v>0.9302540395331218</v>
      </c>
      <c r="R21" s="73">
        <v>1.0868392968343483</v>
      </c>
      <c r="S21" s="73">
        <f t="shared" si="2"/>
        <v>0.23815161290322578</v>
      </c>
      <c r="T21" s="73">
        <f t="shared" si="3"/>
        <v>1.453374193548387</v>
      </c>
      <c r="U21" s="73">
        <f t="shared" si="4"/>
        <v>0.22154149992455408</v>
      </c>
      <c r="V21" s="73">
        <f t="shared" si="5"/>
        <v>0.25883253150770774</v>
      </c>
      <c r="W21" s="73">
        <f t="shared" si="0"/>
        <v>0.69026164032310744</v>
      </c>
      <c r="X21" s="73">
        <f t="shared" si="6"/>
        <v>20.25</v>
      </c>
      <c r="Y21" s="73">
        <f t="shared" si="7"/>
        <v>82.296699437139523</v>
      </c>
      <c r="Z21" s="73">
        <f t="shared" si="8"/>
        <v>12.068957715854289</v>
      </c>
      <c r="AA21" s="73">
        <f t="shared" si="9"/>
        <v>11.596901483841268</v>
      </c>
      <c r="AB21" s="73"/>
      <c r="AC21" s="73">
        <f t="shared" si="10"/>
        <v>1932.7033005628605</v>
      </c>
      <c r="AD21" s="71"/>
      <c r="AE21" s="71" t="e">
        <f t="shared" si="11"/>
        <v>#DIV/0!</v>
      </c>
      <c r="AF21" s="73" t="e">
        <f t="shared" si="12"/>
        <v>#DIV/0!</v>
      </c>
      <c r="AG21" s="73"/>
      <c r="AH21" s="74">
        <f t="shared" si="13"/>
        <v>6.6994279366688517E-2</v>
      </c>
      <c r="AI21" s="71">
        <f t="shared" si="14"/>
        <v>0.28615944430882767</v>
      </c>
      <c r="AJ21" s="72" t="e">
        <f t="shared" si="15"/>
        <v>#DIV/0!</v>
      </c>
      <c r="AK21" s="163" t="e">
        <f t="shared" si="16"/>
        <v>#DIV/0!</v>
      </c>
      <c r="AL21" s="71" t="e">
        <f t="shared" si="17"/>
        <v>#DIV/0!</v>
      </c>
      <c r="AM21" s="71">
        <f t="shared" si="18"/>
        <v>134.4881240259198</v>
      </c>
      <c r="AN21" s="71" t="e">
        <f t="shared" si="19"/>
        <v>#DIV/0!</v>
      </c>
      <c r="AO21" s="165" t="e">
        <f t="shared" si="1"/>
        <v>#DIV/0!</v>
      </c>
      <c r="AP21" s="143" t="e">
        <f t="shared" si="20"/>
        <v>#DIV/0!</v>
      </c>
    </row>
    <row r="22" spans="1:42" x14ac:dyDescent="0.15">
      <c r="A22" s="225">
        <v>42779</v>
      </c>
      <c r="B22" s="73">
        <v>22</v>
      </c>
      <c r="C22" s="73">
        <v>23.25</v>
      </c>
      <c r="D22" s="73">
        <v>2.4632999999999998</v>
      </c>
      <c r="E22" s="73">
        <v>35</v>
      </c>
      <c r="F22" s="73">
        <v>3.6077487255562493</v>
      </c>
      <c r="G22" s="73">
        <v>0.96770493015134107</v>
      </c>
      <c r="H22" s="73"/>
      <c r="I22" s="73">
        <v>2.9117589382126661</v>
      </c>
      <c r="J22" s="73">
        <v>0.4982750530873708</v>
      </c>
      <c r="K22" s="73"/>
      <c r="L22" s="73">
        <v>0.53181962211587697</v>
      </c>
      <c r="M22" s="73">
        <v>0.18402776047521693</v>
      </c>
      <c r="N22" s="73">
        <v>-0.36242029211229287</v>
      </c>
      <c r="O22" s="73">
        <v>-0.36242029211229287</v>
      </c>
      <c r="P22" s="73"/>
      <c r="Q22" s="73">
        <v>0.69598978734358319</v>
      </c>
      <c r="R22" s="73">
        <v>1.0884534259068848</v>
      </c>
      <c r="S22" s="73">
        <f t="shared" si="2"/>
        <v>0.23838387096774191</v>
      </c>
      <c r="T22" s="73">
        <f t="shared" si="3"/>
        <v>1.691758064516129</v>
      </c>
      <c r="U22" s="73">
        <f t="shared" si="4"/>
        <v>0.16591273966097889</v>
      </c>
      <c r="V22" s="73">
        <f t="shared" si="5"/>
        <v>0.25946974103578346</v>
      </c>
      <c r="W22" s="73">
        <f t="shared" si="0"/>
        <v>0.52434890066212858</v>
      </c>
      <c r="X22" s="73">
        <f t="shared" si="6"/>
        <v>23.25</v>
      </c>
      <c r="Y22" s="73">
        <f t="shared" si="7"/>
        <v>91.123284536499881</v>
      </c>
      <c r="Z22" s="73">
        <f t="shared" si="8"/>
        <v>9.2868218309364359</v>
      </c>
      <c r="AA22" s="73">
        <f t="shared" si="9"/>
        <v>9.0126774570492376</v>
      </c>
      <c r="AB22" s="73"/>
      <c r="AC22" s="73">
        <f t="shared" si="10"/>
        <v>1923.8767154635002</v>
      </c>
      <c r="AD22" s="71"/>
      <c r="AE22" s="71" t="e">
        <f t="shared" si="11"/>
        <v>#DIV/0!</v>
      </c>
      <c r="AF22" s="73" t="e">
        <f t="shared" si="12"/>
        <v>#DIV/0!</v>
      </c>
      <c r="AG22" s="73"/>
      <c r="AH22" s="74">
        <f t="shared" si="13"/>
        <v>6.7324546513176528E-2</v>
      </c>
      <c r="AI22" s="71">
        <f t="shared" si="14"/>
        <v>0.21916516494213917</v>
      </c>
      <c r="AJ22" s="72" t="e">
        <f t="shared" si="15"/>
        <v>#DIV/0!</v>
      </c>
      <c r="AK22" s="163" t="e">
        <f t="shared" si="16"/>
        <v>#DIV/0!</v>
      </c>
      <c r="AL22" s="71" t="e">
        <f t="shared" si="17"/>
        <v>#DIV/0!</v>
      </c>
      <c r="AM22" s="71">
        <f t="shared" si="18"/>
        <v>81.228354944803513</v>
      </c>
      <c r="AN22" s="71" t="e">
        <f t="shared" si="19"/>
        <v>#DIV/0!</v>
      </c>
      <c r="AO22" s="165" t="e">
        <f t="shared" si="1"/>
        <v>#DIV/0!</v>
      </c>
      <c r="AP22" s="143" t="e">
        <f t="shared" si="20"/>
        <v>#DIV/0!</v>
      </c>
    </row>
    <row r="23" spans="1:42" x14ac:dyDescent="0.15">
      <c r="A23" s="225">
        <v>42780</v>
      </c>
      <c r="B23" s="73">
        <v>25</v>
      </c>
      <c r="C23" s="73">
        <v>26.25</v>
      </c>
      <c r="D23" s="73">
        <v>2.4904999999999995</v>
      </c>
      <c r="E23" s="73">
        <v>35</v>
      </c>
      <c r="F23" s="73">
        <v>2.9971276888806835</v>
      </c>
      <c r="G23" s="73">
        <v>0.55844294523499993</v>
      </c>
      <c r="H23" s="73"/>
      <c r="I23" s="73">
        <v>1.5327488719174893</v>
      </c>
      <c r="J23" s="73">
        <v>0.29006203815609982</v>
      </c>
      <c r="K23" s="73"/>
      <c r="L23" s="73">
        <v>0.1728001914079324</v>
      </c>
      <c r="M23" s="73">
        <v>0.10201553996114178</v>
      </c>
      <c r="N23" s="73">
        <v>0.3814311368241618</v>
      </c>
      <c r="O23" s="73">
        <v>0.3814311368241618</v>
      </c>
      <c r="P23" s="73"/>
      <c r="Q23" s="73">
        <v>1.4643788169631942</v>
      </c>
      <c r="R23" s="73">
        <v>0.62928094605034068</v>
      </c>
      <c r="S23" s="73">
        <f t="shared" si="2"/>
        <v>0.24101612903225803</v>
      </c>
      <c r="T23" s="73">
        <f t="shared" si="3"/>
        <v>1.9327741935483871</v>
      </c>
      <c r="U23" s="73">
        <f t="shared" si="4"/>
        <v>0.35293891390130666</v>
      </c>
      <c r="V23" s="73">
        <f t="shared" si="5"/>
        <v>0.15166685769081037</v>
      </c>
      <c r="W23" s="73">
        <f t="shared" si="0"/>
        <v>0.17140998676082195</v>
      </c>
      <c r="X23" s="73">
        <f t="shared" si="6"/>
        <v>26.25</v>
      </c>
      <c r="Y23" s="73">
        <f t="shared" si="7"/>
        <v>127.02184705559756</v>
      </c>
      <c r="Z23" s="73">
        <f t="shared" si="8"/>
        <v>35.860662325741863</v>
      </c>
      <c r="AA23" s="73">
        <f t="shared" si="9"/>
        <v>35.522826010942183</v>
      </c>
      <c r="AB23" s="73"/>
      <c r="AC23" s="73">
        <f t="shared" si="10"/>
        <v>1887.9781529444024</v>
      </c>
      <c r="AD23" s="71"/>
      <c r="AE23" s="71" t="e">
        <f t="shared" si="11"/>
        <v>#DIV/0!</v>
      </c>
      <c r="AF23" s="73" t="e">
        <f t="shared" si="12"/>
        <v>#DIV/0!</v>
      </c>
      <c r="AG23" s="73"/>
      <c r="AH23" s="74">
        <f t="shared" si="13"/>
        <v>2.3002835721804525E-2</v>
      </c>
      <c r="AI23" s="71">
        <f t="shared" si="14"/>
        <v>0.15184061842896265</v>
      </c>
      <c r="AJ23" s="72" t="e">
        <f t="shared" si="15"/>
        <v>#DIV/0!</v>
      </c>
      <c r="AK23" s="163" t="e">
        <f t="shared" si="16"/>
        <v>#DIV/0!</v>
      </c>
      <c r="AL23" s="71" t="e">
        <f t="shared" si="17"/>
        <v>#DIV/0!</v>
      </c>
      <c r="AM23" s="71">
        <f t="shared" si="18"/>
        <v>1261.8711678036705</v>
      </c>
      <c r="AN23" s="71" t="e">
        <f t="shared" si="19"/>
        <v>#DIV/0!</v>
      </c>
      <c r="AO23" s="165" t="e">
        <f t="shared" si="1"/>
        <v>#DIV/0!</v>
      </c>
      <c r="AP23" s="143" t="e">
        <f t="shared" si="20"/>
        <v>#DIV/0!</v>
      </c>
    </row>
    <row r="24" spans="1:42" x14ac:dyDescent="0.15">
      <c r="A24" s="225">
        <v>42781</v>
      </c>
      <c r="B24" s="73">
        <v>28</v>
      </c>
      <c r="C24" s="73">
        <v>29.25</v>
      </c>
      <c r="D24" s="73">
        <v>2.3653</v>
      </c>
      <c r="E24" s="73">
        <v>35</v>
      </c>
      <c r="F24" s="73">
        <v>3.178155747726882</v>
      </c>
      <c r="G24" s="73">
        <v>0.73655543385256372</v>
      </c>
      <c r="H24" s="73"/>
      <c r="I24" s="73">
        <v>2.4293135163558821</v>
      </c>
      <c r="J24" s="73">
        <v>0.39628783016023439</v>
      </c>
      <c r="K24" s="73"/>
      <c r="L24" s="73">
        <v>9.3042720437381765E-2</v>
      </c>
      <c r="M24" s="73">
        <v>0.13991196530172356</v>
      </c>
      <c r="N24" s="73">
        <v>-0.2892269566764647</v>
      </c>
      <c r="O24" s="73">
        <v>-0.2892269566764647</v>
      </c>
      <c r="P24" s="73"/>
      <c r="Q24" s="73">
        <v>0.74884223137099992</v>
      </c>
      <c r="R24" s="73">
        <v>0.83639581029010734</v>
      </c>
      <c r="S24" s="73">
        <f t="shared" si="2"/>
        <v>0.22890000000000002</v>
      </c>
      <c r="T24" s="73">
        <f t="shared" si="3"/>
        <v>2.1616741935483872</v>
      </c>
      <c r="U24" s="73">
        <f>(T24-T23)*Q24</f>
        <v>0.17140998676082195</v>
      </c>
      <c r="V24" s="73">
        <f t="shared" si="5"/>
        <v>0.19145100097540566</v>
      </c>
      <c r="W24" s="73">
        <f t="shared" si="0"/>
        <v>0</v>
      </c>
      <c r="X24" s="73">
        <f t="shared" si="6"/>
        <v>29.25</v>
      </c>
      <c r="Y24" s="73" t="e">
        <f t="shared" si="7"/>
        <v>#DIV/0!</v>
      </c>
      <c r="Z24" s="73" t="e">
        <f t="shared" si="8"/>
        <v>#DIV/0!</v>
      </c>
      <c r="AA24" s="73" t="e">
        <f t="shared" si="9"/>
        <v>#DIV/0!</v>
      </c>
      <c r="AB24" s="73"/>
      <c r="AC24" s="73" t="e">
        <f t="shared" si="10"/>
        <v>#DIV/0!</v>
      </c>
      <c r="AD24" s="71"/>
      <c r="AE24" s="71" t="e">
        <f t="shared" si="11"/>
        <v>#DIV/0!</v>
      </c>
      <c r="AF24" s="73" t="e">
        <f t="shared" si="12"/>
        <v>#DIV/0!</v>
      </c>
      <c r="AG24" s="73"/>
      <c r="AH24" s="74">
        <f t="shared" si="13"/>
        <v>3.6653485774484774E-2</v>
      </c>
      <c r="AI24" s="71">
        <f t="shared" si="14"/>
        <v>0.12883778270715812</v>
      </c>
      <c r="AJ24" s="72" t="e">
        <f t="shared" si="15"/>
        <v>#DIV/0!</v>
      </c>
      <c r="AK24" s="163" t="e">
        <f t="shared" si="16"/>
        <v>#DIV/0!</v>
      </c>
      <c r="AL24" s="71" t="e">
        <f t="shared" si="17"/>
        <v>#DIV/0!</v>
      </c>
      <c r="AM24" s="71" t="e">
        <f t="shared" si="18"/>
        <v>#DIV/0!</v>
      </c>
      <c r="AN24" s="71" t="e">
        <f t="shared" si="19"/>
        <v>#DIV/0!</v>
      </c>
      <c r="AO24" s="165" t="e">
        <f t="shared" si="1"/>
        <v>#DIV/0!</v>
      </c>
      <c r="AP24" s="143" t="e">
        <f t="shared" si="20"/>
        <v>#DIV/0!</v>
      </c>
    </row>
    <row r="25" spans="1:42" x14ac:dyDescent="0.15">
      <c r="A25" s="225">
        <v>42782</v>
      </c>
      <c r="B25" s="73">
        <v>31</v>
      </c>
      <c r="C25" s="73">
        <v>32.25</v>
      </c>
      <c r="D25" s="73">
        <v>2.5585</v>
      </c>
      <c r="E25" s="73">
        <v>35</v>
      </c>
      <c r="F25" s="73">
        <v>1.7397447964352299</v>
      </c>
      <c r="G25" s="73">
        <v>0.91293295068994718</v>
      </c>
      <c r="H25" s="73"/>
      <c r="I25" s="73">
        <v>2.3457170484195018</v>
      </c>
      <c r="J25" s="73">
        <v>0.47748813727049727</v>
      </c>
      <c r="K25" s="73"/>
      <c r="L25" s="73">
        <v>1.2028678178070421E-2</v>
      </c>
      <c r="M25" s="73">
        <v>0.17830298784471194</v>
      </c>
      <c r="N25" s="73" t="e">
        <v>#NUM!</v>
      </c>
      <c r="O25" s="73" t="e">
        <v>#NUM!</v>
      </c>
      <c r="P25" s="73"/>
      <c r="Q25" s="73">
        <v>0</v>
      </c>
      <c r="R25" s="73">
        <v>1.0302628274811738</v>
      </c>
      <c r="S25" s="73">
        <f>D25*6/62</f>
        <v>0.24759677419354836</v>
      </c>
      <c r="T25" s="73">
        <f>T24+S25</f>
        <v>2.4092709677419357</v>
      </c>
      <c r="U25" s="73">
        <f>(T25-T24)*Q25</f>
        <v>0</v>
      </c>
      <c r="V25" s="73">
        <f>(T25-T24)*R25</f>
        <v>0.25508975265586303</v>
      </c>
      <c r="W25" s="73">
        <f>IF(U26=0,0,U26+W26)</f>
        <v>0</v>
      </c>
      <c r="X25" s="73">
        <f>C25</f>
        <v>32.25</v>
      </c>
      <c r="Y25" s="73" t="e">
        <f>LN($U$5/W25)/0.031146067</f>
        <v>#DIV/0!</v>
      </c>
      <c r="Z25" s="73" t="e">
        <f>((U$7/(U$5^2*0.031146067^2))+(AH26/(0.031146067^2*W25^2)))^0.5</f>
        <v>#DIV/0!</v>
      </c>
      <c r="AA25" s="73" t="e">
        <f>((U$7/(U$5^2*0.03114^2))+(AH26/(0.03114^2*W25^2))-(AH26/(0.03114^2*U$5*W25)))^0.5</f>
        <v>#DIV/0!</v>
      </c>
      <c r="AB25" s="73"/>
      <c r="AC25" s="73" t="e">
        <f>$B$8-Y25</f>
        <v>#DIV/0!</v>
      </c>
      <c r="AD25" s="71"/>
      <c r="AE25" s="71" t="e">
        <f>((U$7/(U$5^2*0.031146067^2))+(AN26/(0.031146067^2*AC25^2)))^0.5</f>
        <v>#DIV/0!</v>
      </c>
      <c r="AF25" s="73" t="e">
        <f>((U$7/(U$5^2*0.03114^2))+(AN26/(0.03114^2*AC25^2))-(AN26/(0.03114^2*U$5*AC25)))^0.5</f>
        <v>#DIV/0!</v>
      </c>
      <c r="AG25" s="73"/>
      <c r="AH25" s="74">
        <f>(V25)^2</f>
        <v>6.5070781910029379E-2</v>
      </c>
      <c r="AI25" s="71">
        <f>AH25+AI26</f>
        <v>9.2184296932673354E-2</v>
      </c>
      <c r="AJ25" s="72" t="e">
        <f>(Y25-T24)/(AE25-Y24)*1000</f>
        <v>#DIV/0!</v>
      </c>
      <c r="AK25" s="163" t="e">
        <f>((0.03114^2*(AC25/X25)^2*((AN25^0.5/AC25)^2+(Y25/X25)^2))^0.5)*1000</f>
        <v>#DIV/0!</v>
      </c>
      <c r="AL25" s="71" t="e">
        <f>AK25/AJ25*100</f>
        <v>#DIV/0!</v>
      </c>
      <c r="AM25" s="71" t="e">
        <f>AA25^2</f>
        <v>#DIV/0!</v>
      </c>
      <c r="AN25" s="71" t="e">
        <f>AM25+AN26</f>
        <v>#DIV/0!</v>
      </c>
      <c r="AO25" s="165" t="e">
        <f t="shared" si="1"/>
        <v>#DIV/0!</v>
      </c>
      <c r="AP25" s="143" t="e">
        <f>-(AO25-$AO$22)</f>
        <v>#DIV/0!</v>
      </c>
    </row>
    <row r="26" spans="1:42" x14ac:dyDescent="0.15">
      <c r="A26" s="225">
        <v>42783</v>
      </c>
      <c r="B26" s="73">
        <v>34</v>
      </c>
      <c r="C26" s="73">
        <v>35.25</v>
      </c>
      <c r="D26" s="73">
        <v>2.2424000000000004</v>
      </c>
      <c r="E26" s="73">
        <v>35</v>
      </c>
      <c r="F26" s="73">
        <v>1.4786718124877087</v>
      </c>
      <c r="G26" s="73">
        <v>0.67257780250883714</v>
      </c>
      <c r="H26" s="73"/>
      <c r="I26" s="73">
        <v>2.5831895449259203</v>
      </c>
      <c r="J26" s="73">
        <v>0.35128027323450828</v>
      </c>
      <c r="K26" s="73"/>
      <c r="L26" s="73">
        <v>1.0567136957705165E-2</v>
      </c>
      <c r="M26" s="73">
        <v>0.12360876232898044</v>
      </c>
      <c r="N26" s="73" t="e">
        <v>#NUM!</v>
      </c>
      <c r="O26" s="73" t="e">
        <v>#NUM!</v>
      </c>
      <c r="P26" s="73"/>
      <c r="Q26" s="73">
        <v>0</v>
      </c>
      <c r="R26" s="73">
        <v>0.75878767174442618</v>
      </c>
      <c r="S26" s="73">
        <f>D26*6/62</f>
        <v>0.21700645161290327</v>
      </c>
      <c r="T26" s="73">
        <f>T25+S26</f>
        <v>2.6262774193548388</v>
      </c>
      <c r="U26" s="73">
        <f>(T26-T25)*Q26</f>
        <v>0</v>
      </c>
      <c r="V26" s="73">
        <f>(T26-T25)*R26</f>
        <v>0.16466182017287423</v>
      </c>
      <c r="W26" s="73">
        <f>IF(U27=0,0,U27+W27)</f>
        <v>0</v>
      </c>
      <c r="X26" s="73">
        <f>C26</f>
        <v>35.25</v>
      </c>
      <c r="Y26" s="73" t="e">
        <f>LN($U$5/W26)/0.031146067</f>
        <v>#DIV/0!</v>
      </c>
      <c r="Z26" s="73" t="e">
        <f>((U$7/(U$5^2*0.031146067^2))+(AH27/(0.031146067^2*W26^2)))^0.5</f>
        <v>#DIV/0!</v>
      </c>
      <c r="AA26" s="73" t="e">
        <f>((U$7/(U$5^2*0.03114^2))+(AH27/(0.03114^2*W26^2))-(AH27/(0.03114^2*U$5*W26)))^0.5</f>
        <v>#DIV/0!</v>
      </c>
      <c r="AB26" s="73"/>
      <c r="AC26" s="73" t="e">
        <f>$B$8-Y26</f>
        <v>#DIV/0!</v>
      </c>
      <c r="AD26" s="71"/>
      <c r="AE26" s="71" t="e">
        <f>((U$7/(U$5^2*0.031146067^2))+(AN27/(0.031146067^2*AC26^2)))^0.5</f>
        <v>#DIV/0!</v>
      </c>
      <c r="AF26" s="73" t="e">
        <f>((U$7/(U$5^2*0.03114^2))+(AN27/(0.03114^2*AC26^2))-(AN27/(0.03114^2*U$5*AC26)))^0.5</f>
        <v>#DIV/0!</v>
      </c>
      <c r="AG26" s="73"/>
      <c r="AH26" s="74">
        <f>(V26)^2</f>
        <v>2.7113515022643971E-2</v>
      </c>
      <c r="AI26" s="71">
        <f>AH26+AI27</f>
        <v>2.7113515022643971E-2</v>
      </c>
      <c r="AJ26" s="72" t="e">
        <f>(Y26-T25)/(AE26-Y25)*1000</f>
        <v>#DIV/0!</v>
      </c>
      <c r="AK26" s="163" t="e">
        <f>((0.03114^2*(AC26/X26)^2*((AN26^0.5/AC26)^2+(Y26/X26)^2))^0.5)*1000</f>
        <v>#DIV/0!</v>
      </c>
      <c r="AL26" s="71" t="e">
        <f>AK26/AJ26*100</f>
        <v>#DIV/0!</v>
      </c>
      <c r="AM26" s="71" t="e">
        <f>AA26^2</f>
        <v>#DIV/0!</v>
      </c>
      <c r="AN26" s="71" t="e">
        <f>AM26+AN27</f>
        <v>#DIV/0!</v>
      </c>
      <c r="AO26" s="165" t="e">
        <f t="shared" si="1"/>
        <v>#DIV/0!</v>
      </c>
      <c r="AP26" s="143" t="e">
        <f>-(AO26-$AO$22)</f>
        <v>#DIV/0!</v>
      </c>
    </row>
    <row r="27" spans="1:42" x14ac:dyDescent="0.15">
      <c r="A27" s="225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1"/>
      <c r="AE27" s="71"/>
      <c r="AF27" s="73"/>
      <c r="AG27" s="73"/>
      <c r="AH27" s="74"/>
      <c r="AI27" s="71"/>
      <c r="AJ27" s="72"/>
      <c r="AK27" s="163"/>
      <c r="AL27" s="71"/>
      <c r="AM27" s="71"/>
      <c r="AN27" s="71"/>
      <c r="AO27" s="165"/>
      <c r="AP27" s="143"/>
    </row>
    <row r="28" spans="1:42" x14ac:dyDescent="0.15">
      <c r="A28" s="22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1"/>
      <c r="AE28" s="71"/>
      <c r="AF28" s="73"/>
      <c r="AG28" s="73"/>
      <c r="AH28" s="74"/>
      <c r="AI28" s="71"/>
      <c r="AJ28" s="72"/>
      <c r="AK28" s="163"/>
      <c r="AL28" s="71"/>
      <c r="AM28" s="71"/>
      <c r="AN28" s="71"/>
      <c r="AO28" s="165"/>
      <c r="AP28" s="143"/>
    </row>
    <row r="29" spans="1:42" x14ac:dyDescent="0.15">
      <c r="A29" s="225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1"/>
      <c r="AE29" s="71"/>
      <c r="AF29" s="73"/>
      <c r="AG29" s="73"/>
      <c r="AH29" s="74"/>
      <c r="AI29" s="71"/>
      <c r="AJ29" s="72"/>
      <c r="AK29" s="163"/>
      <c r="AL29" s="71"/>
      <c r="AM29" s="71"/>
      <c r="AN29" s="71"/>
      <c r="AO29" s="165"/>
      <c r="AP29" s="143"/>
    </row>
    <row r="30" spans="1:42" x14ac:dyDescent="0.15">
      <c r="A30" s="225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1"/>
      <c r="AE30" s="71"/>
      <c r="AF30" s="73"/>
      <c r="AG30" s="73"/>
      <c r="AH30" s="74"/>
      <c r="AI30" s="71"/>
      <c r="AJ30" s="72"/>
      <c r="AK30" s="163"/>
      <c r="AL30" s="71"/>
      <c r="AM30" s="71"/>
      <c r="AN30" s="71"/>
      <c r="AO30" s="165"/>
      <c r="AP30" s="143"/>
    </row>
    <row r="32" spans="1:42" x14ac:dyDescent="0.15">
      <c r="E32" t="s">
        <v>203</v>
      </c>
    </row>
    <row r="34" spans="9:12" x14ac:dyDescent="0.15">
      <c r="I34" s="226" t="s">
        <v>227</v>
      </c>
      <c r="L34" s="28" t="s">
        <v>229</v>
      </c>
    </row>
    <row r="35" spans="9:12" x14ac:dyDescent="0.15">
      <c r="I35" s="226" t="s">
        <v>228</v>
      </c>
      <c r="L35" s="163">
        <f>53*I36</f>
        <v>14.129101796407186</v>
      </c>
    </row>
    <row r="36" spans="9:12" x14ac:dyDescent="0.15">
      <c r="I36" s="227">
        <f>0.031164/0.1169</f>
        <v>0.26658682634730541</v>
      </c>
    </row>
  </sheetData>
  <phoneticPr fontId="17" type="noConversion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5" workbookViewId="0">
      <selection activeCell="N28" sqref="N28"/>
    </sheetView>
  </sheetViews>
  <sheetFormatPr baseColWidth="10" defaultColWidth="11.5" defaultRowHeight="13" x14ac:dyDescent="0.15"/>
  <cols>
    <col min="1" max="1" width="17.5" customWidth="1"/>
    <col min="2" max="2" width="14.6640625" customWidth="1"/>
    <col min="3" max="11" width="11.5" customWidth="1"/>
    <col min="12" max="12" width="14.33203125" customWidth="1"/>
  </cols>
  <sheetData>
    <row r="1" spans="1:13" ht="15" x14ac:dyDescent="0.2">
      <c r="A1" s="196" t="s">
        <v>85</v>
      </c>
      <c r="B1" s="197" t="s">
        <v>86</v>
      </c>
      <c r="C1" s="198" t="s">
        <v>8</v>
      </c>
      <c r="D1" s="198" t="s">
        <v>8</v>
      </c>
      <c r="E1" s="198" t="s">
        <v>87</v>
      </c>
      <c r="F1" s="199" t="s">
        <v>88</v>
      </c>
      <c r="G1" s="199" t="s">
        <v>9</v>
      </c>
      <c r="H1" s="197" t="s">
        <v>10</v>
      </c>
      <c r="I1" s="197" t="s">
        <v>11</v>
      </c>
      <c r="J1" s="203" t="s">
        <v>12</v>
      </c>
      <c r="K1" s="202" t="s">
        <v>177</v>
      </c>
      <c r="L1" s="199" t="s">
        <v>13</v>
      </c>
    </row>
    <row r="2" spans="1:13" ht="15" x14ac:dyDescent="0.2">
      <c r="A2" s="199"/>
      <c r="B2" s="200" t="s">
        <v>89</v>
      </c>
      <c r="C2" s="200" t="s">
        <v>186</v>
      </c>
      <c r="D2" s="200" t="s">
        <v>186</v>
      </c>
      <c r="E2" s="198" t="s">
        <v>90</v>
      </c>
      <c r="F2" s="199" t="s">
        <v>187</v>
      </c>
      <c r="G2" s="199" t="s">
        <v>187</v>
      </c>
      <c r="H2" s="197"/>
      <c r="I2" s="197" t="s">
        <v>14</v>
      </c>
      <c r="J2" s="203"/>
      <c r="K2" s="197"/>
      <c r="L2" s="199" t="s">
        <v>15</v>
      </c>
    </row>
    <row r="3" spans="1:13" ht="15" x14ac:dyDescent="0.2">
      <c r="A3" s="196"/>
      <c r="B3" s="198"/>
      <c r="C3" s="199"/>
      <c r="D3" s="197"/>
      <c r="E3" s="199"/>
      <c r="F3" s="199"/>
      <c r="G3" s="199"/>
      <c r="H3" s="197"/>
      <c r="I3" s="203"/>
      <c r="J3" s="197"/>
      <c r="K3" s="197"/>
      <c r="L3" s="200" t="s">
        <v>16</v>
      </c>
    </row>
    <row r="4" spans="1:13" ht="15" x14ac:dyDescent="0.2">
      <c r="A4" s="196" t="s">
        <v>91</v>
      </c>
      <c r="B4" s="163">
        <v>2.7306084095259902</v>
      </c>
      <c r="C4" s="197">
        <v>-0.47531007751937993</v>
      </c>
      <c r="D4" s="197">
        <v>0.75</v>
      </c>
      <c r="E4" s="201">
        <v>8.5800000000000001E-2</v>
      </c>
      <c r="F4">
        <v>0.88660000000000005</v>
      </c>
      <c r="G4" s="197">
        <f>F4/E4</f>
        <v>10.333333333333334</v>
      </c>
      <c r="H4" s="197">
        <f t="shared" ref="H4:H20" si="0">(B4*F4)/G4</f>
        <v>0.23428620153732999</v>
      </c>
      <c r="I4" s="204">
        <f>(0.0311*SUM(H4:$H$20))/B4</f>
        <v>0.5271989167569624</v>
      </c>
      <c r="J4" s="197"/>
      <c r="K4" s="205">
        <v>1999</v>
      </c>
      <c r="L4" s="197">
        <f>H22*0.0311</f>
        <v>1.439573795589554</v>
      </c>
      <c r="M4">
        <v>2001.5904205761692</v>
      </c>
    </row>
    <row r="5" spans="1:13" ht="15" x14ac:dyDescent="0.2">
      <c r="A5" s="196" t="s">
        <v>92</v>
      </c>
      <c r="B5" s="163">
        <v>13.369105519320643</v>
      </c>
      <c r="C5" s="197">
        <v>-1.4739534883720933</v>
      </c>
      <c r="D5" s="197">
        <v>1.75</v>
      </c>
      <c r="E5" s="201">
        <v>9.9454838709677418E-2</v>
      </c>
      <c r="F5">
        <v>1.0277000000000001</v>
      </c>
      <c r="G5" s="197">
        <f t="shared" ref="G5:G20" si="1">F5/E5</f>
        <v>10.333333333333334</v>
      </c>
      <c r="H5" s="197">
        <f t="shared" si="0"/>
        <v>1.3296222331166927</v>
      </c>
      <c r="I5" s="204">
        <f>(0.0311*SUM(H5:$H$20))/B5</f>
        <v>0.10713413045112427</v>
      </c>
      <c r="J5" s="197">
        <f>(1/0.0311)*LN((SUM($H$4:$H$20))/SUM(H5:$H$20))</f>
        <v>0.16316018119268658</v>
      </c>
      <c r="K5" s="205">
        <f>$K$4-J5</f>
        <v>1998.8368398188072</v>
      </c>
      <c r="L5" s="197"/>
      <c r="M5">
        <v>2000.669436408823</v>
      </c>
    </row>
    <row r="6" spans="1:13" ht="15" x14ac:dyDescent="0.2">
      <c r="A6" s="196" t="s">
        <v>93</v>
      </c>
      <c r="B6" s="163">
        <v>9.2908955945207481</v>
      </c>
      <c r="C6" s="197">
        <v>-2.5659302325581397</v>
      </c>
      <c r="D6" s="197">
        <v>2.75</v>
      </c>
      <c r="E6" s="201">
        <v>9.4877419354838718E-2</v>
      </c>
      <c r="F6">
        <v>0.98040000000000005</v>
      </c>
      <c r="G6" s="197">
        <f t="shared" si="1"/>
        <v>10.333333333333332</v>
      </c>
      <c r="H6" s="197">
        <f t="shared" si="0"/>
        <v>0.88149619750336872</v>
      </c>
      <c r="I6" s="204">
        <f>(0.0311*SUM(H6:$H$20))/B6</f>
        <v>0.14970959786612073</v>
      </c>
      <c r="J6" s="197">
        <f>(1/0.0311)*LN((SUM($H$4:$H$20))/SUM(H6:$H$20))</f>
        <v>1.1051452661586583</v>
      </c>
      <c r="K6" s="205">
        <f t="shared" ref="K6:K20" si="2">$K$4-J6</f>
        <v>1997.8948547338414</v>
      </c>
      <c r="L6" s="197"/>
      <c r="M6">
        <v>2000.0439591611278</v>
      </c>
    </row>
    <row r="7" spans="1:13" ht="15" x14ac:dyDescent="0.2">
      <c r="A7" s="196" t="s">
        <v>94</v>
      </c>
      <c r="B7" s="163">
        <v>18.288536891664045</v>
      </c>
      <c r="C7" s="197">
        <v>-3.6429069767441864</v>
      </c>
      <c r="D7" s="197">
        <v>5.25</v>
      </c>
      <c r="E7" s="201">
        <v>0.11221935483870966</v>
      </c>
      <c r="F7">
        <v>1.1596</v>
      </c>
      <c r="G7" s="197">
        <f t="shared" si="1"/>
        <v>10.333333333333334</v>
      </c>
      <c r="H7" s="197">
        <f t="shared" si="0"/>
        <v>2.0523278109264798</v>
      </c>
      <c r="I7" s="204">
        <f>(0.0311*SUM(H7:$H$20))/B7</f>
        <v>7.4556085027827207E-2</v>
      </c>
      <c r="J7" s="197">
        <f>(1/0.0311)*LN((SUM($H$4:$H$20))/SUM(H7:$H$20))</f>
        <v>1.7452169754408196</v>
      </c>
      <c r="K7" s="205">
        <f t="shared" si="2"/>
        <v>1997.2547830245592</v>
      </c>
      <c r="L7" s="197"/>
      <c r="M7">
        <v>1998.5386844191614</v>
      </c>
    </row>
    <row r="8" spans="1:13" ht="15" x14ac:dyDescent="0.2">
      <c r="A8" s="196" t="s">
        <v>95</v>
      </c>
      <c r="B8" s="163">
        <v>24.10504356700379</v>
      </c>
      <c r="C8" s="197">
        <v>-4.7148837209302332</v>
      </c>
      <c r="D8" s="197">
        <v>6.4335000000000004</v>
      </c>
      <c r="E8" s="201">
        <v>0.13957741935483872</v>
      </c>
      <c r="F8">
        <v>1.4422999999999999</v>
      </c>
      <c r="G8" s="197">
        <f t="shared" si="1"/>
        <v>10.333333333333332</v>
      </c>
      <c r="H8" s="197">
        <f t="shared" si="0"/>
        <v>3.3645197745183455</v>
      </c>
      <c r="I8" s="204">
        <f>(0.0311*SUM(H8:$H$20))/B8</f>
        <v>5.3917940990106036E-2</v>
      </c>
      <c r="J8" s="197">
        <f>(1/0.0311)*LN((SUM($H$4:$H$20))/SUM(H8:$H$20))</f>
        <v>3.2867523712397566</v>
      </c>
      <c r="K8" s="205">
        <f t="shared" si="2"/>
        <v>1995.7132476287602</v>
      </c>
      <c r="L8" s="197"/>
      <c r="M8">
        <v>1995.9072781649861</v>
      </c>
    </row>
    <row r="9" spans="1:13" ht="15" x14ac:dyDescent="0.2">
      <c r="A9" s="196" t="s">
        <v>96</v>
      </c>
      <c r="B9" s="163">
        <v>26.218861113211634</v>
      </c>
      <c r="C9" s="197">
        <v>-5.8101937984496139</v>
      </c>
      <c r="D9" s="197">
        <v>7.8784999999999998</v>
      </c>
      <c r="E9" s="201">
        <v>0.14495806451612905</v>
      </c>
      <c r="F9">
        <v>1.4979</v>
      </c>
      <c r="G9" s="197">
        <f t="shared" si="1"/>
        <v>10.333333333333332</v>
      </c>
      <c r="H9" s="197">
        <f t="shared" si="0"/>
        <v>3.8006353607883594</v>
      </c>
      <c r="I9" s="204">
        <f>(0.0311*SUM(H9:$H$20))/B9</f>
        <v>4.5580078648799038E-2</v>
      </c>
      <c r="J9" s="197">
        <f>(1/0.0311)*LN((SUM($H$4:$H$20))/SUM(H9:$H$20))</f>
        <v>5.9856135871563101</v>
      </c>
      <c r="K9" s="205">
        <f t="shared" si="2"/>
        <v>1993.0143864128436</v>
      </c>
      <c r="L9" s="197"/>
      <c r="M9">
        <v>1992.6497764176436</v>
      </c>
    </row>
    <row r="10" spans="1:13" ht="15" x14ac:dyDescent="0.2">
      <c r="A10" s="196" t="s">
        <v>97</v>
      </c>
      <c r="B10" s="163">
        <v>17.295119145734681</v>
      </c>
      <c r="C10" s="197">
        <v>-6.8105038759689931</v>
      </c>
      <c r="D10" s="197">
        <v>9.3215000000000003</v>
      </c>
      <c r="E10" s="201">
        <v>0.12867096774193545</v>
      </c>
      <c r="F10">
        <v>1.3295999999999999</v>
      </c>
      <c r="G10" s="197">
        <f t="shared" si="1"/>
        <v>10.333333333333336</v>
      </c>
      <c r="H10" s="197">
        <f t="shared" si="0"/>
        <v>2.2253797176937575</v>
      </c>
      <c r="I10" s="204">
        <f>(0.0311*SUM(H10:$H$20))/B10</f>
        <v>6.22636931742203E-2</v>
      </c>
      <c r="J10" s="197">
        <f>(1/0.0311)*LN((SUM($H$4:$H$20))/SUM(H10:$H$20))</f>
        <v>9.33439100506512</v>
      </c>
      <c r="K10" s="205">
        <f t="shared" si="2"/>
        <v>1989.6656089949349</v>
      </c>
      <c r="L10" s="197"/>
      <c r="M10">
        <v>1990.5767971825774</v>
      </c>
    </row>
    <row r="11" spans="1:13" ht="15" x14ac:dyDescent="0.2">
      <c r="A11" s="196" t="s">
        <v>98</v>
      </c>
      <c r="B11" s="163">
        <v>20.051417694363799</v>
      </c>
      <c r="C11" s="197">
        <v>-7.8074806201550393</v>
      </c>
      <c r="D11" s="197">
        <v>11.057499999999999</v>
      </c>
      <c r="E11" s="201">
        <v>0.1298516129032258</v>
      </c>
      <c r="F11">
        <v>1.3418000000000001</v>
      </c>
      <c r="G11" s="197">
        <f t="shared" si="1"/>
        <v>10.333333333333334</v>
      </c>
      <c r="H11" s="197">
        <f t="shared" si="0"/>
        <v>2.6037089286094206</v>
      </c>
      <c r="I11" s="204">
        <f>(0.0311*SUM(H11:$H$20))/B11</f>
        <v>5.0253238850266869E-2</v>
      </c>
      <c r="J11" s="197">
        <f>(1/0.0311)*LN((SUM($H$4:$H$20))/SUM(H11:$H$20))</f>
        <v>11.470338092627971</v>
      </c>
      <c r="K11" s="205">
        <f t="shared" si="2"/>
        <v>1987.529661907372</v>
      </c>
      <c r="L11" s="197"/>
      <c r="M11">
        <v>1987.9682309857787</v>
      </c>
    </row>
    <row r="12" spans="1:13" ht="15" x14ac:dyDescent="0.2">
      <c r="A12" s="196" t="s">
        <v>99</v>
      </c>
      <c r="B12" s="163">
        <v>25.779235468735642</v>
      </c>
      <c r="C12" s="197">
        <v>-8.8994573643410853</v>
      </c>
      <c r="D12" s="197">
        <v>12.5025</v>
      </c>
      <c r="E12" s="201">
        <v>0.15080322580645161</v>
      </c>
      <c r="F12">
        <v>1.5583</v>
      </c>
      <c r="G12" s="197">
        <f t="shared" si="1"/>
        <v>10.333333333333334</v>
      </c>
      <c r="H12" s="197">
        <f t="shared" si="0"/>
        <v>3.887591867509427</v>
      </c>
      <c r="I12" s="204">
        <f>(0.0311*SUM(H12:$H$20))/B12</f>
        <v>3.5946501831888029E-2</v>
      </c>
      <c r="J12" s="197">
        <f>(1/0.0311)*LN((SUM($H$4:$H$20))/SUM(H12:$H$20))</f>
        <v>14.164027634731021</v>
      </c>
      <c r="K12" s="205">
        <f t="shared" si="2"/>
        <v>1984.8359723652691</v>
      </c>
      <c r="L12" s="197"/>
      <c r="M12">
        <v>1983.6305380063413</v>
      </c>
    </row>
    <row r="13" spans="1:13" ht="15" x14ac:dyDescent="0.2">
      <c r="A13" s="196" t="s">
        <v>0</v>
      </c>
      <c r="B13" s="163">
        <v>18.322229321990427</v>
      </c>
      <c r="C13" s="197">
        <v>-9.9864341085271313</v>
      </c>
      <c r="D13" s="197">
        <v>13.6585</v>
      </c>
      <c r="E13" s="201">
        <v>0.11104838709677418</v>
      </c>
      <c r="F13">
        <v>1.1475</v>
      </c>
      <c r="G13" s="197">
        <f t="shared" si="1"/>
        <v>10.333333333333334</v>
      </c>
      <c r="H13" s="197">
        <f t="shared" si="0"/>
        <v>2.0346540142242597</v>
      </c>
      <c r="I13" s="204">
        <f>(0.0311*SUM(H13:$H$20))/B13</f>
        <v>4.3977684907313505E-2</v>
      </c>
      <c r="J13" s="197">
        <f>(1/0.0311)*LN((SUM($H$4:$H$20))/SUM(H13:$H$20))</f>
        <v>18.659324427022369</v>
      </c>
      <c r="K13" s="205">
        <f t="shared" si="2"/>
        <v>1980.3406755729777</v>
      </c>
      <c r="L13" s="197"/>
      <c r="M13">
        <v>1981.1028751454917</v>
      </c>
    </row>
    <row r="14" spans="1:13" ht="15" x14ac:dyDescent="0.2">
      <c r="A14" s="196" t="s">
        <v>1</v>
      </c>
      <c r="B14" s="163">
        <v>17.915906879995731</v>
      </c>
      <c r="C14" s="197">
        <v>-11.076744186046509</v>
      </c>
      <c r="D14" s="197">
        <v>15.3925</v>
      </c>
      <c r="E14" s="201">
        <v>0.11698064516129034</v>
      </c>
      <c r="F14">
        <v>1.2088000000000001</v>
      </c>
      <c r="G14" s="197">
        <f t="shared" si="1"/>
        <v>10.333333333333332</v>
      </c>
      <c r="H14" s="197">
        <f t="shared" si="0"/>
        <v>2.095814345471501</v>
      </c>
      <c r="I14" s="204">
        <f>(0.0311*SUM(H14:$H$20))/B14</f>
        <v>4.1443142848029683E-2</v>
      </c>
      <c r="J14" s="197">
        <f>(1/0.0311)*LN((SUM($H$4:$H$20))/SUM(H14:$H$20))</f>
        <v>21.289098608691891</v>
      </c>
      <c r="K14" s="205">
        <f t="shared" si="2"/>
        <v>1977.7109013913082</v>
      </c>
      <c r="L14" s="197"/>
      <c r="M14">
        <v>1978.2728621529511</v>
      </c>
    </row>
    <row r="15" spans="1:13" ht="15" x14ac:dyDescent="0.2">
      <c r="A15" s="196" t="s">
        <v>2</v>
      </c>
      <c r="B15" s="163">
        <v>19.387868955203782</v>
      </c>
      <c r="C15" s="197">
        <v>-12.182054263565888</v>
      </c>
      <c r="D15" s="197">
        <v>16.837499999999999</v>
      </c>
      <c r="E15" s="202">
        <v>0.12804193548387097</v>
      </c>
      <c r="F15">
        <v>1.3230999999999999</v>
      </c>
      <c r="G15" s="197">
        <f t="shared" si="1"/>
        <v>10.333333333333332</v>
      </c>
      <c r="H15" s="197">
        <f t="shared" si="0"/>
        <v>2.4824602659319477</v>
      </c>
      <c r="I15" s="204">
        <f>(0.0311*SUM(H15:$H$20))/B15</f>
        <v>3.4934817410848244E-2</v>
      </c>
      <c r="J15" s="197">
        <f>(1/0.0311)*LN((SUM($H$4:$H$20))/SUM(H15:$H$20))</f>
        <v>24.243435663384236</v>
      </c>
      <c r="K15" s="205">
        <f t="shared" si="2"/>
        <v>1974.7565643366158</v>
      </c>
      <c r="L15" s="197"/>
      <c r="M15">
        <v>1974.5621832341074</v>
      </c>
    </row>
    <row r="16" spans="1:13" ht="15" x14ac:dyDescent="0.2">
      <c r="A16" s="196" t="s">
        <v>3</v>
      </c>
      <c r="B16" s="163">
        <v>40.963611569132524</v>
      </c>
      <c r="C16" s="197">
        <v>-13.295697674418602</v>
      </c>
      <c r="D16" s="197">
        <v>24.0625</v>
      </c>
      <c r="E16" s="202">
        <v>0.22521290322580645</v>
      </c>
      <c r="F16">
        <v>2.3271999999999999</v>
      </c>
      <c r="G16" s="197">
        <f t="shared" si="1"/>
        <v>10.333333333333334</v>
      </c>
      <c r="H16" s="197">
        <f t="shared" si="0"/>
        <v>9.2255338880985676</v>
      </c>
      <c r="I16" s="204">
        <f>(0.0311*SUM(H16:$H$20))/B16</f>
        <v>1.4649761695260648E-2</v>
      </c>
      <c r="J16" s="197">
        <f>(1/0.0311)*LN((SUM($H$4:$H$20))/SUM(H16:$H$20))</f>
        <v>28.134860281712541</v>
      </c>
      <c r="K16" s="205">
        <f t="shared" si="2"/>
        <v>1970.8651397182875</v>
      </c>
      <c r="L16" s="197"/>
      <c r="M16">
        <v>1955.0562850963154</v>
      </c>
    </row>
    <row r="17" spans="1:13" ht="15" x14ac:dyDescent="0.2">
      <c r="A17" s="196" t="s">
        <v>4</v>
      </c>
      <c r="B17" s="163">
        <v>20.579328494811804</v>
      </c>
      <c r="C17" s="197">
        <v>-14.432674418604647</v>
      </c>
      <c r="D17" s="197">
        <v>31.287500000000001</v>
      </c>
      <c r="E17" s="202">
        <v>0.15132580645161292</v>
      </c>
      <c r="F17">
        <v>1.5637000000000001</v>
      </c>
      <c r="G17" s="197">
        <f t="shared" si="1"/>
        <v>10.333333333333332</v>
      </c>
      <c r="H17" s="197">
        <f t="shared" si="0"/>
        <v>3.1141834807100537</v>
      </c>
      <c r="I17" s="204">
        <f>(0.0311*SUM(H17:$H$20))/B17</f>
        <v>1.5218817456755516E-2</v>
      </c>
      <c r="J17" s="197">
        <f>(1/0.0311)*LN((SUM($H$4:$H$20))/SUM(H17:$H$20))</f>
        <v>49.044457230553775</v>
      </c>
      <c r="K17" s="205">
        <f t="shared" si="2"/>
        <v>1949.9555427694463</v>
      </c>
      <c r="L17" s="199"/>
      <c r="M17">
        <v>1944.4123532206781</v>
      </c>
    </row>
    <row r="18" spans="1:13" ht="15" x14ac:dyDescent="0.2">
      <c r="A18" s="196" t="s">
        <v>5</v>
      </c>
      <c r="B18" s="163">
        <v>19.08852715739485</v>
      </c>
      <c r="C18" s="197">
        <v>-15.577984496124028</v>
      </c>
      <c r="D18" s="197">
        <v>38.223500000000001</v>
      </c>
      <c r="E18" s="197">
        <v>0.16702258064516129</v>
      </c>
      <c r="F18">
        <v>1.7259</v>
      </c>
      <c r="G18" s="197">
        <f t="shared" si="1"/>
        <v>10.333333333333334</v>
      </c>
      <c r="H18" s="197">
        <f t="shared" si="0"/>
        <v>3.1882150665433322</v>
      </c>
      <c r="I18" s="204">
        <f>(0.0311*SUM(H18:$H$20))/B18</f>
        <v>1.1333610797271756E-2</v>
      </c>
      <c r="J18" s="197">
        <f>(1/0.0311)*LN((SUM($H$4:$H$20))/SUM(H18:$H$20))</f>
        <v>60.940262814345836</v>
      </c>
      <c r="K18" s="205">
        <f t="shared" si="2"/>
        <v>1938.0597371856541</v>
      </c>
      <c r="L18" s="199"/>
      <c r="M18">
        <v>1927.8814265453559</v>
      </c>
    </row>
    <row r="19" spans="1:13" ht="15" x14ac:dyDescent="0.2">
      <c r="A19" s="196" t="s">
        <v>6</v>
      </c>
      <c r="B19" s="163">
        <v>14.183709237387532</v>
      </c>
      <c r="C19" s="197">
        <v>-16.693294573643406</v>
      </c>
      <c r="D19" s="197">
        <v>45.448500000000003</v>
      </c>
      <c r="E19" s="197">
        <v>0.14157096774193548</v>
      </c>
      <c r="F19">
        <v>1.4629000000000001</v>
      </c>
      <c r="G19" s="197">
        <f t="shared" si="1"/>
        <v>10.333333333333334</v>
      </c>
      <c r="H19" s="197">
        <f t="shared" si="0"/>
        <v>2.0080014429071826</v>
      </c>
      <c r="I19" s="204">
        <f>(0.0311*SUM(H19:$H$20))/B19</f>
        <v>8.2621863550801661E-3</v>
      </c>
      <c r="J19" s="197">
        <f>(1/0.0311)*LN((SUM($H$4:$H$20))/SUM(H19:$H$20))</f>
        <v>80.653345975741516</v>
      </c>
      <c r="K19" s="205">
        <f t="shared" si="2"/>
        <v>1918.3466540242584</v>
      </c>
      <c r="L19" s="199"/>
      <c r="M19">
        <v>1910.1621326482109</v>
      </c>
    </row>
    <row r="20" spans="1:13" ht="15" x14ac:dyDescent="0.2">
      <c r="A20" s="196" t="s">
        <v>7</v>
      </c>
      <c r="B20" s="163">
        <v>12.39377455140613</v>
      </c>
      <c r="C20" s="197">
        <v>-17.785271317829451</v>
      </c>
      <c r="D20" s="197">
        <v>52.673499999999997</v>
      </c>
      <c r="E20" s="197">
        <v>0.14201612903225805</v>
      </c>
      <c r="F20">
        <v>1.4675</v>
      </c>
      <c r="G20" s="197">
        <f t="shared" si="1"/>
        <v>10.333333333333334</v>
      </c>
      <c r="H20" s="197">
        <f t="shared" si="0"/>
        <v>1.7601158858892092</v>
      </c>
      <c r="I20" s="204">
        <f>(0.0311*SUM(H20:$H$20))/B20</f>
        <v>4.416701612903225E-3</v>
      </c>
      <c r="J20" s="197">
        <f>(1/0.0311)*LN((SUM($H$4:$H$20))/SUM(H20:$H$20))</f>
        <v>105.12909656440007</v>
      </c>
      <c r="K20" s="205">
        <f t="shared" si="2"/>
        <v>1893.8709034356</v>
      </c>
      <c r="L20" s="199"/>
      <c r="M20">
        <v>1876.8566258874141</v>
      </c>
    </row>
    <row r="21" spans="1:13" ht="15" x14ac:dyDescent="0.2">
      <c r="B21" s="163">
        <v>8.3506758251118587</v>
      </c>
      <c r="D21">
        <v>59.898499999999999</v>
      </c>
      <c r="E21">
        <v>0.11570322580645162</v>
      </c>
      <c r="F21">
        <v>1.1956</v>
      </c>
      <c r="G21" s="197">
        <f>F21/E21</f>
        <v>10.333333333333332</v>
      </c>
      <c r="H21" s="197">
        <f>(B21*F21)/G21</f>
        <v>0.96620013062939403</v>
      </c>
      <c r="I21" s="204">
        <f>(0.0311*SUM(H$20:$H21))/B21</f>
        <v>1.0153480974408775E-2</v>
      </c>
      <c r="J21" s="197">
        <f>(1/0.0311)*LN((SUM($H$4:$H$20))/SUM(H$20:$H21))</f>
        <v>91.059270125803181</v>
      </c>
      <c r="K21" s="205"/>
      <c r="L21" s="199"/>
    </row>
    <row r="22" spans="1:13" ht="15" x14ac:dyDescent="0.2">
      <c r="G22" s="199" t="s">
        <v>17</v>
      </c>
      <c r="H22" s="197">
        <f>SUM(H4:H20)</f>
        <v>46.288546481979232</v>
      </c>
      <c r="I22" s="199"/>
      <c r="J22" s="199"/>
      <c r="K22" s="199"/>
      <c r="L22" s="199"/>
    </row>
  </sheetData>
  <phoneticPr fontId="17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eff calc</vt:lpstr>
      <vt:lpstr>decay corr</vt:lpstr>
      <vt:lpstr>activity calc 1</vt:lpstr>
      <vt:lpstr>activity calc CRS A</vt:lpstr>
      <vt:lpstr>age calculation CRS B</vt:lpstr>
      <vt:lpstr>CSM CRS calc</vt:lpstr>
    </vt:vector>
  </TitlesOfParts>
  <Company>LSU Oceanography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 Cable</dc:creator>
  <cp:lastModifiedBy>Microsoft Office User</cp:lastModifiedBy>
  <dcterms:created xsi:type="dcterms:W3CDTF">2006-03-30T19:39:31Z</dcterms:created>
  <dcterms:modified xsi:type="dcterms:W3CDTF">2018-02-09T14:21:37Z</dcterms:modified>
</cp:coreProperties>
</file>