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PRI SEHAT\Downloads\"/>
    </mc:Choice>
  </mc:AlternateContent>
  <xr:revisionPtr revIDLastSave="0" documentId="13_ncr:1_{3286CE99-4158-407B-AF84-9289157D2CA8}" xr6:coauthVersionLast="46" xr6:coauthVersionMax="46" xr10:uidLastSave="{00000000-0000-0000-0000-000000000000}"/>
  <bookViews>
    <workbookView xWindow="-120" yWindow="-120" windowWidth="19440" windowHeight="14040" activeTab="1" xr2:uid="{00000000-000D-0000-FFFF-FFFF00000000}"/>
  </bookViews>
  <sheets>
    <sheet name="Pot Feb 2022" sheetId="9" r:id="rId1"/>
    <sheet name="Rincian" sheetId="11" r:id="rId2"/>
  </sheets>
  <calcPr calcId="191029"/>
</workbook>
</file>

<file path=xl/calcChain.xml><?xml version="1.0" encoding="utf-8"?>
<calcChain xmlns="http://schemas.openxmlformats.org/spreadsheetml/2006/main">
  <c r="F142" i="11" l="1"/>
  <c r="G142" i="11"/>
  <c r="H142" i="11"/>
  <c r="I142" i="11"/>
  <c r="J142" i="11"/>
  <c r="K142" i="11"/>
  <c r="E142" i="11"/>
  <c r="D137" i="9"/>
  <c r="D136" i="9"/>
  <c r="C137" i="9"/>
  <c r="C136" i="9"/>
  <c r="B137" i="9"/>
  <c r="B136" i="9"/>
  <c r="L134" i="11" l="1"/>
  <c r="L135" i="11"/>
  <c r="I132" i="11" l="1"/>
  <c r="H132" i="11"/>
  <c r="I130" i="11"/>
  <c r="H130" i="11"/>
  <c r="I126" i="11"/>
  <c r="H126" i="11"/>
  <c r="I121" i="11" l="1"/>
  <c r="H121" i="11"/>
  <c r="I118" i="11"/>
  <c r="H118" i="11"/>
  <c r="H113" i="11"/>
  <c r="I110" i="11"/>
  <c r="H110" i="11"/>
  <c r="H60" i="11"/>
  <c r="I60" i="11"/>
  <c r="H105" i="11"/>
  <c r="H98" i="11" l="1"/>
  <c r="I97" i="11"/>
  <c r="H97" i="11"/>
  <c r="H93" i="11"/>
  <c r="H91" i="11"/>
  <c r="I87" i="11" l="1"/>
  <c r="H87" i="11"/>
  <c r="I83" i="11"/>
  <c r="H83" i="11"/>
  <c r="I80" i="11" l="1"/>
  <c r="H80" i="11"/>
  <c r="I79" i="11"/>
  <c r="H79" i="11"/>
  <c r="I67" i="11" l="1"/>
  <c r="H67" i="11"/>
  <c r="H64" i="11"/>
  <c r="I64" i="11"/>
  <c r="J53" i="11"/>
  <c r="I52" i="11"/>
  <c r="H52" i="11"/>
  <c r="I47" i="11"/>
  <c r="H41" i="11"/>
  <c r="I12" i="11"/>
  <c r="H12" i="11"/>
  <c r="I11" i="11"/>
  <c r="H11" i="11"/>
  <c r="I6" i="11"/>
  <c r="I5" i="11"/>
  <c r="H47" i="11" l="1"/>
  <c r="L47" i="11" s="1"/>
  <c r="L21" i="11"/>
  <c r="L23" i="11"/>
  <c r="L25" i="11"/>
  <c r="L29" i="11"/>
  <c r="L32" i="11"/>
  <c r="L33" i="11"/>
  <c r="L34" i="11"/>
  <c r="L35" i="11"/>
  <c r="L36" i="11"/>
  <c r="L37" i="11"/>
  <c r="L40" i="11"/>
  <c r="L42" i="11"/>
  <c r="L43" i="11"/>
  <c r="L44" i="11"/>
  <c r="L45" i="11"/>
  <c r="L46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2" i="11"/>
  <c r="L63" i="11"/>
  <c r="L64" i="11"/>
  <c r="L65" i="11"/>
  <c r="L66" i="11"/>
  <c r="L68" i="11"/>
  <c r="L69" i="11"/>
  <c r="L70" i="11"/>
  <c r="L71" i="11"/>
  <c r="L72" i="11"/>
  <c r="L73" i="11"/>
  <c r="L74" i="11"/>
  <c r="L77" i="11"/>
  <c r="L78" i="11"/>
  <c r="L81" i="11"/>
  <c r="L83" i="11"/>
  <c r="L84" i="11"/>
  <c r="L85" i="11"/>
  <c r="L87" i="11"/>
  <c r="L88" i="11"/>
  <c r="L90" i="11"/>
  <c r="L91" i="11"/>
  <c r="L92" i="11"/>
  <c r="L94" i="11"/>
  <c r="L95" i="11"/>
  <c r="L96" i="11"/>
  <c r="L97" i="11"/>
  <c r="L98" i="11"/>
  <c r="L100" i="11"/>
  <c r="L102" i="11"/>
  <c r="L105" i="11"/>
  <c r="L106" i="11"/>
  <c r="L107" i="11"/>
  <c r="L109" i="11"/>
  <c r="L110" i="11"/>
  <c r="L112" i="11"/>
  <c r="L115" i="11"/>
  <c r="L116" i="11"/>
  <c r="L117" i="11"/>
  <c r="L119" i="11"/>
  <c r="L120" i="11"/>
  <c r="L121" i="11"/>
  <c r="L122" i="11"/>
  <c r="L123" i="11"/>
  <c r="L124" i="11"/>
  <c r="L125" i="11"/>
  <c r="L127" i="11"/>
  <c r="L128" i="11"/>
  <c r="L129" i="11"/>
  <c r="L130" i="11"/>
  <c r="L131" i="11"/>
  <c r="L132" i="11"/>
  <c r="L8" i="11"/>
  <c r="I41" i="11"/>
  <c r="L41" i="11" s="1"/>
  <c r="I39" i="11"/>
  <c r="H39" i="11"/>
  <c r="L30" i="11"/>
  <c r="I28" i="11"/>
  <c r="H28" i="11"/>
  <c r="H27" i="11"/>
  <c r="L27" i="11" s="1"/>
  <c r="I26" i="11"/>
  <c r="H26" i="11"/>
  <c r="I22" i="11"/>
  <c r="H22" i="11"/>
  <c r="L28" i="11" l="1"/>
  <c r="D30" i="9" s="1"/>
  <c r="K126" i="11"/>
  <c r="L126" i="11" s="1"/>
  <c r="D128" i="9" s="1"/>
  <c r="D123" i="9"/>
  <c r="D121" i="9"/>
  <c r="K118" i="11"/>
  <c r="D118" i="9"/>
  <c r="K114" i="11"/>
  <c r="L114" i="11" s="1"/>
  <c r="D116" i="9" s="1"/>
  <c r="K113" i="11"/>
  <c r="L113" i="11" s="1"/>
  <c r="D115" i="9" s="1"/>
  <c r="D114" i="9"/>
  <c r="K111" i="11"/>
  <c r="D111" i="9"/>
  <c r="K108" i="11"/>
  <c r="D108" i="9"/>
  <c r="K104" i="11"/>
  <c r="L104" i="11" s="1"/>
  <c r="D106" i="9" s="1"/>
  <c r="K103" i="11"/>
  <c r="L103" i="11" s="1"/>
  <c r="D105" i="9" s="1"/>
  <c r="D104" i="9"/>
  <c r="K101" i="11"/>
  <c r="K99" i="11"/>
  <c r="L99" i="11" s="1"/>
  <c r="D101" i="9" s="1"/>
  <c r="D100" i="9"/>
  <c r="D98" i="9"/>
  <c r="D96" i="9"/>
  <c r="K93" i="11"/>
  <c r="K89" i="11"/>
  <c r="L89" i="11" s="1"/>
  <c r="D91" i="9" s="1"/>
  <c r="K86" i="11"/>
  <c r="L86" i="11" s="1"/>
  <c r="K82" i="11"/>
  <c r="K80" i="11"/>
  <c r="L80" i="11" s="1"/>
  <c r="D82" i="9" s="1"/>
  <c r="K79" i="11"/>
  <c r="L79" i="11" s="1"/>
  <c r="D81" i="9" s="1"/>
  <c r="K76" i="11"/>
  <c r="L76" i="11" s="1"/>
  <c r="D78" i="9" s="1"/>
  <c r="K75" i="11"/>
  <c r="L75" i="11" s="1"/>
  <c r="L143" i="11" s="1"/>
  <c r="K67" i="11"/>
  <c r="K61" i="11"/>
  <c r="L61" i="11" s="1"/>
  <c r="D63" i="9" s="1"/>
  <c r="D62" i="9"/>
  <c r="D60" i="9"/>
  <c r="D58" i="9"/>
  <c r="D44" i="9"/>
  <c r="K39" i="11"/>
  <c r="K38" i="11"/>
  <c r="D38" i="9"/>
  <c r="D36" i="9"/>
  <c r="K31" i="11"/>
  <c r="K26" i="11"/>
  <c r="K24" i="11"/>
  <c r="L24" i="11" s="1"/>
  <c r="K22" i="11"/>
  <c r="K20" i="11"/>
  <c r="L20" i="11" s="1"/>
  <c r="D22" i="9" s="1"/>
  <c r="K19" i="11"/>
  <c r="I19" i="11"/>
  <c r="H19" i="11"/>
  <c r="K18" i="11"/>
  <c r="L18" i="11" s="1"/>
  <c r="D20" i="9" s="1"/>
  <c r="K17" i="11"/>
  <c r="L17" i="11" s="1"/>
  <c r="D19" i="9" s="1"/>
  <c r="L16" i="11"/>
  <c r="D18" i="9" s="1"/>
  <c r="L15" i="11"/>
  <c r="D17" i="9" s="1"/>
  <c r="L14" i="11"/>
  <c r="D16" i="9" s="1"/>
  <c r="K13" i="11"/>
  <c r="I13" i="11"/>
  <c r="H13" i="11"/>
  <c r="K12" i="11"/>
  <c r="L12" i="11" s="1"/>
  <c r="D14" i="9" s="1"/>
  <c r="K11" i="11"/>
  <c r="L11" i="11" s="1"/>
  <c r="D13" i="9" s="1"/>
  <c r="K10" i="11"/>
  <c r="I10" i="11"/>
  <c r="H10" i="11"/>
  <c r="L9" i="11"/>
  <c r="D11" i="9" s="1"/>
  <c r="L7" i="11"/>
  <c r="D9" i="9" s="1"/>
  <c r="K6" i="11"/>
  <c r="H6" i="11"/>
  <c r="K5" i="11"/>
  <c r="H5" i="11"/>
  <c r="A2" i="11"/>
  <c r="D10" i="9"/>
  <c r="C10" i="9"/>
  <c r="B10" i="9"/>
  <c r="A10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B130" i="9"/>
  <c r="A130" i="9"/>
  <c r="D129" i="9"/>
  <c r="C129" i="9"/>
  <c r="B129" i="9"/>
  <c r="A129" i="9"/>
  <c r="B128" i="9"/>
  <c r="A128" i="9"/>
  <c r="D127" i="9"/>
  <c r="B127" i="9"/>
  <c r="A127" i="9"/>
  <c r="D126" i="9"/>
  <c r="B126" i="9"/>
  <c r="A126" i="9"/>
  <c r="D125" i="9"/>
  <c r="C125" i="9"/>
  <c r="B125" i="9"/>
  <c r="A125" i="9"/>
  <c r="D124" i="9"/>
  <c r="B124" i="9"/>
  <c r="A124" i="9"/>
  <c r="C123" i="9"/>
  <c r="B123" i="9"/>
  <c r="A123" i="9"/>
  <c r="D122" i="9"/>
  <c r="C122" i="9"/>
  <c r="B122" i="9"/>
  <c r="A122" i="9"/>
  <c r="B121" i="9"/>
  <c r="A121" i="9"/>
  <c r="C120" i="9"/>
  <c r="B120" i="9"/>
  <c r="A120" i="9"/>
  <c r="D119" i="9"/>
  <c r="B119" i="9"/>
  <c r="A119" i="9"/>
  <c r="C118" i="9"/>
  <c r="B118" i="9"/>
  <c r="A118" i="9"/>
  <c r="D117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D112" i="9"/>
  <c r="C112" i="9"/>
  <c r="B112" i="9"/>
  <c r="A112" i="9"/>
  <c r="C111" i="9"/>
  <c r="B111" i="9"/>
  <c r="A111" i="9"/>
  <c r="C110" i="9"/>
  <c r="B110" i="9"/>
  <c r="A110" i="9"/>
  <c r="D109" i="9"/>
  <c r="C109" i="9"/>
  <c r="B109" i="9"/>
  <c r="A109" i="9"/>
  <c r="C108" i="9"/>
  <c r="B108" i="9"/>
  <c r="A108" i="9"/>
  <c r="D107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D102" i="9"/>
  <c r="C102" i="9"/>
  <c r="B102" i="9"/>
  <c r="A102" i="9"/>
  <c r="C101" i="9"/>
  <c r="B101" i="9"/>
  <c r="A101" i="9"/>
  <c r="C100" i="9"/>
  <c r="B100" i="9"/>
  <c r="A100" i="9"/>
  <c r="D99" i="9"/>
  <c r="C99" i="9"/>
  <c r="B99" i="9"/>
  <c r="A99" i="9"/>
  <c r="C98" i="9"/>
  <c r="B98" i="9"/>
  <c r="A98" i="9"/>
  <c r="D97" i="9"/>
  <c r="C97" i="9"/>
  <c r="B97" i="9"/>
  <c r="A97" i="9"/>
  <c r="B96" i="9"/>
  <c r="A96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C84" i="9"/>
  <c r="B84" i="9"/>
  <c r="A84" i="9"/>
  <c r="D83" i="9"/>
  <c r="C83" i="9"/>
  <c r="B83" i="9"/>
  <c r="A83" i="9"/>
  <c r="C82" i="9"/>
  <c r="B82" i="9"/>
  <c r="A82" i="9"/>
  <c r="C81" i="9"/>
  <c r="B81" i="9"/>
  <c r="A81" i="9"/>
  <c r="D80" i="9"/>
  <c r="C80" i="9"/>
  <c r="B80" i="9"/>
  <c r="A80" i="9"/>
  <c r="D79" i="9"/>
  <c r="C79" i="9"/>
  <c r="B79" i="9"/>
  <c r="A79" i="9"/>
  <c r="C78" i="9"/>
  <c r="B78" i="9"/>
  <c r="A78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B64" i="9"/>
  <c r="A64" i="9"/>
  <c r="C63" i="9"/>
  <c r="B63" i="9"/>
  <c r="A63" i="9"/>
  <c r="C62" i="9"/>
  <c r="B62" i="9"/>
  <c r="A62" i="9"/>
  <c r="D61" i="9"/>
  <c r="C61" i="9"/>
  <c r="B61" i="9"/>
  <c r="A61" i="9"/>
  <c r="C60" i="9"/>
  <c r="B60" i="9"/>
  <c r="A60" i="9"/>
  <c r="D59" i="9"/>
  <c r="C59" i="9"/>
  <c r="B59" i="9"/>
  <c r="A59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B45" i="9"/>
  <c r="A45" i="9"/>
  <c r="B44" i="9"/>
  <c r="A44" i="9"/>
  <c r="D43" i="9"/>
  <c r="C43" i="9"/>
  <c r="B43" i="9"/>
  <c r="A43" i="9"/>
  <c r="D42" i="9"/>
  <c r="C42" i="9"/>
  <c r="B42" i="9"/>
  <c r="A42" i="9"/>
  <c r="C41" i="9"/>
  <c r="B41" i="9"/>
  <c r="A41" i="9"/>
  <c r="B40" i="9"/>
  <c r="A40" i="9"/>
  <c r="D39" i="9"/>
  <c r="C39" i="9"/>
  <c r="B39" i="9"/>
  <c r="A39" i="9"/>
  <c r="C38" i="9"/>
  <c r="B38" i="9"/>
  <c r="A38" i="9"/>
  <c r="D37" i="9"/>
  <c r="C37" i="9"/>
  <c r="B37" i="9"/>
  <c r="A37" i="9"/>
  <c r="B36" i="9"/>
  <c r="A36" i="9"/>
  <c r="D35" i="9"/>
  <c r="C35" i="9"/>
  <c r="B35" i="9"/>
  <c r="A35" i="9"/>
  <c r="D34" i="9"/>
  <c r="C34" i="9"/>
  <c r="B34" i="9"/>
  <c r="A34" i="9"/>
  <c r="C33" i="9"/>
  <c r="B33" i="9"/>
  <c r="A33" i="9"/>
  <c r="D32" i="9"/>
  <c r="C32" i="9"/>
  <c r="B32" i="9"/>
  <c r="A32" i="9"/>
  <c r="D31" i="9"/>
  <c r="C31" i="9"/>
  <c r="B31" i="9"/>
  <c r="A31" i="9"/>
  <c r="C30" i="9"/>
  <c r="B30" i="9"/>
  <c r="A30" i="9"/>
  <c r="D29" i="9"/>
  <c r="C29" i="9"/>
  <c r="B29" i="9"/>
  <c r="A29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C24" i="9"/>
  <c r="B24" i="9"/>
  <c r="A24" i="9"/>
  <c r="D23" i="9"/>
  <c r="B23" i="9"/>
  <c r="A23" i="9"/>
  <c r="C22" i="9"/>
  <c r="B22" i="9"/>
  <c r="A22" i="9"/>
  <c r="C21" i="9"/>
  <c r="B21" i="9"/>
  <c r="A21" i="9"/>
  <c r="B20" i="9"/>
  <c r="A20" i="9"/>
  <c r="C19" i="9"/>
  <c r="B19" i="9"/>
  <c r="A19" i="9"/>
  <c r="C18" i="9"/>
  <c r="B18" i="9"/>
  <c r="A18" i="9"/>
  <c r="C17" i="9"/>
  <c r="B17" i="9"/>
  <c r="A17" i="9"/>
  <c r="B16" i="9"/>
  <c r="A16" i="9"/>
  <c r="C15" i="9"/>
  <c r="B15" i="9"/>
  <c r="A15" i="9"/>
  <c r="B14" i="9"/>
  <c r="A14" i="9"/>
  <c r="C13" i="9"/>
  <c r="B13" i="9"/>
  <c r="A13" i="9"/>
  <c r="C12" i="9"/>
  <c r="B12" i="9"/>
  <c r="A12" i="9"/>
  <c r="C11" i="9"/>
  <c r="B11" i="9"/>
  <c r="A11" i="9"/>
  <c r="C9" i="9"/>
  <c r="B9" i="9"/>
  <c r="A9" i="9"/>
  <c r="C8" i="9"/>
  <c r="B8" i="9"/>
  <c r="A8" i="9"/>
  <c r="C7" i="9"/>
  <c r="B7" i="9"/>
  <c r="A7" i="9"/>
  <c r="D77" i="9" l="1"/>
  <c r="L6" i="11"/>
  <c r="D8" i="9" s="1"/>
  <c r="L10" i="11"/>
  <c r="D12" i="9" s="1"/>
  <c r="L38" i="11"/>
  <c r="D40" i="9" s="1"/>
  <c r="L67" i="11"/>
  <c r="D69" i="9" s="1"/>
  <c r="L93" i="11"/>
  <c r="D95" i="9" s="1"/>
  <c r="L101" i="11"/>
  <c r="D103" i="9" s="1"/>
  <c r="L118" i="11"/>
  <c r="D120" i="9" s="1"/>
  <c r="L26" i="11"/>
  <c r="D28" i="9" s="1"/>
  <c r="L13" i="11"/>
  <c r="D15" i="9" s="1"/>
  <c r="L31" i="11"/>
  <c r="D33" i="9" s="1"/>
  <c r="L82" i="11"/>
  <c r="D84" i="9" s="1"/>
  <c r="L108" i="11"/>
  <c r="D110" i="9" s="1"/>
  <c r="L111" i="11"/>
  <c r="D113" i="9" s="1"/>
  <c r="L39" i="11"/>
  <c r="D41" i="9" s="1"/>
  <c r="L22" i="11"/>
  <c r="D24" i="9" s="1"/>
  <c r="L19" i="11"/>
  <c r="D21" i="9" s="1"/>
  <c r="L5" i="11"/>
  <c r="D7" i="9" l="1"/>
  <c r="D13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RR1</author>
  </authors>
  <commentList>
    <comment ref="J5" authorId="0" shapeId="0" xr:uid="{00000000-0006-0000-0100-000001000000}">
      <text>
        <r>
          <rPr>
            <b/>
            <sz val="9"/>
            <rFont val="Tahoma"/>
            <charset val="134"/>
          </rPr>
          <t>RR1:</t>
        </r>
        <r>
          <rPr>
            <sz val="9"/>
            <rFont val="Tahoma"/>
            <charset val="134"/>
          </rPr>
          <t xml:space="preserve">
Kekurangan Margin Paket</t>
        </r>
      </text>
    </comment>
    <comment ref="G9" authorId="0" shapeId="0" xr:uid="{F14450FE-77D8-49E4-A069-4F83D4538AB6}">
      <text>
        <r>
          <rPr>
            <b/>
            <sz val="9"/>
            <color indexed="81"/>
            <rFont val="Tahoma"/>
            <charset val="1"/>
          </rPr>
          <t>RR1:</t>
        </r>
        <r>
          <rPr>
            <sz val="9"/>
            <color indexed="81"/>
            <rFont val="Tahoma"/>
            <charset val="1"/>
          </rPr>
          <t xml:space="preserve">
Selama 6 bulan
1x</t>
        </r>
      </text>
    </comment>
    <comment ref="G38" authorId="0" shapeId="0" xr:uid="{3FD872B5-66BB-4D23-B8ED-1CA31B9BB8C7}">
      <text>
        <r>
          <rPr>
            <b/>
            <sz val="9"/>
            <color indexed="81"/>
            <rFont val="Tahoma"/>
            <charset val="1"/>
          </rPr>
          <t>RR1:</t>
        </r>
        <r>
          <rPr>
            <sz val="9"/>
            <color indexed="81"/>
            <rFont val="Tahoma"/>
            <charset val="1"/>
          </rPr>
          <t xml:space="preserve">
Naik per Februari</t>
        </r>
      </text>
    </comment>
    <comment ref="G76" authorId="0" shapeId="0" xr:uid="{A560643E-18B9-4BA9-AFA5-5E17C64EE5E7}">
      <text>
        <r>
          <rPr>
            <b/>
            <sz val="9"/>
            <color indexed="81"/>
            <rFont val="Tahoma"/>
            <charset val="1"/>
          </rPr>
          <t>RR1:</t>
        </r>
        <r>
          <rPr>
            <sz val="9"/>
            <color indexed="81"/>
            <rFont val="Tahoma"/>
            <charset val="1"/>
          </rPr>
          <t xml:space="preserve">
Naik per Februari</t>
        </r>
      </text>
    </comment>
    <comment ref="G117" authorId="0" shapeId="0" xr:uid="{6D27F049-5A50-4F68-9D53-841CF4B4DEA4}">
      <text>
        <r>
          <rPr>
            <b/>
            <sz val="9"/>
            <color indexed="81"/>
            <rFont val="Tahoma"/>
            <charset val="1"/>
          </rPr>
          <t>RR1:</t>
        </r>
        <r>
          <rPr>
            <sz val="9"/>
            <color indexed="81"/>
            <rFont val="Tahoma"/>
            <charset val="1"/>
          </rPr>
          <t xml:space="preserve">
Selama 6 bulan
1x</t>
        </r>
      </text>
    </comment>
  </commentList>
</comments>
</file>

<file path=xl/sharedStrings.xml><?xml version="1.0" encoding="utf-8"?>
<sst xmlns="http://schemas.openxmlformats.org/spreadsheetml/2006/main" count="437" uniqueCount="424">
  <si>
    <t>Bulan Februari 2022</t>
  </si>
  <si>
    <t xml:space="preserve">No </t>
  </si>
  <si>
    <t>No Rek.</t>
  </si>
  <si>
    <t>Jumlah</t>
  </si>
  <si>
    <t>0233200086969</t>
  </si>
  <si>
    <t>0053164064101</t>
  </si>
  <si>
    <t>0006890458100</t>
  </si>
  <si>
    <t>0002057931100</t>
  </si>
  <si>
    <t>0009330429100</t>
  </si>
  <si>
    <t>0233200063256</t>
  </si>
  <si>
    <t>0006837778100</t>
  </si>
  <si>
    <t>0006837417100</t>
  </si>
  <si>
    <t>0112279342100</t>
  </si>
  <si>
    <t>0006260004100</t>
  </si>
  <si>
    <t>0112279271100</t>
  </si>
  <si>
    <t>0009322035100</t>
  </si>
  <si>
    <t>0003947661100</t>
  </si>
  <si>
    <t>0002193809100</t>
  </si>
  <si>
    <t>0091569183100</t>
  </si>
  <si>
    <t>0233100108348</t>
  </si>
  <si>
    <t>0007202350101</t>
  </si>
  <si>
    <t>0233100059263</t>
  </si>
  <si>
    <t>J u m l a h</t>
  </si>
  <si>
    <t>Ketua</t>
  </si>
  <si>
    <t>Bendahara</t>
  </si>
  <si>
    <t>No</t>
  </si>
  <si>
    <t>Nama</t>
  </si>
  <si>
    <t>No Anggota</t>
  </si>
  <si>
    <t>Potongan Februari 2021</t>
  </si>
  <si>
    <t>Pokok</t>
  </si>
  <si>
    <t>Wajib</t>
  </si>
  <si>
    <t>Manasuka</t>
  </si>
  <si>
    <t>Pokok Paket</t>
  </si>
  <si>
    <t>Margin Paket</t>
  </si>
  <si>
    <t>Kekurangan Januari</t>
  </si>
  <si>
    <t>Warung</t>
  </si>
  <si>
    <t>Abdul Azis</t>
  </si>
  <si>
    <t>0002494701100</t>
  </si>
  <si>
    <t>Ade Carnisem</t>
  </si>
  <si>
    <t>0233200510622</t>
  </si>
  <si>
    <t>Ade Kurnia, dr.</t>
  </si>
  <si>
    <t>0057463041100</t>
  </si>
  <si>
    <t>Ade Saromah</t>
  </si>
  <si>
    <t>0001479571101</t>
  </si>
  <si>
    <t>Ade Sofyan</t>
  </si>
  <si>
    <t>0004373162100</t>
  </si>
  <si>
    <t>Agus Krisno</t>
  </si>
  <si>
    <t>0233100012399</t>
  </si>
  <si>
    <t>Ai Sriyati</t>
  </si>
  <si>
    <t>0002320086000</t>
  </si>
  <si>
    <t>Akhmad Saepudin</t>
  </si>
  <si>
    <t>0001349023100</t>
  </si>
  <si>
    <t>Anis Farida, dr</t>
  </si>
  <si>
    <t>0006866141100</t>
  </si>
  <si>
    <t>Arief Anggara, dr.</t>
  </si>
  <si>
    <t>0006273981100</t>
  </si>
  <si>
    <t>Arimbi Nurwiyanti Putri</t>
  </si>
  <si>
    <t>0233100006515</t>
  </si>
  <si>
    <t>Asep Andi M.</t>
  </si>
  <si>
    <t>Asep Hermawan</t>
  </si>
  <si>
    <t>0006904289100</t>
  </si>
  <si>
    <t>Budhiman Trisakti</t>
  </si>
  <si>
    <t>0013200196761</t>
  </si>
  <si>
    <t>Budi Siswanto</t>
  </si>
  <si>
    <t>Dadan Cahyadi</t>
  </si>
  <si>
    <t>0233210017006</t>
  </si>
  <si>
    <t>Dede Kuswaya</t>
  </si>
  <si>
    <t>0006880541100</t>
  </si>
  <si>
    <t>Dedi Nurhasan Ashari</t>
  </si>
  <si>
    <t>0006889832100</t>
  </si>
  <si>
    <t>Dedi Rahmadi</t>
  </si>
  <si>
    <t>0233100632519</t>
  </si>
  <si>
    <t>Dedi Suhaedi</t>
  </si>
  <si>
    <t>0233100053536</t>
  </si>
  <si>
    <t>Desmiati</t>
  </si>
  <si>
    <t>0004331575100</t>
  </si>
  <si>
    <t>Devie Fitriyani</t>
  </si>
  <si>
    <t>0006837514100</t>
  </si>
  <si>
    <t>Devy Rianty Ritonga</t>
  </si>
  <si>
    <t>0006868241100</t>
  </si>
  <si>
    <t>Dewi Gustini</t>
  </si>
  <si>
    <t>0013280584100</t>
  </si>
  <si>
    <t>Dewi Komalawati</t>
  </si>
  <si>
    <t>0006924379100</t>
  </si>
  <si>
    <t>Dewi Sintamaria</t>
  </si>
  <si>
    <t>0233200086998</t>
  </si>
  <si>
    <t>Dhian Indriasari, dr.</t>
  </si>
  <si>
    <t>0006876323100</t>
  </si>
  <si>
    <t>Diah Windhiarti</t>
  </si>
  <si>
    <t>Dian Ratnaningsih</t>
  </si>
  <si>
    <t>0001761749100</t>
  </si>
  <si>
    <t>Diana Ekawaty</t>
  </si>
  <si>
    <t>0004747445100</t>
  </si>
  <si>
    <t>Diana Junita Ita, dr.</t>
  </si>
  <si>
    <t>0006895220100</t>
  </si>
  <si>
    <t>Dini Juwita, S.Si, M.AP</t>
  </si>
  <si>
    <t>Dini Kusuma Wardhani</t>
  </si>
  <si>
    <t>0006866352100</t>
  </si>
  <si>
    <t>Dini Widiani</t>
  </si>
  <si>
    <t>0002059894100</t>
  </si>
  <si>
    <t>Dodi Ikana</t>
  </si>
  <si>
    <t>0006869920100</t>
  </si>
  <si>
    <t>Ecep Ahmad Hidayat</t>
  </si>
  <si>
    <t>Elly Marliyani,Sp.KJ.M.,K.M.,dr.Hj.</t>
  </si>
  <si>
    <t>Elly Nurmalaysia</t>
  </si>
  <si>
    <t>0006836941100</t>
  </si>
  <si>
    <t>Elsie Diana Rosdini</t>
  </si>
  <si>
    <t>0233100121608</t>
  </si>
  <si>
    <t>Encep Supriandi, dr</t>
  </si>
  <si>
    <t>0006837557100</t>
  </si>
  <si>
    <t>Eny Suhayati</t>
  </si>
  <si>
    <t>0006903495100</t>
  </si>
  <si>
    <t>Eri Suciati Rahayu</t>
  </si>
  <si>
    <t>0233200083984</t>
  </si>
  <si>
    <t>Ester Suryani Tampubolon</t>
  </si>
  <si>
    <t>0006889581100</t>
  </si>
  <si>
    <t>Fatheras Diwani</t>
  </si>
  <si>
    <t>0003688232100</t>
  </si>
  <si>
    <t>Fitri Puspita Sari</t>
  </si>
  <si>
    <t>0112278648100</t>
  </si>
  <si>
    <t>Halimah</t>
  </si>
  <si>
    <t>0002181363100</t>
  </si>
  <si>
    <t>Hayat Rudiatna</t>
  </si>
  <si>
    <t>0006873863100</t>
  </si>
  <si>
    <t>Hendy Siswoyo</t>
  </si>
  <si>
    <t>0006837832100</t>
  </si>
  <si>
    <t>Herman</t>
  </si>
  <si>
    <t>0006905676100</t>
  </si>
  <si>
    <t>Hilda Puspa Indah, dr</t>
  </si>
  <si>
    <t>0081303665100</t>
  </si>
  <si>
    <t>Ikah Maryati</t>
  </si>
  <si>
    <t>0006891071100</t>
  </si>
  <si>
    <t>Irviana Vinanda</t>
  </si>
  <si>
    <t>0006248527100</t>
  </si>
  <si>
    <t>Iwan Roswandi</t>
  </si>
  <si>
    <t>0006880665100</t>
  </si>
  <si>
    <t>Jajang Suwarja</t>
  </si>
  <si>
    <t>0006880967100</t>
  </si>
  <si>
    <t>Joni Suprayogi</t>
  </si>
  <si>
    <t>0004259696100</t>
  </si>
  <si>
    <t>Kharisma Bustami</t>
  </si>
  <si>
    <t>0009291741100</t>
  </si>
  <si>
    <t>Komaryati</t>
  </si>
  <si>
    <t>0233100108806</t>
  </si>
  <si>
    <t>Lukarlim</t>
  </si>
  <si>
    <t>0006875408101</t>
  </si>
  <si>
    <t>Mila Karmila</t>
  </si>
  <si>
    <t>0003187691100</t>
  </si>
  <si>
    <t>Moch. Nurhalim</t>
  </si>
  <si>
    <t>0006807348100</t>
  </si>
  <si>
    <t>Mochamad Anwar H.</t>
  </si>
  <si>
    <t>0006904416100</t>
  </si>
  <si>
    <t>Narmin</t>
  </si>
  <si>
    <t>0011263364101</t>
  </si>
  <si>
    <t>Neng Goniyah</t>
  </si>
  <si>
    <t>0006259979100</t>
  </si>
  <si>
    <t>Neni Nuraeni Nurpratiwi</t>
  </si>
  <si>
    <t>0004749774100</t>
  </si>
  <si>
    <t>Nenih Nurnaenih</t>
  </si>
  <si>
    <t>0006889948100</t>
  </si>
  <si>
    <t>Nenti Siti Kuraesin</t>
  </si>
  <si>
    <t>0067538706100</t>
  </si>
  <si>
    <t>Ni Luh Nyoman Sri Puspowati</t>
  </si>
  <si>
    <t>0002690551100</t>
  </si>
  <si>
    <t>Nia Kania Asih</t>
  </si>
  <si>
    <t>0002181355101</t>
  </si>
  <si>
    <t>Nine Carwati</t>
  </si>
  <si>
    <t>0004011732100</t>
  </si>
  <si>
    <t>Nirna Julaeha</t>
  </si>
  <si>
    <t>0233200026402</t>
  </si>
  <si>
    <t>Noki Irawan Saputra, dr.</t>
  </si>
  <si>
    <t>0009116631101</t>
  </si>
  <si>
    <t>Novianti</t>
  </si>
  <si>
    <t>0112268091100</t>
  </si>
  <si>
    <t>Nur Ahmadi</t>
  </si>
  <si>
    <t>0233200036221</t>
  </si>
  <si>
    <t>Raharti, dr.</t>
  </si>
  <si>
    <t>0065393360101</t>
  </si>
  <si>
    <t>Reni Raenifah</t>
  </si>
  <si>
    <t>0006117201101</t>
  </si>
  <si>
    <t>Risma Widya Mulyani</t>
  </si>
  <si>
    <t>Rismayadiani, dr.</t>
  </si>
  <si>
    <t>0065443597101</t>
  </si>
  <si>
    <t>Rita Ningsih</t>
  </si>
  <si>
    <t>0002376601100</t>
  </si>
  <si>
    <t>Riza Putra, dr.</t>
  </si>
  <si>
    <t>0001465430100</t>
  </si>
  <si>
    <t>Roni Juhana</t>
  </si>
  <si>
    <t>0002379953100</t>
  </si>
  <si>
    <t>Rukmana</t>
  </si>
  <si>
    <t>0003191486100</t>
  </si>
  <si>
    <t>Rulli BCA</t>
  </si>
  <si>
    <t>0233100778116</t>
  </si>
  <si>
    <t>Rusli Girsang</t>
  </si>
  <si>
    <t>0006868428100</t>
  </si>
  <si>
    <t>Rusman Efendi</t>
  </si>
  <si>
    <t>0006875114100</t>
  </si>
  <si>
    <t>Saelendra</t>
  </si>
  <si>
    <t>0006869882100</t>
  </si>
  <si>
    <t>Samidi</t>
  </si>
  <si>
    <t>0233100068448</t>
  </si>
  <si>
    <t>Samsudin</t>
  </si>
  <si>
    <t>0006897487100</t>
  </si>
  <si>
    <t>Santi Destiani L.</t>
  </si>
  <si>
    <t>Santi Susanti</t>
  </si>
  <si>
    <t>0004942851100</t>
  </si>
  <si>
    <t>Santi Yosefa, Hj.</t>
  </si>
  <si>
    <t>0005212693100</t>
  </si>
  <si>
    <t>Siti Halimah</t>
  </si>
  <si>
    <t>0233200086668</t>
  </si>
  <si>
    <t>Siti Julaihah</t>
  </si>
  <si>
    <t>0006895085100</t>
  </si>
  <si>
    <t>Siti Nurlaela</t>
  </si>
  <si>
    <t>0006865781100</t>
  </si>
  <si>
    <t>Siti Patimah</t>
  </si>
  <si>
    <t>0009322310100</t>
  </si>
  <si>
    <t>Siti Romlah</t>
  </si>
  <si>
    <t>0003228835100</t>
  </si>
  <si>
    <t>Siti Sumiati</t>
  </si>
  <si>
    <t>0006903673100</t>
  </si>
  <si>
    <t>Sri Lestari</t>
  </si>
  <si>
    <t>0006924395100</t>
  </si>
  <si>
    <t>0004977831100</t>
  </si>
  <si>
    <t>Sri Nurhayati</t>
  </si>
  <si>
    <t>0006865194100</t>
  </si>
  <si>
    <t>Sri Rahayu</t>
  </si>
  <si>
    <t>0002408961100</t>
  </si>
  <si>
    <t>Sri Yani</t>
  </si>
  <si>
    <t>0002408971100</t>
  </si>
  <si>
    <t>SItI Neni Nuraeni</t>
  </si>
  <si>
    <t>0013200169092</t>
  </si>
  <si>
    <t>Sugianto</t>
  </si>
  <si>
    <t>0002181665101</t>
  </si>
  <si>
    <t>Suhara</t>
  </si>
  <si>
    <t>0233100002994</t>
  </si>
  <si>
    <t>Sukawati</t>
  </si>
  <si>
    <t>0003359670100</t>
  </si>
  <si>
    <t>Supenti</t>
  </si>
  <si>
    <t>0006924336100</t>
  </si>
  <si>
    <t>Tatang Supriatna</t>
  </si>
  <si>
    <t>0006904068100</t>
  </si>
  <si>
    <t>Tuti Hartati</t>
  </si>
  <si>
    <t>0233200018865</t>
  </si>
  <si>
    <t>Usep Waryan</t>
  </si>
  <si>
    <t>0006875580100</t>
  </si>
  <si>
    <t>Wiwik Wahyuningsih</t>
  </si>
  <si>
    <t>0006905803100</t>
  </si>
  <si>
    <t>Wulan Aprilia</t>
  </si>
  <si>
    <t>Yani Sumarni</t>
  </si>
  <si>
    <t>0003929205100</t>
  </si>
  <si>
    <t>Yaya Risbaya</t>
  </si>
  <si>
    <t>Yayah Kursiah</t>
  </si>
  <si>
    <t>0006870562100</t>
  </si>
  <si>
    <t>Yayat Hendrayatna</t>
  </si>
  <si>
    <t>0233200036236</t>
  </si>
  <si>
    <t>Yeni Susanti</t>
  </si>
  <si>
    <t>Yeye</t>
  </si>
  <si>
    <t>0233200018677</t>
  </si>
  <si>
    <t>Yulita Yudhistrita</t>
  </si>
  <si>
    <t>0071520722100</t>
  </si>
  <si>
    <t>Yuni Sofyan</t>
  </si>
  <si>
    <t>Yunyun yunia</t>
  </si>
  <si>
    <t>0081452253100</t>
  </si>
  <si>
    <t>Yusi Yustiah</t>
  </si>
  <si>
    <t>0233100059536</t>
  </si>
  <si>
    <t>Yuyum Rohmulyanawati</t>
  </si>
  <si>
    <t>0006778011100</t>
  </si>
  <si>
    <t>Yuyun Yunara</t>
  </si>
  <si>
    <t>0004114752100</t>
  </si>
  <si>
    <t>Zaenurohman</t>
  </si>
  <si>
    <t>0233100121597</t>
  </si>
  <si>
    <t>Zesty Virgiandita</t>
  </si>
  <si>
    <t>0059766791100</t>
  </si>
  <si>
    <t>Anggota Baru</t>
  </si>
  <si>
    <t>Adah Saadah</t>
  </si>
  <si>
    <t>0006880207100</t>
  </si>
  <si>
    <t>000535</t>
  </si>
  <si>
    <t>0057361107100</t>
  </si>
  <si>
    <t>Yodie</t>
  </si>
  <si>
    <t>Sri Miranti Rahayu</t>
  </si>
  <si>
    <t>Ani Mulyani</t>
  </si>
  <si>
    <t>'0053164064101</t>
  </si>
  <si>
    <t>'0006890458100</t>
  </si>
  <si>
    <t>'0002057931100</t>
  </si>
  <si>
    <t>'0009322035100</t>
  </si>
  <si>
    <t>'0003947661100</t>
  </si>
  <si>
    <t>Nama Anggota</t>
  </si>
  <si>
    <t>No. Rekening BJB</t>
  </si>
  <si>
    <t>Bandung Barat, 18 Februari 2022</t>
  </si>
  <si>
    <t>Rincian Pemasukan Anggota KPRI SEHAT</t>
  </si>
  <si>
    <t>Daftar Permohonan Pemotongan TPP</t>
  </si>
  <si>
    <t>Anggota KPRI "SEHAT"</t>
  </si>
  <si>
    <t>Bhinekasari B, dr.</t>
  </si>
  <si>
    <t>Taufiq Nashrulloh</t>
  </si>
  <si>
    <t>00315</t>
  </si>
  <si>
    <t>00247</t>
  </si>
  <si>
    <t>00499</t>
  </si>
  <si>
    <t>00534</t>
  </si>
  <si>
    <t>00471</t>
  </si>
  <si>
    <t>00334</t>
  </si>
  <si>
    <t>00188</t>
  </si>
  <si>
    <t>00234</t>
  </si>
  <si>
    <t>00199</t>
  </si>
  <si>
    <t>00507</t>
  </si>
  <si>
    <t>00300</t>
  </si>
  <si>
    <t>00483</t>
  </si>
  <si>
    <t>00283</t>
  </si>
  <si>
    <t>00517</t>
  </si>
  <si>
    <t>00393</t>
  </si>
  <si>
    <t>00468</t>
  </si>
  <si>
    <t>00503</t>
  </si>
  <si>
    <t>00310</t>
  </si>
  <si>
    <t>00378</t>
  </si>
  <si>
    <t>00308</t>
  </si>
  <si>
    <t>00278</t>
  </si>
  <si>
    <t>00186</t>
  </si>
  <si>
    <t>00349</t>
  </si>
  <si>
    <t>00345</t>
  </si>
  <si>
    <t>00297</t>
  </si>
  <si>
    <t>00441</t>
  </si>
  <si>
    <t>00346</t>
  </si>
  <si>
    <t>00251</t>
  </si>
  <si>
    <t>00355</t>
  </si>
  <si>
    <t>00513</t>
  </si>
  <si>
    <t>00275</t>
  </si>
  <si>
    <t>00350</t>
  </si>
  <si>
    <t>00368</t>
  </si>
  <si>
    <t>00504</t>
  </si>
  <si>
    <t>00277</t>
  </si>
  <si>
    <t>00460</t>
  </si>
  <si>
    <t>00377</t>
  </si>
  <si>
    <t>00523</t>
  </si>
  <si>
    <t>00530</t>
  </si>
  <si>
    <t>00179</t>
  </si>
  <si>
    <t>00285</t>
  </si>
  <si>
    <t>00319</t>
  </si>
  <si>
    <t>00382</t>
  </si>
  <si>
    <t>00292</t>
  </si>
  <si>
    <t>00316</t>
  </si>
  <si>
    <t>00196</t>
  </si>
  <si>
    <t>00520</t>
  </si>
  <si>
    <t>00463</t>
  </si>
  <si>
    <t>00371</t>
  </si>
  <si>
    <t>00303</t>
  </si>
  <si>
    <t>00398</t>
  </si>
  <si>
    <t>00485</t>
  </si>
  <si>
    <t>00202</t>
  </si>
  <si>
    <t>00402</t>
  </si>
  <si>
    <t>00407</t>
  </si>
  <si>
    <t>00215</t>
  </si>
  <si>
    <t>00338</t>
  </si>
  <si>
    <t>00411</t>
  </si>
  <si>
    <t>00181</t>
  </si>
  <si>
    <t>00229</t>
  </si>
  <si>
    <t>00219</t>
  </si>
  <si>
    <t>00493</t>
  </si>
  <si>
    <t>00388</t>
  </si>
  <si>
    <t>00418</t>
  </si>
  <si>
    <t>00435</t>
  </si>
  <si>
    <t>00339</t>
  </si>
  <si>
    <t>00317</t>
  </si>
  <si>
    <t>00489</t>
  </si>
  <si>
    <t>00221</t>
  </si>
  <si>
    <t>00480</t>
  </si>
  <si>
    <t>00335</t>
  </si>
  <si>
    <t>00249</t>
  </si>
  <si>
    <t>00450</t>
  </si>
  <si>
    <t>00519</t>
  </si>
  <si>
    <t>00282</t>
  </si>
  <si>
    <t>00451</t>
  </si>
  <si>
    <t>00291</t>
  </si>
  <si>
    <t>00416</t>
  </si>
  <si>
    <t>00452</t>
  </si>
  <si>
    <t>00490</t>
  </si>
  <si>
    <t>00476</t>
  </si>
  <si>
    <t>00314</t>
  </si>
  <si>
    <t>00191</t>
  </si>
  <si>
    <t>00271</t>
  </si>
  <si>
    <t>00239</t>
  </si>
  <si>
    <t>00364</t>
  </si>
  <si>
    <t>00431</t>
  </si>
  <si>
    <t>00263</t>
  </si>
  <si>
    <t>00389</t>
  </si>
  <si>
    <t>00511</t>
  </si>
  <si>
    <t>00359</t>
  </si>
  <si>
    <t>00362</t>
  </si>
  <si>
    <t>00173</t>
  </si>
  <si>
    <t>00360</t>
  </si>
  <si>
    <t>00298</t>
  </si>
  <si>
    <t>00428</t>
  </si>
  <si>
    <t>00307</t>
  </si>
  <si>
    <t>00399</t>
  </si>
  <si>
    <t>00220</t>
  </si>
  <si>
    <t>00347</t>
  </si>
  <si>
    <t>00337</t>
  </si>
  <si>
    <t>00472</t>
  </si>
  <si>
    <t>00477</t>
  </si>
  <si>
    <t>00462</t>
  </si>
  <si>
    <t>00467</t>
  </si>
  <si>
    <t>00178</t>
  </si>
  <si>
    <t>00189</t>
  </si>
  <si>
    <t>00256</t>
  </si>
  <si>
    <t>00390</t>
  </si>
  <si>
    <t>00210</t>
  </si>
  <si>
    <t>00367</t>
  </si>
  <si>
    <t>00384</t>
  </si>
  <si>
    <t>00525</t>
  </si>
  <si>
    <t>00342</t>
  </si>
  <si>
    <t>00501</t>
  </si>
  <si>
    <t>00354</t>
  </si>
  <si>
    <t>00280</t>
  </si>
  <si>
    <t>00528</t>
  </si>
  <si>
    <t>00192</t>
  </si>
  <si>
    <t>00506</t>
  </si>
  <si>
    <t>00529</t>
  </si>
  <si>
    <t>00527</t>
  </si>
  <si>
    <t>00500</t>
  </si>
  <si>
    <t>00164</t>
  </si>
  <si>
    <t>00287</t>
  </si>
  <si>
    <t>00352</t>
  </si>
  <si>
    <t>00231</t>
  </si>
  <si>
    <t>00479</t>
  </si>
  <si>
    <t>0065381400100</t>
  </si>
  <si>
    <t>000537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</si>
</sst>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9">
    <font>
      <sz val="11"/>
      <color theme="1"/>
      <name val="Calibri"/>
      <charset val="1"/>
      <scheme val="minor"/>
    </font>
    <font>
      <b/>
      <sz val="16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name val="Calibri"/>
      <charset val="134"/>
      <scheme val="minor"/>
    </font>
    <font>
      <sz val="8"/>
      <name val="Calibri"/>
      <charset val="134"/>
      <scheme val="minor"/>
    </font>
    <font>
      <sz val="8"/>
      <color theme="1"/>
      <name val="Calibri"/>
      <charset val="1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9" fillId="0" borderId="0" applyFont="0" applyFill="0" applyBorder="0" applyAlignment="0" applyProtection="0"/>
    <xf numFmtId="0" fontId="16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164" fontId="0" fillId="0" borderId="0" xfId="1" applyFont="1" applyBorder="1" applyAlignment="1">
      <alignment vertical="center"/>
    </xf>
    <xf numFmtId="164" fontId="1" fillId="0" borderId="1" xfId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2" fillId="3" borderId="2" xfId="9" applyFont="1" applyFill="1" applyBorder="1" applyAlignment="1">
      <alignment horizontal="center" vertical="center" wrapText="1"/>
    </xf>
    <xf numFmtId="164" fontId="3" fillId="3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164" fontId="4" fillId="0" borderId="2" xfId="1" applyFont="1" applyBorder="1" applyAlignment="1">
      <alignment vertical="center"/>
    </xf>
    <xf numFmtId="164" fontId="3" fillId="3" borderId="6" xfId="1" applyFont="1" applyFill="1" applyBorder="1" applyAlignment="1">
      <alignment horizontal="center" vertical="center"/>
    </xf>
    <xf numFmtId="0" fontId="2" fillId="3" borderId="6" xfId="9" applyFont="1" applyFill="1" applyBorder="1" applyAlignment="1">
      <alignment horizontal="center" vertical="center" wrapText="1"/>
    </xf>
    <xf numFmtId="164" fontId="5" fillId="0" borderId="2" xfId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7" fillId="0" borderId="0" xfId="1" applyNumberFormat="1" applyFont="1"/>
    <xf numFmtId="0" fontId="12" fillId="0" borderId="2" xfId="4" applyFont="1" applyBorder="1" applyAlignment="1">
      <alignment horizontal="center" vertical="center"/>
    </xf>
    <xf numFmtId="0" fontId="12" fillId="0" borderId="2" xfId="4" applyFont="1" applyBorder="1" applyAlignment="1">
      <alignment vertical="center"/>
    </xf>
    <xf numFmtId="0" fontId="11" fillId="0" borderId="2" xfId="4" applyFont="1" applyBorder="1" applyAlignment="1">
      <alignment horizontal="center" vertical="center"/>
    </xf>
    <xf numFmtId="164" fontId="12" fillId="0" borderId="2" xfId="1" applyNumberFormat="1" applyFont="1" applyBorder="1" applyAlignment="1">
      <alignment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164" fontId="7" fillId="0" borderId="2" xfId="1" applyNumberFormat="1" applyFont="1" applyBorder="1"/>
    <xf numFmtId="164" fontId="0" fillId="0" borderId="0" xfId="1" applyFont="1"/>
    <xf numFmtId="164" fontId="0" fillId="0" borderId="0" xfId="0" applyNumberFormat="1"/>
    <xf numFmtId="0" fontId="14" fillId="0" borderId="2" xfId="0" applyFont="1" applyBorder="1" applyAlignment="1">
      <alignment horizontal="left"/>
    </xf>
    <xf numFmtId="0" fontId="0" fillId="0" borderId="2" xfId="0" applyBorder="1"/>
    <xf numFmtId="164" fontId="6" fillId="0" borderId="0" xfId="1" applyNumberFormat="1" applyFont="1"/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164" fontId="20" fillId="0" borderId="2" xfId="1" applyFont="1" applyBorder="1" applyAlignment="1">
      <alignment vertical="center"/>
    </xf>
    <xf numFmtId="164" fontId="4" fillId="4" borderId="2" xfId="1" applyFont="1" applyFill="1" applyBorder="1" applyAlignment="1">
      <alignment horizontal="center" vertical="center"/>
    </xf>
    <xf numFmtId="164" fontId="20" fillId="4" borderId="2" xfId="1" applyFont="1" applyFill="1" applyBorder="1" applyAlignment="1">
      <alignment horizontal="center" vertical="center"/>
    </xf>
    <xf numFmtId="164" fontId="23" fillId="0" borderId="0" xfId="1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2" xfId="0" quotePrefix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8" fillId="6" borderId="2" xfId="8" applyNumberFormat="1" applyFont="1" applyFill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2" fillId="5" borderId="3" xfId="4" applyFont="1" applyFill="1" applyBorder="1" applyAlignment="1">
      <alignment horizontal="center" vertical="center"/>
    </xf>
    <xf numFmtId="0" fontId="2" fillId="5" borderId="4" xfId="4" applyFont="1" applyFill="1" applyBorder="1" applyAlignment="1">
      <alignment horizontal="center" vertical="center"/>
    </xf>
    <xf numFmtId="0" fontId="2" fillId="5" borderId="5" xfId="4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2" borderId="6" xfId="4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horizontal="center" vertical="center"/>
    </xf>
    <xf numFmtId="0" fontId="25" fillId="2" borderId="6" xfId="4" applyFont="1" applyFill="1" applyBorder="1" applyAlignment="1">
      <alignment horizontal="center" vertical="center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2" borderId="8" xfId="1" applyNumberFormat="1" applyFont="1" applyFill="1" applyBorder="1" applyAlignment="1">
      <alignment horizontal="center" vertical="center" wrapText="1"/>
    </xf>
    <xf numFmtId="164" fontId="3" fillId="3" borderId="3" xfId="1" applyFont="1" applyFill="1" applyBorder="1" applyAlignment="1">
      <alignment horizontal="center" vertical="center"/>
    </xf>
    <xf numFmtId="164" fontId="3" fillId="3" borderId="4" xfId="1" applyFont="1" applyFill="1" applyBorder="1" applyAlignment="1">
      <alignment horizontal="center" vertical="center"/>
    </xf>
    <xf numFmtId="164" fontId="3" fillId="3" borderId="5" xfId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2" xfId="9" applyFont="1" applyFill="1" applyBorder="1" applyAlignment="1">
      <alignment horizontal="center" vertical="center"/>
    </xf>
    <xf numFmtId="0" fontId="2" fillId="2" borderId="2" xfId="9" applyFont="1" applyFill="1" applyBorder="1" applyAlignment="1">
      <alignment horizontal="center" vertical="center" wrapText="1"/>
    </xf>
  </cellXfs>
  <cellStyles count="10">
    <cellStyle name="Comma [0]" xfId="1" builtinId="6"/>
    <cellStyle name="Comma [0] 2" xfId="6" xr:uid="{00000000-0005-0000-0000-000001000000}"/>
    <cellStyle name="Comma [0] 3" xfId="8" xr:uid="{00000000-0005-0000-0000-000002000000}"/>
    <cellStyle name="Comma 2" xfId="5" xr:uid="{00000000-0005-0000-0000-000003000000}"/>
    <cellStyle name="Comma 3" xfId="7" xr:uid="{00000000-0005-0000-0000-000004000000}"/>
    <cellStyle name="Normal" xfId="0" builtinId="0"/>
    <cellStyle name="Normal 2" xfId="3" xr:uid="{00000000-0005-0000-0000-000006000000}"/>
    <cellStyle name="Normal 3" xfId="4" xr:uid="{00000000-0005-0000-0000-000007000000}"/>
    <cellStyle name="Normal 3 2" xfId="9" xr:uid="{00000000-0005-0000-0000-000008000000}"/>
    <cellStyle name="Normal 5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390526</xdr:colOff>
      <xdr:row>142</xdr:row>
      <xdr:rowOff>9525</xdr:rowOff>
    </xdr:from>
    <xdr:to>
      <xdr:col>1</xdr:col>
      <xdr:colOff>1400176</xdr:colOff>
      <xdr:row>145</xdr:row>
      <xdr:rowOff>21692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8DF1B7-6B7A-4C7B-96C2-6C297345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6" y="27231975"/>
          <a:ext cx="1009650" cy="583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"/>
  <sheetViews>
    <sheetView showGridLines="0" topLeftCell="A76" workbookViewId="0">
      <selection activeCell="B104" sqref="B104"/>
    </sheetView>
  </sheetViews>
  <sheetFormatPr defaultColWidth="9" defaultRowHeight="15"/>
  <cols>
    <col min="1" max="1" width="3.7109375" bestFit="1" customWidth="1"/>
    <col min="2" max="2" width="30.7109375" customWidth="1"/>
    <col min="3" max="3" width="15.28515625" customWidth="1"/>
    <col min="4" max="4" width="25.85546875" style="25" customWidth="1"/>
    <col min="5" max="5" width="5.28515625" customWidth="1"/>
    <col min="6" max="6" width="21.42578125" customWidth="1"/>
    <col min="7" max="7" width="12.5703125" customWidth="1"/>
  </cols>
  <sheetData>
    <row r="1" spans="1:7" ht="23.25">
      <c r="A1" s="54" t="s">
        <v>290</v>
      </c>
      <c r="B1" s="55"/>
      <c r="C1" s="55"/>
      <c r="D1" s="55"/>
    </row>
    <row r="2" spans="1:7" ht="23.25">
      <c r="A2" s="54" t="s">
        <v>291</v>
      </c>
      <c r="B2" s="55"/>
      <c r="C2" s="55"/>
      <c r="D2" s="55"/>
    </row>
    <row r="3" spans="1:7" ht="18.75">
      <c r="A3" s="56" t="s">
        <v>0</v>
      </c>
      <c r="B3" s="56"/>
      <c r="C3" s="56"/>
      <c r="D3" s="56"/>
    </row>
    <row r="4" spans="1:7">
      <c r="A4" s="62" t="s">
        <v>1</v>
      </c>
      <c r="B4" s="64" t="s">
        <v>286</v>
      </c>
      <c r="C4" s="64" t="s">
        <v>287</v>
      </c>
      <c r="D4" s="65" t="s">
        <v>3</v>
      </c>
    </row>
    <row r="5" spans="1:7">
      <c r="A5" s="63"/>
      <c r="B5" s="63"/>
      <c r="C5" s="63"/>
      <c r="D5" s="66"/>
    </row>
    <row r="6" spans="1:7">
      <c r="A6" s="26"/>
      <c r="B6" s="27"/>
      <c r="C6" s="28"/>
      <c r="D6" s="29"/>
    </row>
    <row r="7" spans="1:7">
      <c r="A7" s="30">
        <f>Rincian!A5</f>
        <v>1</v>
      </c>
      <c r="B7" s="31" t="str">
        <f>Rincian!B5</f>
        <v>Abdul Azis</v>
      </c>
      <c r="C7" s="30" t="str">
        <f>Rincian!D5</f>
        <v>0002494701100</v>
      </c>
      <c r="D7" s="32">
        <f>Rincian!L5</f>
        <v>6715443</v>
      </c>
      <c r="F7" s="33"/>
      <c r="G7" s="33"/>
    </row>
    <row r="8" spans="1:7">
      <c r="A8" s="30">
        <f>Rincian!A6</f>
        <v>2</v>
      </c>
      <c r="B8" s="31" t="str">
        <f>Rincian!B6</f>
        <v>Ade Carnisem</v>
      </c>
      <c r="C8" s="30" t="str">
        <f>Rincian!D6</f>
        <v>0233200510622</v>
      </c>
      <c r="D8" s="32">
        <f>Rincian!L6</f>
        <v>5860285</v>
      </c>
      <c r="F8" s="33"/>
      <c r="G8" s="33"/>
    </row>
    <row r="9" spans="1:7">
      <c r="A9" s="30">
        <f>Rincian!A7</f>
        <v>3</v>
      </c>
      <c r="B9" s="31" t="str">
        <f>Rincian!B7</f>
        <v>Ade Kurnia, dr.</v>
      </c>
      <c r="C9" s="30" t="str">
        <f>Rincian!D7</f>
        <v>0057463041100</v>
      </c>
      <c r="D9" s="32">
        <f>Rincian!L7</f>
        <v>300000</v>
      </c>
      <c r="F9" s="33"/>
      <c r="G9" s="33"/>
    </row>
    <row r="10" spans="1:7">
      <c r="A10" s="30">
        <f>Rincian!A8</f>
        <v>4</v>
      </c>
      <c r="B10" s="31" t="str">
        <f>Rincian!B8</f>
        <v>Adah Saadah</v>
      </c>
      <c r="C10" s="30" t="str">
        <f>Rincian!D8</f>
        <v>0006880207100</v>
      </c>
      <c r="D10" s="32">
        <f>Rincian!L8</f>
        <v>1000000</v>
      </c>
      <c r="F10" s="33"/>
      <c r="G10" s="33"/>
    </row>
    <row r="11" spans="1:7">
      <c r="A11" s="30">
        <f>Rincian!A9</f>
        <v>5</v>
      </c>
      <c r="B11" s="31" t="str">
        <f>Rincian!B9</f>
        <v>Ade Saromah</v>
      </c>
      <c r="C11" s="30" t="str">
        <f>Rincian!D9</f>
        <v>0001479571101</v>
      </c>
      <c r="D11" s="32">
        <f>Rincian!L9</f>
        <v>5300000</v>
      </c>
      <c r="F11" s="33"/>
      <c r="G11" s="33"/>
    </row>
    <row r="12" spans="1:7">
      <c r="A12" s="30">
        <f>Rincian!A10</f>
        <v>6</v>
      </c>
      <c r="B12" s="31" t="str">
        <f>Rincian!B10</f>
        <v>Ade Sofyan</v>
      </c>
      <c r="C12" s="30" t="str">
        <f>Rincian!D10</f>
        <v>0004373162100</v>
      </c>
      <c r="D12" s="32">
        <f>Rincian!L10</f>
        <v>5273005</v>
      </c>
      <c r="F12" s="33"/>
      <c r="G12" s="33"/>
    </row>
    <row r="13" spans="1:7">
      <c r="A13" s="30">
        <f>Rincian!A11</f>
        <v>7</v>
      </c>
      <c r="B13" s="31" t="str">
        <f>Rincian!B11</f>
        <v>Agus Krisno</v>
      </c>
      <c r="C13" s="30" t="str">
        <f>Rincian!D11</f>
        <v>0233100012399</v>
      </c>
      <c r="D13" s="32">
        <f>Rincian!L11</f>
        <v>4745522</v>
      </c>
      <c r="F13" s="33"/>
      <c r="G13" s="33"/>
    </row>
    <row r="14" spans="1:7">
      <c r="A14" s="30">
        <f>Rincian!A12</f>
        <v>8</v>
      </c>
      <c r="B14" s="31" t="str">
        <f>Rincian!B12</f>
        <v>Ai Sriyati</v>
      </c>
      <c r="C14" s="30" t="s">
        <v>4</v>
      </c>
      <c r="D14" s="32">
        <f>Rincian!L12</f>
        <v>8250553</v>
      </c>
      <c r="F14" s="33"/>
      <c r="G14" s="33"/>
    </row>
    <row r="15" spans="1:7">
      <c r="A15" s="30">
        <f>Rincian!A13</f>
        <v>9</v>
      </c>
      <c r="B15" s="31" t="str">
        <f>Rincian!B13</f>
        <v>Akhmad Saepudin</v>
      </c>
      <c r="C15" s="30" t="str">
        <f>Rincian!D13</f>
        <v>0001349023100</v>
      </c>
      <c r="D15" s="32">
        <f>Rincian!L13</f>
        <v>6480276</v>
      </c>
      <c r="F15" s="33"/>
      <c r="G15" s="33"/>
    </row>
    <row r="16" spans="1:7">
      <c r="A16" s="30">
        <f>Rincian!A14</f>
        <v>10</v>
      </c>
      <c r="B16" s="31" t="str">
        <f>Rincian!B14</f>
        <v>Ani Mulyani</v>
      </c>
      <c r="C16" s="30" t="s">
        <v>5</v>
      </c>
      <c r="D16" s="32">
        <f>Rincian!L14</f>
        <v>1402500</v>
      </c>
      <c r="F16" s="33"/>
      <c r="G16" s="33"/>
    </row>
    <row r="17" spans="1:7">
      <c r="A17" s="30">
        <f>Rincian!A15</f>
        <v>11</v>
      </c>
      <c r="B17" s="31" t="str">
        <f>Rincian!B15</f>
        <v>Anis Farida, dr</v>
      </c>
      <c r="C17" s="30" t="str">
        <f>Rincian!D15</f>
        <v>0006866141100</v>
      </c>
      <c r="D17" s="32">
        <f>Rincian!L15</f>
        <v>300000</v>
      </c>
      <c r="F17" s="33"/>
      <c r="G17" s="33"/>
    </row>
    <row r="18" spans="1:7">
      <c r="A18" s="30">
        <f>Rincian!A16</f>
        <v>12</v>
      </c>
      <c r="B18" s="31" t="str">
        <f>Rincian!B16</f>
        <v>Arief Anggara, dr.</v>
      </c>
      <c r="C18" s="30" t="str">
        <f>Rincian!D16</f>
        <v>0006273981100</v>
      </c>
      <c r="D18" s="32">
        <f>Rincian!L16</f>
        <v>490000</v>
      </c>
      <c r="F18" s="33"/>
      <c r="G18" s="33"/>
    </row>
    <row r="19" spans="1:7">
      <c r="A19" s="30">
        <f>Rincian!A17</f>
        <v>13</v>
      </c>
      <c r="B19" s="31" t="str">
        <f>Rincian!B17</f>
        <v>Arimbi Nurwiyanti Putri</v>
      </c>
      <c r="C19" s="30" t="str">
        <f>Rincian!D17</f>
        <v>0233100006515</v>
      </c>
      <c r="D19" s="32">
        <f>Rincian!L17</f>
        <v>1068750</v>
      </c>
      <c r="F19" s="33"/>
      <c r="G19" s="33"/>
    </row>
    <row r="20" spans="1:7">
      <c r="A20" s="30">
        <f>Rincian!A18</f>
        <v>14</v>
      </c>
      <c r="B20" s="31" t="str">
        <f>Rincian!B18</f>
        <v>Asep Andi M.</v>
      </c>
      <c r="C20" s="30" t="s">
        <v>6</v>
      </c>
      <c r="D20" s="32">
        <f>Rincian!L18</f>
        <v>1024025</v>
      </c>
      <c r="F20" s="33"/>
      <c r="G20" s="33"/>
    </row>
    <row r="21" spans="1:7">
      <c r="A21" s="30">
        <f>Rincian!A19</f>
        <v>15</v>
      </c>
      <c r="B21" s="31" t="str">
        <f>Rincian!B19</f>
        <v>Asep Hermawan</v>
      </c>
      <c r="C21" s="30" t="str">
        <f>Rincian!D19</f>
        <v>0006904289100</v>
      </c>
      <c r="D21" s="32">
        <f>Rincian!L19</f>
        <v>4035396</v>
      </c>
      <c r="F21" s="33"/>
      <c r="G21" s="33"/>
    </row>
    <row r="22" spans="1:7">
      <c r="A22" s="30">
        <f>Rincian!A20</f>
        <v>16</v>
      </c>
      <c r="B22" s="31" t="str">
        <f>Rincian!B20</f>
        <v>Budhiman Trisakti</v>
      </c>
      <c r="C22" s="30" t="str">
        <f>Rincian!D20</f>
        <v>0013200196761</v>
      </c>
      <c r="D22" s="32">
        <f>Rincian!L20</f>
        <v>1900350</v>
      </c>
      <c r="F22" s="33"/>
      <c r="G22" s="33"/>
    </row>
    <row r="23" spans="1:7">
      <c r="A23" s="30">
        <f>Rincian!A21</f>
        <v>17</v>
      </c>
      <c r="B23" s="31" t="str">
        <f>Rincian!B21</f>
        <v>Budi Siswanto</v>
      </c>
      <c r="C23" s="30" t="s">
        <v>7</v>
      </c>
      <c r="D23" s="32">
        <f>Rincian!L21</f>
        <v>949125</v>
      </c>
      <c r="F23" s="33"/>
      <c r="G23" s="33"/>
    </row>
    <row r="24" spans="1:7">
      <c r="A24" s="30">
        <f>Rincian!A22</f>
        <v>18</v>
      </c>
      <c r="B24" s="31" t="str">
        <f>Rincian!B22</f>
        <v>Dadan Cahyadi</v>
      </c>
      <c r="C24" s="30" t="str">
        <f>Rincian!D22</f>
        <v>0233210017006</v>
      </c>
      <c r="D24" s="32">
        <f>Rincian!L22</f>
        <v>1794607</v>
      </c>
      <c r="F24" s="33"/>
      <c r="G24" s="33"/>
    </row>
    <row r="25" spans="1:7">
      <c r="A25" s="30">
        <f>Rincian!A23</f>
        <v>19</v>
      </c>
      <c r="B25" s="31" t="str">
        <f>Rincian!B23</f>
        <v>Dede Kuswaya</v>
      </c>
      <c r="C25" s="30" t="str">
        <f>Rincian!D23</f>
        <v>0006880541100</v>
      </c>
      <c r="D25" s="32">
        <f>Rincian!L23</f>
        <v>300000</v>
      </c>
      <c r="F25" s="33"/>
      <c r="G25" s="33"/>
    </row>
    <row r="26" spans="1:7">
      <c r="A26" s="30">
        <f>Rincian!A24</f>
        <v>20</v>
      </c>
      <c r="B26" s="31" t="str">
        <f>Rincian!B24</f>
        <v>Dedi Nurhasan Ashari</v>
      </c>
      <c r="C26" s="30" t="str">
        <f>Rincian!D24</f>
        <v>0006889832100</v>
      </c>
      <c r="D26" s="32">
        <f>Rincian!L24</f>
        <v>317500</v>
      </c>
      <c r="F26" s="33"/>
      <c r="G26" s="33"/>
    </row>
    <row r="27" spans="1:7">
      <c r="A27" s="30">
        <f>Rincian!A25</f>
        <v>21</v>
      </c>
      <c r="B27" s="31" t="str">
        <f>Rincian!B25</f>
        <v>Dedi Rahmadi</v>
      </c>
      <c r="C27" s="30" t="str">
        <f>Rincian!D25</f>
        <v>0233100632519</v>
      </c>
      <c r="D27" s="32">
        <f>Rincian!L25</f>
        <v>300000</v>
      </c>
      <c r="F27" s="33"/>
      <c r="G27" s="33"/>
    </row>
    <row r="28" spans="1:7">
      <c r="A28" s="30">
        <f>Rincian!A26</f>
        <v>22</v>
      </c>
      <c r="B28" s="31" t="str">
        <f>Rincian!B26</f>
        <v>Dedi Suhaedi</v>
      </c>
      <c r="C28" s="30" t="str">
        <f>Rincian!D26</f>
        <v>0233100053536</v>
      </c>
      <c r="D28" s="32">
        <f>Rincian!L26</f>
        <v>4315730</v>
      </c>
      <c r="F28" s="33"/>
      <c r="G28" s="33"/>
    </row>
    <row r="29" spans="1:7">
      <c r="A29" s="30">
        <f>Rincian!A27</f>
        <v>23</v>
      </c>
      <c r="B29" s="31" t="str">
        <f>Rincian!B27</f>
        <v>Desmiati</v>
      </c>
      <c r="C29" s="30" t="str">
        <f>Rincian!D27</f>
        <v>0004331575100</v>
      </c>
      <c r="D29" s="32">
        <f>Rincian!L27</f>
        <v>2152005</v>
      </c>
      <c r="F29" s="33"/>
      <c r="G29" s="33"/>
    </row>
    <row r="30" spans="1:7">
      <c r="A30" s="30">
        <f>Rincian!A28</f>
        <v>24</v>
      </c>
      <c r="B30" s="31" t="str">
        <f>Rincian!B28</f>
        <v>Devie Fitriyani</v>
      </c>
      <c r="C30" s="30" t="str">
        <f>Rincian!D28</f>
        <v>0006837514100</v>
      </c>
      <c r="D30" s="32">
        <f>Rincian!L28</f>
        <v>2798659</v>
      </c>
      <c r="F30" s="33"/>
      <c r="G30" s="33"/>
    </row>
    <row r="31" spans="1:7">
      <c r="A31" s="30">
        <f>Rincian!A29</f>
        <v>25</v>
      </c>
      <c r="B31" s="31" t="str">
        <f>Rincian!B29</f>
        <v>Devy Rianty Ritonga</v>
      </c>
      <c r="C31" s="30" t="str">
        <f>Rincian!D29</f>
        <v>0006868241100</v>
      </c>
      <c r="D31" s="32">
        <f>Rincian!L29</f>
        <v>300000</v>
      </c>
      <c r="F31" s="33"/>
      <c r="G31" s="33"/>
    </row>
    <row r="32" spans="1:7">
      <c r="A32" s="30">
        <f>Rincian!A30</f>
        <v>26</v>
      </c>
      <c r="B32" s="31" t="str">
        <f>Rincian!B30</f>
        <v>Dewi Gustini</v>
      </c>
      <c r="C32" s="30" t="str">
        <f>Rincian!D30</f>
        <v>0013280584100</v>
      </c>
      <c r="D32" s="32">
        <f>Rincian!L30</f>
        <v>300000</v>
      </c>
      <c r="F32" s="33"/>
      <c r="G32" s="33"/>
    </row>
    <row r="33" spans="1:7">
      <c r="A33" s="30">
        <f>Rincian!A31</f>
        <v>27</v>
      </c>
      <c r="B33" s="31" t="str">
        <f>Rincian!B31</f>
        <v>Dewi Komalawati</v>
      </c>
      <c r="C33" s="30" t="str">
        <f>Rincian!D31</f>
        <v>0006924379100</v>
      </c>
      <c r="D33" s="32">
        <f>Rincian!L31</f>
        <v>407700</v>
      </c>
      <c r="F33" s="33"/>
      <c r="G33" s="33"/>
    </row>
    <row r="34" spans="1:7">
      <c r="A34" s="30">
        <f>Rincian!A32</f>
        <v>28</v>
      </c>
      <c r="B34" s="31" t="str">
        <f>Rincian!B32</f>
        <v>Dewi Sintamaria</v>
      </c>
      <c r="C34" s="30" t="str">
        <f>Rincian!D32</f>
        <v>0233200086998</v>
      </c>
      <c r="D34" s="32">
        <f>Rincian!L32</f>
        <v>3911985</v>
      </c>
      <c r="F34" s="33"/>
      <c r="G34" s="33"/>
    </row>
    <row r="35" spans="1:7">
      <c r="A35" s="30">
        <f>Rincian!A33</f>
        <v>29</v>
      </c>
      <c r="B35" s="31" t="str">
        <f>Rincian!B33</f>
        <v>Dhian Indriasari, dr.</v>
      </c>
      <c r="C35" s="30" t="str">
        <f>Rincian!D33</f>
        <v>0006876323100</v>
      </c>
      <c r="D35" s="32">
        <f>Rincian!L33</f>
        <v>1300000</v>
      </c>
      <c r="F35" s="33"/>
      <c r="G35" s="33"/>
    </row>
    <row r="36" spans="1:7">
      <c r="A36" s="30">
        <f>Rincian!A34</f>
        <v>30</v>
      </c>
      <c r="B36" s="31" t="str">
        <f>Rincian!B34</f>
        <v>Diah Windhiarti</v>
      </c>
      <c r="C36" s="30" t="s">
        <v>8</v>
      </c>
      <c r="D36" s="32">
        <f>Rincian!L34</f>
        <v>1204714</v>
      </c>
      <c r="F36" s="33"/>
      <c r="G36" s="33"/>
    </row>
    <row r="37" spans="1:7">
      <c r="A37" s="30">
        <f>Rincian!A35</f>
        <v>31</v>
      </c>
      <c r="B37" s="31" t="str">
        <f>Rincian!B35</f>
        <v>Dian Ratnaningsih</v>
      </c>
      <c r="C37" s="30" t="str">
        <f>Rincian!D35</f>
        <v>0001761749100</v>
      </c>
      <c r="D37" s="32">
        <f>Rincian!L35</f>
        <v>300000</v>
      </c>
      <c r="F37" s="33"/>
      <c r="G37" s="33"/>
    </row>
    <row r="38" spans="1:7">
      <c r="A38" s="30">
        <f>Rincian!A36</f>
        <v>32</v>
      </c>
      <c r="B38" s="31" t="str">
        <f>Rincian!B36</f>
        <v>Diana Ekawaty</v>
      </c>
      <c r="C38" s="30" t="str">
        <f>Rincian!D36</f>
        <v>0004747445100</v>
      </c>
      <c r="D38" s="32">
        <f>Rincian!L36</f>
        <v>1300000</v>
      </c>
      <c r="F38" s="33"/>
      <c r="G38" s="33"/>
    </row>
    <row r="39" spans="1:7">
      <c r="A39" s="30">
        <f>Rincian!A37</f>
        <v>33</v>
      </c>
      <c r="B39" s="31" t="str">
        <f>Rincian!B37</f>
        <v>Diana Junita Ita, dr.</v>
      </c>
      <c r="C39" s="30" t="str">
        <f>Rincian!D37</f>
        <v>0006895220100</v>
      </c>
      <c r="D39" s="32">
        <f>Rincian!L37</f>
        <v>300000</v>
      </c>
      <c r="F39" s="33"/>
      <c r="G39" s="33"/>
    </row>
    <row r="40" spans="1:7">
      <c r="A40" s="30">
        <f>Rincian!A38</f>
        <v>34</v>
      </c>
      <c r="B40" s="31" t="str">
        <f>Rincian!B38</f>
        <v>Dini Juwita, S.Si, M.AP</v>
      </c>
      <c r="C40" s="30" t="s">
        <v>9</v>
      </c>
      <c r="D40" s="32">
        <f>Rincian!L38</f>
        <v>2829000</v>
      </c>
      <c r="F40" s="33"/>
      <c r="G40" s="33"/>
    </row>
    <row r="41" spans="1:7">
      <c r="A41" s="30">
        <f>Rincian!A39</f>
        <v>35</v>
      </c>
      <c r="B41" s="31" t="str">
        <f>Rincian!B39</f>
        <v>Dini Kusuma Wardhani</v>
      </c>
      <c r="C41" s="30" t="str">
        <f>Rincian!D39</f>
        <v>0006866352100</v>
      </c>
      <c r="D41" s="32">
        <f>Rincian!L39</f>
        <v>5916196</v>
      </c>
      <c r="F41" s="33"/>
      <c r="G41" s="33"/>
    </row>
    <row r="42" spans="1:7">
      <c r="A42" s="30">
        <f>Rincian!A40</f>
        <v>36</v>
      </c>
      <c r="B42" s="31" t="str">
        <f>Rincian!B40</f>
        <v>Dini Widiani</v>
      </c>
      <c r="C42" s="30" t="str">
        <f>Rincian!D40</f>
        <v>0002059894100</v>
      </c>
      <c r="D42" s="32">
        <f>Rincian!L40</f>
        <v>300000</v>
      </c>
      <c r="F42" s="33"/>
      <c r="G42" s="33"/>
    </row>
    <row r="43" spans="1:7">
      <c r="A43" s="30">
        <f>Rincian!A41</f>
        <v>37</v>
      </c>
      <c r="B43" s="31" t="str">
        <f>Rincian!B41</f>
        <v>Dodi Ikana</v>
      </c>
      <c r="C43" s="30" t="str">
        <f>Rincian!D41</f>
        <v>0006869920100</v>
      </c>
      <c r="D43" s="32">
        <f>Rincian!L41</f>
        <v>2045833</v>
      </c>
      <c r="F43" s="33"/>
      <c r="G43" s="33"/>
    </row>
    <row r="44" spans="1:7">
      <c r="A44" s="30">
        <f>Rincian!A42</f>
        <v>38</v>
      </c>
      <c r="B44" s="31" t="str">
        <f>Rincian!B42</f>
        <v>Ecep Ahmad Hidayat</v>
      </c>
      <c r="C44" s="30" t="s">
        <v>10</v>
      </c>
      <c r="D44" s="32">
        <f>Rincian!L42</f>
        <v>2341667</v>
      </c>
      <c r="F44" s="33"/>
      <c r="G44" s="33"/>
    </row>
    <row r="45" spans="1:7">
      <c r="A45" s="30">
        <f>Rincian!A43</f>
        <v>39</v>
      </c>
      <c r="B45" s="31" t="str">
        <f>Rincian!B43</f>
        <v>Elly Marliyani,Sp.KJ.M.,K.M.,dr.Hj.</v>
      </c>
      <c r="C45" s="30" t="s">
        <v>11</v>
      </c>
      <c r="D45" s="32">
        <f>Rincian!L43</f>
        <v>300000</v>
      </c>
      <c r="F45" s="33"/>
      <c r="G45" s="33"/>
    </row>
    <row r="46" spans="1:7">
      <c r="A46" s="30">
        <f>Rincian!A44</f>
        <v>40</v>
      </c>
      <c r="B46" s="31" t="str">
        <f>Rincian!B44</f>
        <v>Elly Nurmalaysia</v>
      </c>
      <c r="C46" s="30" t="str">
        <f>Rincian!D44</f>
        <v>0006836941100</v>
      </c>
      <c r="D46" s="32">
        <f>Rincian!L44</f>
        <v>300000</v>
      </c>
      <c r="F46" s="33"/>
      <c r="G46" s="33"/>
    </row>
    <row r="47" spans="1:7">
      <c r="A47" s="30">
        <f>Rincian!A45</f>
        <v>41</v>
      </c>
      <c r="B47" s="31" t="str">
        <f>Rincian!B45</f>
        <v>Elsie Diana Rosdini</v>
      </c>
      <c r="C47" s="30" t="str">
        <f>Rincian!D45</f>
        <v>0233100121608</v>
      </c>
      <c r="D47" s="32">
        <f>Rincian!L45</f>
        <v>2783508</v>
      </c>
      <c r="F47" s="33"/>
      <c r="G47" s="33"/>
    </row>
    <row r="48" spans="1:7">
      <c r="A48" s="30">
        <f>Rincian!A46</f>
        <v>42</v>
      </c>
      <c r="B48" s="31" t="str">
        <f>Rincian!B46</f>
        <v>Encep Supriandi, dr</v>
      </c>
      <c r="C48" s="30" t="str">
        <f>Rincian!D46</f>
        <v>0006837557100</v>
      </c>
      <c r="D48" s="32">
        <f>Rincian!L46</f>
        <v>300000</v>
      </c>
      <c r="F48" s="33"/>
      <c r="G48" s="33"/>
    </row>
    <row r="49" spans="1:7">
      <c r="A49" s="30">
        <f>Rincian!A47</f>
        <v>43</v>
      </c>
      <c r="B49" s="31" t="str">
        <f>Rincian!B47</f>
        <v>Eny Suhayati</v>
      </c>
      <c r="C49" s="30" t="str">
        <f>Rincian!D47</f>
        <v>0006903495100</v>
      </c>
      <c r="D49" s="32">
        <f>Rincian!L47</f>
        <v>3478166</v>
      </c>
      <c r="F49" s="33"/>
      <c r="G49" s="33"/>
    </row>
    <row r="50" spans="1:7">
      <c r="A50" s="30">
        <f>Rincian!A48</f>
        <v>44</v>
      </c>
      <c r="B50" s="31" t="str">
        <f>Rincian!B48</f>
        <v>Eri Suciati Rahayu</v>
      </c>
      <c r="C50" s="30" t="str">
        <f>Rincian!D48</f>
        <v>0233200083984</v>
      </c>
      <c r="D50" s="32">
        <f>Rincian!L48</f>
        <v>2780136</v>
      </c>
      <c r="F50" s="33"/>
      <c r="G50" s="33"/>
    </row>
    <row r="51" spans="1:7">
      <c r="A51" s="30">
        <f>Rincian!A49</f>
        <v>45</v>
      </c>
      <c r="B51" s="31" t="str">
        <f>Rincian!B49</f>
        <v>Ester Suryani Tampubolon</v>
      </c>
      <c r="C51" s="30" t="str">
        <f>Rincian!D49</f>
        <v>0006889581100</v>
      </c>
      <c r="D51" s="32">
        <f>Rincian!L49</f>
        <v>1300000</v>
      </c>
      <c r="F51" s="33"/>
      <c r="G51" s="33"/>
    </row>
    <row r="52" spans="1:7">
      <c r="A52" s="30">
        <f>Rincian!A50</f>
        <v>46</v>
      </c>
      <c r="B52" s="31" t="str">
        <f>Rincian!B50</f>
        <v>Fatheras Diwani</v>
      </c>
      <c r="C52" s="30" t="str">
        <f>Rincian!D50</f>
        <v>0003688232100</v>
      </c>
      <c r="D52" s="32">
        <f>Rincian!L50</f>
        <v>3191000</v>
      </c>
      <c r="F52" s="33"/>
      <c r="G52" s="33"/>
    </row>
    <row r="53" spans="1:7">
      <c r="A53" s="30">
        <f>Rincian!A51</f>
        <v>47</v>
      </c>
      <c r="B53" s="31" t="str">
        <f>Rincian!B51</f>
        <v>Fitri Puspita Sari</v>
      </c>
      <c r="C53" s="30" t="str">
        <f>Rincian!D51</f>
        <v>0112278648100</v>
      </c>
      <c r="D53" s="32">
        <f>Rincian!L51</f>
        <v>300000</v>
      </c>
      <c r="F53" s="33"/>
      <c r="G53" s="33"/>
    </row>
    <row r="54" spans="1:7">
      <c r="A54" s="30">
        <f>Rincian!A52</f>
        <v>48</v>
      </c>
      <c r="B54" s="31" t="str">
        <f>Rincian!B52</f>
        <v>Halimah</v>
      </c>
      <c r="C54" s="30" t="str">
        <f>Rincian!D52</f>
        <v>0002181363100</v>
      </c>
      <c r="D54" s="32">
        <f>Rincian!L52</f>
        <v>8042337</v>
      </c>
      <c r="F54" s="33"/>
      <c r="G54" s="33"/>
    </row>
    <row r="55" spans="1:7">
      <c r="A55" s="30">
        <f>Rincian!A53</f>
        <v>49</v>
      </c>
      <c r="B55" s="31" t="str">
        <f>Rincian!B53</f>
        <v>Hayat Rudiatna</v>
      </c>
      <c r="C55" s="30" t="str">
        <f>Rincian!D53</f>
        <v>0006873863100</v>
      </c>
      <c r="D55" s="32">
        <f>Rincian!L53</f>
        <v>594658</v>
      </c>
      <c r="F55" s="33"/>
      <c r="G55" s="33"/>
    </row>
    <row r="56" spans="1:7">
      <c r="A56" s="30">
        <f>Rincian!A54</f>
        <v>50</v>
      </c>
      <c r="B56" s="31" t="str">
        <f>Rincian!B54</f>
        <v>Hendy Siswoyo</v>
      </c>
      <c r="C56" s="30" t="str">
        <f>Rincian!D54</f>
        <v>0006837832100</v>
      </c>
      <c r="D56" s="32">
        <f>Rincian!L54</f>
        <v>300000</v>
      </c>
      <c r="F56" s="33"/>
      <c r="G56" s="33"/>
    </row>
    <row r="57" spans="1:7">
      <c r="A57" s="30">
        <f>Rincian!A55</f>
        <v>51</v>
      </c>
      <c r="B57" s="31" t="str">
        <f>Rincian!B55</f>
        <v>Herman</v>
      </c>
      <c r="C57" s="30" t="str">
        <f>Rincian!D55</f>
        <v>0006905676100</v>
      </c>
      <c r="D57" s="32">
        <f>Rincian!L55</f>
        <v>2034651</v>
      </c>
      <c r="F57" s="33"/>
      <c r="G57" s="33"/>
    </row>
    <row r="58" spans="1:7">
      <c r="A58" s="30">
        <f>Rincian!A56</f>
        <v>52</v>
      </c>
      <c r="B58" s="31" t="str">
        <f>Rincian!B56</f>
        <v>Hilda Puspa Indah, dr</v>
      </c>
      <c r="C58" s="30" t="s">
        <v>12</v>
      </c>
      <c r="D58" s="32">
        <f>Rincian!L56</f>
        <v>1056500</v>
      </c>
      <c r="F58" s="33"/>
      <c r="G58" s="33"/>
    </row>
    <row r="59" spans="1:7">
      <c r="A59" s="30">
        <f>Rincian!A57</f>
        <v>53</v>
      </c>
      <c r="B59" s="31" t="str">
        <f>Rincian!B57</f>
        <v>Ikah Maryati</v>
      </c>
      <c r="C59" s="30" t="str">
        <f>Rincian!D57</f>
        <v>0006891071100</v>
      </c>
      <c r="D59" s="32">
        <f>Rincian!L57</f>
        <v>455500</v>
      </c>
      <c r="F59" s="33"/>
      <c r="G59" s="33"/>
    </row>
    <row r="60" spans="1:7">
      <c r="A60" s="30">
        <f>Rincian!A58</f>
        <v>54</v>
      </c>
      <c r="B60" s="31" t="str">
        <f>Rincian!B58</f>
        <v>Irviana Vinanda</v>
      </c>
      <c r="C60" s="30" t="str">
        <f>Rincian!D58</f>
        <v>0006248527100</v>
      </c>
      <c r="D60" s="32">
        <f>Rincian!L58</f>
        <v>800000</v>
      </c>
      <c r="F60" s="33"/>
      <c r="G60" s="33"/>
    </row>
    <row r="61" spans="1:7">
      <c r="A61" s="30">
        <f>Rincian!A59</f>
        <v>55</v>
      </c>
      <c r="B61" s="31" t="str">
        <f>Rincian!B59</f>
        <v>Iwan Roswandi</v>
      </c>
      <c r="C61" s="30" t="str">
        <f>Rincian!D59</f>
        <v>0006880665100</v>
      </c>
      <c r="D61" s="32">
        <f>Rincian!L59</f>
        <v>320500</v>
      </c>
      <c r="F61" s="33"/>
      <c r="G61" s="33"/>
    </row>
    <row r="62" spans="1:7">
      <c r="A62" s="30">
        <f>Rincian!A60</f>
        <v>56</v>
      </c>
      <c r="B62" s="31" t="str">
        <f>Rincian!B60</f>
        <v>Jajang Suwarja</v>
      </c>
      <c r="C62" s="30" t="str">
        <f>Rincian!D60</f>
        <v>0006880967100</v>
      </c>
      <c r="D62" s="32">
        <f>Rincian!L60</f>
        <v>1627084</v>
      </c>
      <c r="F62" s="33"/>
      <c r="G62" s="33"/>
    </row>
    <row r="63" spans="1:7">
      <c r="A63" s="30">
        <f>Rincian!A61</f>
        <v>57</v>
      </c>
      <c r="B63" s="31" t="str">
        <f>Rincian!B61</f>
        <v>Joni Suprayogi</v>
      </c>
      <c r="C63" s="30" t="str">
        <f>Rincian!D61</f>
        <v>0004259696100</v>
      </c>
      <c r="D63" s="32">
        <f>Rincian!L61</f>
        <v>1831630</v>
      </c>
      <c r="F63" s="33"/>
      <c r="G63" s="33"/>
    </row>
    <row r="64" spans="1:7">
      <c r="A64" s="30">
        <f>Rincian!A62</f>
        <v>58</v>
      </c>
      <c r="B64" s="31" t="str">
        <f>Rincian!B62</f>
        <v>Kharisma Bustami</v>
      </c>
      <c r="C64" s="30" t="s">
        <v>13</v>
      </c>
      <c r="D64" s="32">
        <f>Rincian!L62</f>
        <v>300000</v>
      </c>
      <c r="F64" s="33"/>
      <c r="G64" s="33"/>
    </row>
    <row r="65" spans="1:7">
      <c r="A65" s="30">
        <f>Rincian!A63</f>
        <v>59</v>
      </c>
      <c r="B65" s="31" t="str">
        <f>Rincian!B63</f>
        <v>Komaryati</v>
      </c>
      <c r="C65" s="30" t="str">
        <f>Rincian!D63</f>
        <v>0233100108806</v>
      </c>
      <c r="D65" s="32">
        <f>Rincian!L63</f>
        <v>1800000</v>
      </c>
      <c r="F65" s="33"/>
      <c r="G65" s="33"/>
    </row>
    <row r="66" spans="1:7">
      <c r="A66" s="30">
        <f>Rincian!A64</f>
        <v>60</v>
      </c>
      <c r="B66" s="31" t="str">
        <f>Rincian!B64</f>
        <v>Lukarlim</v>
      </c>
      <c r="C66" s="30" t="str">
        <f>Rincian!D64</f>
        <v>0006875408101</v>
      </c>
      <c r="D66" s="32">
        <f>Rincian!L64</f>
        <v>5197500</v>
      </c>
      <c r="F66" s="33"/>
      <c r="G66" s="33"/>
    </row>
    <row r="67" spans="1:7">
      <c r="A67" s="30">
        <f>Rincian!A65</f>
        <v>61</v>
      </c>
      <c r="B67" s="31" t="str">
        <f>Rincian!B65</f>
        <v>Mila Karmila</v>
      </c>
      <c r="C67" s="30" t="str">
        <f>Rincian!D65</f>
        <v>0003187691100</v>
      </c>
      <c r="D67" s="32">
        <f>Rincian!L65</f>
        <v>23244975</v>
      </c>
      <c r="F67" s="33"/>
      <c r="G67" s="33"/>
    </row>
    <row r="68" spans="1:7">
      <c r="A68" s="30">
        <f>Rincian!A66</f>
        <v>62</v>
      </c>
      <c r="B68" s="31" t="str">
        <f>Rincian!B66</f>
        <v>Moch. Nurhalim</v>
      </c>
      <c r="C68" s="30" t="str">
        <f>Rincian!D66</f>
        <v>0006807348100</v>
      </c>
      <c r="D68" s="32">
        <f>Rincian!L66</f>
        <v>1604583</v>
      </c>
      <c r="F68" s="33"/>
      <c r="G68" s="33"/>
    </row>
    <row r="69" spans="1:7">
      <c r="A69" s="30">
        <f>Rincian!A67</f>
        <v>63</v>
      </c>
      <c r="B69" s="31" t="str">
        <f>Rincian!B67</f>
        <v>Mochamad Anwar H.</v>
      </c>
      <c r="C69" s="30" t="str">
        <f>Rincian!D67</f>
        <v>0006904416100</v>
      </c>
      <c r="D69" s="32">
        <f>Rincian!L67</f>
        <v>3844433</v>
      </c>
      <c r="F69" s="33"/>
      <c r="G69" s="33"/>
    </row>
    <row r="70" spans="1:7">
      <c r="A70" s="30">
        <f>Rincian!A68</f>
        <v>64</v>
      </c>
      <c r="B70" s="31" t="str">
        <f>Rincian!B68</f>
        <v>Narmin</v>
      </c>
      <c r="C70" s="30" t="str">
        <f>Rincian!D68</f>
        <v>0011263364101</v>
      </c>
      <c r="D70" s="32">
        <f>Rincian!L68</f>
        <v>2750000</v>
      </c>
      <c r="F70" s="33"/>
      <c r="G70" s="33"/>
    </row>
    <row r="71" spans="1:7">
      <c r="A71" s="30">
        <f>Rincian!A69</f>
        <v>65</v>
      </c>
      <c r="B71" s="31" t="str">
        <f>Rincian!B69</f>
        <v>Neng Goniyah</v>
      </c>
      <c r="C71" s="30" t="str">
        <f>Rincian!D69</f>
        <v>0006259979100</v>
      </c>
      <c r="D71" s="32">
        <f>Rincian!L69</f>
        <v>300000</v>
      </c>
      <c r="F71" s="33"/>
      <c r="G71" s="33"/>
    </row>
    <row r="72" spans="1:7">
      <c r="A72" s="30">
        <f>Rincian!A70</f>
        <v>66</v>
      </c>
      <c r="B72" s="31" t="str">
        <f>Rincian!B70</f>
        <v>Neni Nuraeni Nurpratiwi</v>
      </c>
      <c r="C72" s="30" t="str">
        <f>Rincian!D70</f>
        <v>0004749774100</v>
      </c>
      <c r="D72" s="32">
        <f>Rincian!L70</f>
        <v>800000</v>
      </c>
      <c r="F72" s="33"/>
      <c r="G72" s="33"/>
    </row>
    <row r="73" spans="1:7">
      <c r="A73" s="30">
        <f>Rincian!A71</f>
        <v>67</v>
      </c>
      <c r="B73" s="31" t="str">
        <f>Rincian!B71</f>
        <v>Nenih Nurnaenih</v>
      </c>
      <c r="C73" s="30" t="str">
        <f>Rincian!D71</f>
        <v>0006889948100</v>
      </c>
      <c r="D73" s="32">
        <f>Rincian!L71</f>
        <v>300000</v>
      </c>
      <c r="F73" s="33"/>
      <c r="G73" s="33"/>
    </row>
    <row r="74" spans="1:7">
      <c r="A74" s="30">
        <f>Rincian!A72</f>
        <v>68</v>
      </c>
      <c r="B74" s="31" t="str">
        <f>Rincian!B72</f>
        <v>Nenti Siti Kuraesin</v>
      </c>
      <c r="C74" s="30" t="str">
        <f>Rincian!D72</f>
        <v>0067538706100</v>
      </c>
      <c r="D74" s="32">
        <f>Rincian!L72</f>
        <v>1831250</v>
      </c>
      <c r="F74" s="33"/>
      <c r="G74" s="33"/>
    </row>
    <row r="75" spans="1:7">
      <c r="A75" s="30">
        <f>Rincian!A73</f>
        <v>69</v>
      </c>
      <c r="B75" s="31" t="str">
        <f>Rincian!B73</f>
        <v>Ni Luh Nyoman Sri Puspowati</v>
      </c>
      <c r="C75" s="30" t="str">
        <f>Rincian!D73</f>
        <v>0002690551100</v>
      </c>
      <c r="D75" s="32">
        <f>Rincian!L73</f>
        <v>7650000</v>
      </c>
      <c r="F75" s="33"/>
      <c r="G75" s="33"/>
    </row>
    <row r="76" spans="1:7">
      <c r="A76" s="30">
        <f>Rincian!A74</f>
        <v>70</v>
      </c>
      <c r="B76" s="31" t="str">
        <f>Rincian!B74</f>
        <v>Nia Kania Asih</v>
      </c>
      <c r="C76" s="30" t="str">
        <f>Rincian!D74</f>
        <v>0002181355101</v>
      </c>
      <c r="D76" s="32">
        <f>Rincian!L74</f>
        <v>300000</v>
      </c>
      <c r="F76" s="33"/>
      <c r="G76" s="33"/>
    </row>
    <row r="77" spans="1:7">
      <c r="A77" s="30">
        <f>Rincian!A75</f>
        <v>71</v>
      </c>
      <c r="B77" s="31" t="str">
        <f>Rincian!B75</f>
        <v>Nine Carwati</v>
      </c>
      <c r="C77" s="30" t="str">
        <f>Rincian!D75</f>
        <v>0004011732100</v>
      </c>
      <c r="D77" s="32">
        <f>Rincian!L75</f>
        <v>3773945</v>
      </c>
      <c r="F77" s="33"/>
      <c r="G77" s="33"/>
    </row>
    <row r="78" spans="1:7">
      <c r="A78" s="30">
        <f>Rincian!A76</f>
        <v>72</v>
      </c>
      <c r="B78" s="31" t="str">
        <f>Rincian!B76</f>
        <v>Nirna Julaeha</v>
      </c>
      <c r="C78" s="30" t="str">
        <f>Rincian!D76</f>
        <v>0233200026402</v>
      </c>
      <c r="D78" s="32">
        <f>Rincian!L76</f>
        <v>1000000</v>
      </c>
      <c r="F78" s="33"/>
      <c r="G78" s="33"/>
    </row>
    <row r="79" spans="1:7">
      <c r="A79" s="30">
        <f>Rincian!A77</f>
        <v>73</v>
      </c>
      <c r="B79" s="31" t="str">
        <f>Rincian!B77</f>
        <v>Noki Irawan Saputra, dr.</v>
      </c>
      <c r="C79" s="30" t="str">
        <f>Rincian!D77</f>
        <v>0009116631101</v>
      </c>
      <c r="D79" s="32">
        <f>Rincian!L77</f>
        <v>300000</v>
      </c>
      <c r="F79" s="33"/>
      <c r="G79" s="33"/>
    </row>
    <row r="80" spans="1:7">
      <c r="A80" s="30">
        <f>Rincian!A78</f>
        <v>74</v>
      </c>
      <c r="B80" s="31" t="str">
        <f>Rincian!B78</f>
        <v>Novianti</v>
      </c>
      <c r="C80" s="30" t="str">
        <f>Rincian!D78</f>
        <v>0112268091100</v>
      </c>
      <c r="D80" s="32">
        <f>Rincian!L78</f>
        <v>300000</v>
      </c>
      <c r="F80" s="33"/>
      <c r="G80" s="33"/>
    </row>
    <row r="81" spans="1:7">
      <c r="A81" s="30">
        <f>Rincian!A79</f>
        <v>75</v>
      </c>
      <c r="B81" s="31" t="str">
        <f>Rincian!B79</f>
        <v>Nur Ahmadi</v>
      </c>
      <c r="C81" s="30" t="str">
        <f>Rincian!D79</f>
        <v>0233200036221</v>
      </c>
      <c r="D81" s="32">
        <f>Rincian!L79</f>
        <v>1824694</v>
      </c>
      <c r="F81" s="33"/>
      <c r="G81" s="33"/>
    </row>
    <row r="82" spans="1:7">
      <c r="A82" s="30">
        <f>Rincian!A80</f>
        <v>76</v>
      </c>
      <c r="B82" s="31" t="str">
        <f>Rincian!B80</f>
        <v>Raharti, dr.</v>
      </c>
      <c r="C82" s="30" t="str">
        <f>Rincian!D80</f>
        <v>0065393360101</v>
      </c>
      <c r="D82" s="32">
        <f>Rincian!L80</f>
        <v>4664968</v>
      </c>
      <c r="F82" s="33"/>
      <c r="G82" s="33"/>
    </row>
    <row r="83" spans="1:7">
      <c r="A83" s="30">
        <f>Rincian!A81</f>
        <v>77</v>
      </c>
      <c r="B83" s="31" t="str">
        <f>Rincian!B81</f>
        <v>Reni Raenifah</v>
      </c>
      <c r="C83" s="30" t="str">
        <f>Rincian!D81</f>
        <v>0006117201101</v>
      </c>
      <c r="D83" s="32">
        <f>Rincian!L81</f>
        <v>300000</v>
      </c>
      <c r="F83" s="33"/>
      <c r="G83" s="33"/>
    </row>
    <row r="84" spans="1:7">
      <c r="A84" s="30">
        <f>Rincian!A82</f>
        <v>78</v>
      </c>
      <c r="B84" s="31" t="str">
        <f>Rincian!B82</f>
        <v>Risma Widya Mulyani</v>
      </c>
      <c r="C84" s="30" t="str">
        <f>Rincian!D82</f>
        <v>0009291741100</v>
      </c>
      <c r="D84" s="32">
        <f>Rincian!L82</f>
        <v>343000</v>
      </c>
      <c r="F84" s="33"/>
      <c r="G84" s="33"/>
    </row>
    <row r="85" spans="1:7">
      <c r="A85" s="30">
        <f>Rincian!A83</f>
        <v>79</v>
      </c>
      <c r="B85" s="31" t="str">
        <f>Rincian!B83</f>
        <v>Rismayadiani, dr.</v>
      </c>
      <c r="C85" s="30" t="str">
        <f>Rincian!D83</f>
        <v>0065443597101</v>
      </c>
      <c r="D85" s="32">
        <f>Rincian!L83</f>
        <v>4594389</v>
      </c>
      <c r="F85" s="33"/>
      <c r="G85" s="33"/>
    </row>
    <row r="86" spans="1:7">
      <c r="A86" s="30">
        <f>Rincian!A84</f>
        <v>80</v>
      </c>
      <c r="B86" s="31" t="str">
        <f>Rincian!B84</f>
        <v>Rita Ningsih</v>
      </c>
      <c r="C86" s="30" t="str">
        <f>Rincian!D84</f>
        <v>0002376601100</v>
      </c>
      <c r="D86" s="32">
        <f>Rincian!L84</f>
        <v>300000</v>
      </c>
      <c r="F86" s="33"/>
      <c r="G86" s="33"/>
    </row>
    <row r="87" spans="1:7">
      <c r="A87" s="30">
        <f>Rincian!A85</f>
        <v>81</v>
      </c>
      <c r="B87" s="31" t="str">
        <f>Rincian!B85</f>
        <v>Riza Putra, dr.</v>
      </c>
      <c r="C87" s="30" t="str">
        <f>Rincian!D85</f>
        <v>0001465430100</v>
      </c>
      <c r="D87" s="32">
        <f>Rincian!L85</f>
        <v>300000</v>
      </c>
      <c r="F87" s="33"/>
      <c r="G87" s="33"/>
    </row>
    <row r="88" spans="1:7">
      <c r="A88" s="30">
        <f>Rincian!A86</f>
        <v>82</v>
      </c>
      <c r="B88" s="31" t="str">
        <f>Rincian!B86</f>
        <v>Roni Juhana</v>
      </c>
      <c r="C88" s="30" t="str">
        <f>Rincian!D86</f>
        <v>0002379953100</v>
      </c>
      <c r="D88" s="32">
        <f>Rincian!L86</f>
        <v>611500</v>
      </c>
      <c r="F88" s="33"/>
      <c r="G88" s="33"/>
    </row>
    <row r="89" spans="1:7">
      <c r="A89" s="30">
        <f>Rincian!A87</f>
        <v>83</v>
      </c>
      <c r="B89" s="31" t="str">
        <f>Rincian!B87</f>
        <v>Rukmana</v>
      </c>
      <c r="C89" s="30" t="str">
        <f>Rincian!D87</f>
        <v>0003191486100</v>
      </c>
      <c r="D89" s="32">
        <f>Rincian!L87</f>
        <v>4440625</v>
      </c>
      <c r="F89" s="33"/>
      <c r="G89" s="33"/>
    </row>
    <row r="90" spans="1:7">
      <c r="A90" s="30">
        <f>Rincian!A88</f>
        <v>84</v>
      </c>
      <c r="B90" s="31" t="str">
        <f>Rincian!B88</f>
        <v>Rulli BCA</v>
      </c>
      <c r="C90" s="30" t="str">
        <f>Rincian!D88</f>
        <v>0233100778116</v>
      </c>
      <c r="D90" s="32">
        <f>Rincian!L88</f>
        <v>1550000</v>
      </c>
      <c r="F90" s="33"/>
      <c r="G90" s="33"/>
    </row>
    <row r="91" spans="1:7">
      <c r="A91" s="30">
        <f>Rincian!A89</f>
        <v>85</v>
      </c>
      <c r="B91" s="31" t="str">
        <f>Rincian!B89</f>
        <v>Rusli Girsang</v>
      </c>
      <c r="C91" s="30" t="str">
        <f>Rincian!D89</f>
        <v>0006868428100</v>
      </c>
      <c r="D91" s="32">
        <f>Rincian!L89</f>
        <v>480500</v>
      </c>
      <c r="F91" s="33"/>
      <c r="G91" s="33"/>
    </row>
    <row r="92" spans="1:7">
      <c r="A92" s="30">
        <f>Rincian!A90</f>
        <v>86</v>
      </c>
      <c r="B92" s="31" t="str">
        <f>Rincian!B90</f>
        <v>Rusman Efendi</v>
      </c>
      <c r="C92" s="30" t="str">
        <f>Rincian!D90</f>
        <v>0006875114100</v>
      </c>
      <c r="D92" s="32">
        <f>Rincian!L90</f>
        <v>300000</v>
      </c>
      <c r="F92" s="33"/>
      <c r="G92" s="33"/>
    </row>
    <row r="93" spans="1:7">
      <c r="A93" s="30">
        <f>Rincian!A91</f>
        <v>87</v>
      </c>
      <c r="B93" s="31" t="str">
        <f>Rincian!B91</f>
        <v>Saelendra</v>
      </c>
      <c r="C93" s="30" t="str">
        <f>Rincian!D91</f>
        <v>0006869882100</v>
      </c>
      <c r="D93" s="32">
        <f>Rincian!L91</f>
        <v>1831250</v>
      </c>
      <c r="F93" s="33"/>
      <c r="G93" s="33"/>
    </row>
    <row r="94" spans="1:7">
      <c r="A94" s="30">
        <f>Rincian!A92</f>
        <v>88</v>
      </c>
      <c r="B94" s="31" t="str">
        <f>Rincian!B92</f>
        <v>Samidi</v>
      </c>
      <c r="C94" s="30" t="str">
        <f>Rincian!D92</f>
        <v>0233100068448</v>
      </c>
      <c r="D94" s="32">
        <f>Rincian!L92</f>
        <v>300000</v>
      </c>
      <c r="F94" s="33"/>
      <c r="G94" s="33"/>
    </row>
    <row r="95" spans="1:7">
      <c r="A95" s="30">
        <f>Rincian!A93</f>
        <v>89</v>
      </c>
      <c r="B95" s="31" t="str">
        <f>Rincian!B93</f>
        <v>Samsudin</v>
      </c>
      <c r="C95" s="30" t="str">
        <f>Rincian!D93</f>
        <v>0006897487100</v>
      </c>
      <c r="D95" s="32">
        <f>Rincian!L93</f>
        <v>1882350</v>
      </c>
      <c r="F95" s="33"/>
      <c r="G95" s="33"/>
    </row>
    <row r="96" spans="1:7">
      <c r="A96" s="30">
        <f>Rincian!A94</f>
        <v>90</v>
      </c>
      <c r="B96" s="31" t="str">
        <f>Rincian!B94</f>
        <v>Santi Destiani L.</v>
      </c>
      <c r="C96" s="30" t="s">
        <v>14</v>
      </c>
      <c r="D96" s="32">
        <f>Rincian!L94</f>
        <v>300000</v>
      </c>
      <c r="F96" s="33"/>
      <c r="G96" s="33"/>
    </row>
    <row r="97" spans="1:7">
      <c r="A97" s="30">
        <f>Rincian!A95</f>
        <v>91</v>
      </c>
      <c r="B97" s="31" t="str">
        <f>Rincian!B95</f>
        <v>Santi Susanti</v>
      </c>
      <c r="C97" s="30" t="str">
        <f>Rincian!D95</f>
        <v>0004942851100</v>
      </c>
      <c r="D97" s="32">
        <f>Rincian!L95</f>
        <v>3515833</v>
      </c>
      <c r="F97" s="33"/>
      <c r="G97" s="33"/>
    </row>
    <row r="98" spans="1:7">
      <c r="A98" s="30">
        <f>Rincian!A96</f>
        <v>92</v>
      </c>
      <c r="B98" s="31" t="str">
        <f>Rincian!B96</f>
        <v>Santi Yosefa, Hj.</v>
      </c>
      <c r="C98" s="30" t="str">
        <f>Rincian!D96</f>
        <v>0005212693100</v>
      </c>
      <c r="D98" s="32">
        <f>Rincian!L96</f>
        <v>300000</v>
      </c>
      <c r="F98" s="33"/>
      <c r="G98" s="33"/>
    </row>
    <row r="99" spans="1:7">
      <c r="A99" s="30">
        <f>Rincian!A97</f>
        <v>93</v>
      </c>
      <c r="B99" s="31" t="str">
        <f>Rincian!B97</f>
        <v>Siti Halimah</v>
      </c>
      <c r="C99" s="30" t="str">
        <f>Rincian!D97</f>
        <v>0233200086668</v>
      </c>
      <c r="D99" s="32">
        <f>Rincian!L97</f>
        <v>2025000</v>
      </c>
      <c r="F99" s="33"/>
      <c r="G99" s="33"/>
    </row>
    <row r="100" spans="1:7">
      <c r="A100" s="30">
        <f>Rincian!A98</f>
        <v>94</v>
      </c>
      <c r="B100" s="31" t="str">
        <f>Rincian!B98</f>
        <v>Siti Julaihah</v>
      </c>
      <c r="C100" s="30" t="str">
        <f>Rincian!D98</f>
        <v>0006895085100</v>
      </c>
      <c r="D100" s="32">
        <f>Rincian!L98</f>
        <v>2728571</v>
      </c>
      <c r="F100" s="33"/>
      <c r="G100" s="33"/>
    </row>
    <row r="101" spans="1:7">
      <c r="A101" s="30">
        <f>Rincian!A99</f>
        <v>95</v>
      </c>
      <c r="B101" s="31" t="str">
        <f>Rincian!B99</f>
        <v>Siti Nurlaela</v>
      </c>
      <c r="C101" s="30" t="str">
        <f>Rincian!D99</f>
        <v>0006865781100</v>
      </c>
      <c r="D101" s="32">
        <f>Rincian!L99</f>
        <v>10403125</v>
      </c>
      <c r="F101" s="33"/>
      <c r="G101" s="33"/>
    </row>
    <row r="102" spans="1:7">
      <c r="A102" s="30">
        <f>Rincian!A100</f>
        <v>96</v>
      </c>
      <c r="B102" s="31" t="str">
        <f>Rincian!B100</f>
        <v>Siti Patimah</v>
      </c>
      <c r="C102" s="30" t="str">
        <f>Rincian!D100</f>
        <v>0009322310100</v>
      </c>
      <c r="D102" s="32">
        <f>Rincian!L100</f>
        <v>2780136</v>
      </c>
      <c r="F102" s="33"/>
      <c r="G102" s="33"/>
    </row>
    <row r="103" spans="1:7">
      <c r="A103" s="30">
        <f>Rincian!A101</f>
        <v>97</v>
      </c>
      <c r="B103" s="31" t="str">
        <f>Rincian!B101</f>
        <v>Siti Romlah</v>
      </c>
      <c r="C103" s="30" t="str">
        <f>Rincian!D101</f>
        <v>0003228835100</v>
      </c>
      <c r="D103" s="32">
        <f>Rincian!L101</f>
        <v>423000</v>
      </c>
      <c r="F103" s="33"/>
      <c r="G103" s="33"/>
    </row>
    <row r="104" spans="1:7">
      <c r="A104" s="30">
        <f>Rincian!A102</f>
        <v>98</v>
      </c>
      <c r="B104" s="31" t="str">
        <f>Rincian!B102</f>
        <v>Siti Sumiati</v>
      </c>
      <c r="C104" s="30" t="str">
        <f>Rincian!D102</f>
        <v>0006903673100</v>
      </c>
      <c r="D104" s="32">
        <f>Rincian!L102</f>
        <v>300000</v>
      </c>
      <c r="F104" s="33"/>
      <c r="G104" s="33"/>
    </row>
    <row r="105" spans="1:7">
      <c r="A105" s="30">
        <f>Rincian!A103</f>
        <v>99</v>
      </c>
      <c r="B105" s="31" t="str">
        <f>Rincian!B103</f>
        <v>Sri Lestari</v>
      </c>
      <c r="C105" s="30" t="str">
        <f>Rincian!D103</f>
        <v>0006924395100</v>
      </c>
      <c r="D105" s="32">
        <f>Rincian!L103</f>
        <v>893500</v>
      </c>
      <c r="F105" s="33"/>
      <c r="G105" s="33"/>
    </row>
    <row r="106" spans="1:7">
      <c r="A106" s="30">
        <f>Rincian!A104</f>
        <v>100</v>
      </c>
      <c r="B106" s="31" t="str">
        <f>Rincian!B104</f>
        <v>Sri Miranti Rahayu</v>
      </c>
      <c r="C106" s="30" t="str">
        <f>Rincian!D104</f>
        <v>0004977831100</v>
      </c>
      <c r="D106" s="32">
        <f>Rincian!L104</f>
        <v>1760100</v>
      </c>
      <c r="F106" s="33"/>
      <c r="G106" s="33"/>
    </row>
    <row r="107" spans="1:7">
      <c r="A107" s="30">
        <f>Rincian!A105</f>
        <v>101</v>
      </c>
      <c r="B107" s="31" t="str">
        <f>Rincian!B105</f>
        <v>Sri Nurhayati</v>
      </c>
      <c r="C107" s="30" t="str">
        <f>Rincian!D105</f>
        <v>0006865194100</v>
      </c>
      <c r="D107" s="32">
        <f>Rincian!L105</f>
        <v>2021422</v>
      </c>
      <c r="F107" s="33"/>
      <c r="G107" s="33"/>
    </row>
    <row r="108" spans="1:7">
      <c r="A108" s="30">
        <f>Rincian!A106</f>
        <v>102</v>
      </c>
      <c r="B108" s="31" t="str">
        <f>Rincian!B106</f>
        <v>Sri Rahayu</v>
      </c>
      <c r="C108" s="30" t="str">
        <f>Rincian!D106</f>
        <v>0002408961100</v>
      </c>
      <c r="D108" s="32">
        <f>Rincian!L106</f>
        <v>741000</v>
      </c>
      <c r="F108" s="33"/>
      <c r="G108" s="33"/>
    </row>
    <row r="109" spans="1:7">
      <c r="A109" s="30">
        <f>Rincian!A107</f>
        <v>103</v>
      </c>
      <c r="B109" s="31" t="str">
        <f>Rincian!B107</f>
        <v>Sri Yani</v>
      </c>
      <c r="C109" s="30" t="str">
        <f>Rincian!D107</f>
        <v>0002408971100</v>
      </c>
      <c r="D109" s="32">
        <f>Rincian!L107</f>
        <v>1280000</v>
      </c>
      <c r="F109" s="33"/>
      <c r="G109" s="33"/>
    </row>
    <row r="110" spans="1:7">
      <c r="A110" s="30">
        <f>Rincian!A108</f>
        <v>104</v>
      </c>
      <c r="B110" s="31" t="str">
        <f>Rincian!B108</f>
        <v>SItI Neni Nuraeni</v>
      </c>
      <c r="C110" s="30" t="str">
        <f>Rincian!D108</f>
        <v>0013200169092</v>
      </c>
      <c r="D110" s="32">
        <f>Rincian!L108</f>
        <v>7893500</v>
      </c>
      <c r="F110" s="33"/>
      <c r="G110" s="33"/>
    </row>
    <row r="111" spans="1:7">
      <c r="A111" s="30">
        <f>Rincian!A109</f>
        <v>105</v>
      </c>
      <c r="B111" s="31" t="str">
        <f>Rincian!B109</f>
        <v>Sugianto</v>
      </c>
      <c r="C111" s="30" t="str">
        <f>Rincian!D109</f>
        <v>0002181665101</v>
      </c>
      <c r="D111" s="32">
        <f>Rincian!L109</f>
        <v>300000</v>
      </c>
      <c r="F111" s="33"/>
      <c r="G111" s="33"/>
    </row>
    <row r="112" spans="1:7">
      <c r="A112" s="30">
        <f>Rincian!A110</f>
        <v>106</v>
      </c>
      <c r="B112" s="31" t="str">
        <f>Rincian!B110</f>
        <v>Suhara</v>
      </c>
      <c r="C112" s="30" t="str">
        <f>Rincian!D110</f>
        <v>0233100002994</v>
      </c>
      <c r="D112" s="32">
        <f>Rincian!L110</f>
        <v>4067631</v>
      </c>
      <c r="F112" s="33"/>
      <c r="G112" s="33"/>
    </row>
    <row r="113" spans="1:7">
      <c r="A113" s="30">
        <f>Rincian!A111</f>
        <v>107</v>
      </c>
      <c r="B113" s="31" t="str">
        <f>Rincian!B111</f>
        <v>Sukawati</v>
      </c>
      <c r="C113" s="30" t="str">
        <f>Rincian!D111</f>
        <v>0003359670100</v>
      </c>
      <c r="D113" s="32">
        <f>Rincian!L111</f>
        <v>357500</v>
      </c>
      <c r="F113" s="33"/>
      <c r="G113" s="33"/>
    </row>
    <row r="114" spans="1:7">
      <c r="A114" s="30">
        <f>Rincian!A112</f>
        <v>108</v>
      </c>
      <c r="B114" s="31" t="str">
        <f>Rincian!B112</f>
        <v>Supenti</v>
      </c>
      <c r="C114" s="30" t="str">
        <f>Rincian!D112</f>
        <v>0006924336100</v>
      </c>
      <c r="D114" s="32">
        <f>Rincian!L112</f>
        <v>5300000</v>
      </c>
      <c r="F114" s="33"/>
      <c r="G114" s="33"/>
    </row>
    <row r="115" spans="1:7">
      <c r="A115" s="30">
        <f>Rincian!A113</f>
        <v>109</v>
      </c>
      <c r="B115" s="31" t="str">
        <f>Rincian!B113</f>
        <v>Tatang Supriatna</v>
      </c>
      <c r="C115" s="30" t="str">
        <f>Rincian!D113</f>
        <v>0006904068100</v>
      </c>
      <c r="D115" s="32">
        <f>Rincian!L113</f>
        <v>1279250</v>
      </c>
      <c r="E115" s="34"/>
      <c r="F115" s="33"/>
      <c r="G115" s="33"/>
    </row>
    <row r="116" spans="1:7">
      <c r="A116" s="30">
        <f>Rincian!A114</f>
        <v>110</v>
      </c>
      <c r="B116" s="31" t="str">
        <f>Rincian!B114</f>
        <v>Tuti Hartati</v>
      </c>
      <c r="C116" s="30" t="str">
        <f>Rincian!D114</f>
        <v>0233200018865</v>
      </c>
      <c r="D116" s="32">
        <f>Rincian!L114</f>
        <v>4272625</v>
      </c>
      <c r="F116" s="33"/>
      <c r="G116" s="33"/>
    </row>
    <row r="117" spans="1:7">
      <c r="A117" s="30">
        <f>Rincian!A115</f>
        <v>111</v>
      </c>
      <c r="B117" s="31" t="str">
        <f>Rincian!B115</f>
        <v>Usep Waryan</v>
      </c>
      <c r="C117" s="30" t="str">
        <f>Rincian!D115</f>
        <v>0006875580100</v>
      </c>
      <c r="D117" s="32">
        <f>Rincian!L115</f>
        <v>1872594</v>
      </c>
      <c r="F117" s="33"/>
      <c r="G117" s="33"/>
    </row>
    <row r="118" spans="1:7">
      <c r="A118" s="30">
        <f>Rincian!A116</f>
        <v>112</v>
      </c>
      <c r="B118" s="31" t="str">
        <f>Rincian!B116</f>
        <v>Wiwik Wahyuningsih</v>
      </c>
      <c r="C118" s="30" t="str">
        <f>Rincian!D116</f>
        <v>0006905803100</v>
      </c>
      <c r="D118" s="32">
        <f>Rincian!L116</f>
        <v>300000</v>
      </c>
      <c r="F118" s="33"/>
      <c r="G118" s="33"/>
    </row>
    <row r="119" spans="1:7">
      <c r="A119" s="30">
        <f>Rincian!A117</f>
        <v>113</v>
      </c>
      <c r="B119" s="31" t="str">
        <f>Rincian!B117</f>
        <v>Wulan Aprilia</v>
      </c>
      <c r="C119" s="30" t="s">
        <v>15</v>
      </c>
      <c r="D119" s="32">
        <f>Rincian!L117</f>
        <v>3300000</v>
      </c>
    </row>
    <row r="120" spans="1:7">
      <c r="A120" s="30">
        <f>Rincian!A118</f>
        <v>114</v>
      </c>
      <c r="B120" s="31" t="str">
        <f>Rincian!B118</f>
        <v>Yani Sumarni</v>
      </c>
      <c r="C120" s="30" t="str">
        <f>Rincian!D118</f>
        <v>0003929205100</v>
      </c>
      <c r="D120" s="32">
        <f>Rincian!L118</f>
        <v>4124250</v>
      </c>
    </row>
    <row r="121" spans="1:7">
      <c r="A121" s="30">
        <f>Rincian!A119</f>
        <v>115</v>
      </c>
      <c r="B121" s="31" t="str">
        <f>Rincian!B119</f>
        <v>Yaya Risbaya</v>
      </c>
      <c r="C121" s="30" t="s">
        <v>16</v>
      </c>
      <c r="D121" s="32">
        <f>Rincian!L119</f>
        <v>800000</v>
      </c>
      <c r="F121" s="33"/>
      <c r="G121" s="33"/>
    </row>
    <row r="122" spans="1:7">
      <c r="A122" s="30">
        <f>Rincian!A120</f>
        <v>116</v>
      </c>
      <c r="B122" s="31" t="str">
        <f>Rincian!B120</f>
        <v>Yayah Kursiah</v>
      </c>
      <c r="C122" s="30" t="str">
        <f>Rincian!D120</f>
        <v>0006870562100</v>
      </c>
      <c r="D122" s="32">
        <f>Rincian!L120</f>
        <v>300000</v>
      </c>
      <c r="F122" s="33"/>
      <c r="G122" s="33"/>
    </row>
    <row r="123" spans="1:7">
      <c r="A123" s="30">
        <f>Rincian!A121</f>
        <v>117</v>
      </c>
      <c r="B123" s="31" t="str">
        <f>Rincian!B121</f>
        <v>Yayat Hendrayatna</v>
      </c>
      <c r="C123" s="30" t="str">
        <f>Rincian!D121</f>
        <v>0233200036236</v>
      </c>
      <c r="D123" s="32">
        <f>Rincian!L121</f>
        <v>2616016</v>
      </c>
      <c r="F123" s="33"/>
      <c r="G123" s="33"/>
    </row>
    <row r="124" spans="1:7">
      <c r="A124" s="30">
        <f>Rincian!A122</f>
        <v>118</v>
      </c>
      <c r="B124" s="31" t="str">
        <f>Rincian!B122</f>
        <v>Yeni Susanti</v>
      </c>
      <c r="C124" s="30" t="s">
        <v>17</v>
      </c>
      <c r="D124" s="32">
        <f>Rincian!L122</f>
        <v>300000</v>
      </c>
      <c r="F124" s="33"/>
      <c r="G124" s="33"/>
    </row>
    <row r="125" spans="1:7">
      <c r="A125" s="30">
        <f>Rincian!A123</f>
        <v>119</v>
      </c>
      <c r="B125" s="31" t="str">
        <f>Rincian!B123</f>
        <v>Yeye</v>
      </c>
      <c r="C125" s="30" t="str">
        <f>Rincian!D123</f>
        <v>0233200018677</v>
      </c>
      <c r="D125" s="32">
        <f>Rincian!L123</f>
        <v>300000</v>
      </c>
      <c r="F125" s="33"/>
      <c r="G125" s="33"/>
    </row>
    <row r="126" spans="1:7">
      <c r="A126" s="30">
        <f>Rincian!A124</f>
        <v>120</v>
      </c>
      <c r="B126" s="31" t="str">
        <f>Rincian!B124</f>
        <v>Yodie</v>
      </c>
      <c r="C126" s="30" t="s">
        <v>18</v>
      </c>
      <c r="D126" s="32">
        <f>Rincian!L124</f>
        <v>606250</v>
      </c>
      <c r="F126" s="33"/>
      <c r="G126" s="33"/>
    </row>
    <row r="127" spans="1:7">
      <c r="A127" s="30">
        <f>Rincian!A125</f>
        <v>121</v>
      </c>
      <c r="B127" s="31" t="str">
        <f>Rincian!B125</f>
        <v>Yulita Yudhistrita</v>
      </c>
      <c r="C127" s="30" t="s">
        <v>19</v>
      </c>
      <c r="D127" s="32">
        <f>Rincian!L125</f>
        <v>300000</v>
      </c>
      <c r="F127" s="33"/>
      <c r="G127" s="33"/>
    </row>
    <row r="128" spans="1:7">
      <c r="A128" s="30">
        <f>Rincian!A126</f>
        <v>122</v>
      </c>
      <c r="B128" s="31" t="str">
        <f>Rincian!B126</f>
        <v>Yuni Sofyan</v>
      </c>
      <c r="C128" s="30" t="s">
        <v>20</v>
      </c>
      <c r="D128" s="32">
        <f>Rincian!L126</f>
        <v>2202730</v>
      </c>
      <c r="F128" s="33"/>
      <c r="G128" s="33"/>
    </row>
    <row r="129" spans="1:8">
      <c r="A129" s="30">
        <f>Rincian!A127</f>
        <v>123</v>
      </c>
      <c r="B129" s="31" t="str">
        <f>Rincian!B127</f>
        <v>Yunyun yunia</v>
      </c>
      <c r="C129" s="30" t="str">
        <f>Rincian!D127</f>
        <v>0081452253100</v>
      </c>
      <c r="D129" s="32">
        <f>Rincian!L127</f>
        <v>4893750</v>
      </c>
      <c r="F129" s="33"/>
      <c r="G129" s="33"/>
    </row>
    <row r="130" spans="1:8">
      <c r="A130" s="30">
        <f>Rincian!A128</f>
        <v>124</v>
      </c>
      <c r="B130" s="31" t="str">
        <f>Rincian!B128</f>
        <v>Yusi Yustiah</v>
      </c>
      <c r="C130" s="30" t="s">
        <v>21</v>
      </c>
      <c r="D130" s="32">
        <f>Rincian!L128</f>
        <v>300000</v>
      </c>
      <c r="F130" s="33"/>
      <c r="G130" s="33"/>
    </row>
    <row r="131" spans="1:8">
      <c r="A131" s="30">
        <f>Rincian!A129</f>
        <v>125</v>
      </c>
      <c r="B131" s="31" t="str">
        <f>Rincian!B129</f>
        <v>Yuyum Rohmulyanawati</v>
      </c>
      <c r="C131" s="30" t="str">
        <f>Rincian!D129</f>
        <v>0006778011100</v>
      </c>
      <c r="D131" s="32">
        <f>Rincian!L129</f>
        <v>300000</v>
      </c>
      <c r="F131" s="33"/>
      <c r="G131" s="33"/>
    </row>
    <row r="132" spans="1:8">
      <c r="A132" s="30">
        <f>Rincian!A130</f>
        <v>126</v>
      </c>
      <c r="B132" s="31" t="str">
        <f>Rincian!B130</f>
        <v>Yuyun Yunara</v>
      </c>
      <c r="C132" s="30" t="str">
        <f>Rincian!D130</f>
        <v>0004114752100</v>
      </c>
      <c r="D132" s="32">
        <f>Rincian!L130</f>
        <v>2561146</v>
      </c>
      <c r="F132" s="33"/>
      <c r="G132" s="33"/>
    </row>
    <row r="133" spans="1:8">
      <c r="A133" s="30">
        <f>Rincian!A131</f>
        <v>127</v>
      </c>
      <c r="B133" s="31" t="str">
        <f>Rincian!B131</f>
        <v>Zaenurohman</v>
      </c>
      <c r="C133" s="30" t="str">
        <f>Rincian!D131</f>
        <v>0233100121597</v>
      </c>
      <c r="D133" s="32">
        <f>Rincian!L131</f>
        <v>300000</v>
      </c>
      <c r="F133" s="33"/>
      <c r="G133" s="33"/>
    </row>
    <row r="134" spans="1:8">
      <c r="A134" s="30">
        <f>Rincian!A132</f>
        <v>128</v>
      </c>
      <c r="B134" s="31" t="str">
        <f>Rincian!B132</f>
        <v>Zesty Virgiandita</v>
      </c>
      <c r="C134" s="30" t="str">
        <f>Rincian!D132</f>
        <v>0059766791100</v>
      </c>
      <c r="D134" s="32">
        <f>Rincian!L132</f>
        <v>1683471</v>
      </c>
      <c r="F134" s="33"/>
      <c r="G134" s="33"/>
    </row>
    <row r="135" spans="1:8" ht="8.25" customHeight="1">
      <c r="A135" s="30"/>
      <c r="B135" s="31"/>
      <c r="C135" s="30"/>
      <c r="D135" s="32"/>
      <c r="F135" s="33"/>
      <c r="G135" s="33"/>
    </row>
    <row r="136" spans="1:8">
      <c r="A136" s="30">
        <v>129</v>
      </c>
      <c r="B136" s="35" t="str">
        <f>Rincian!B134</f>
        <v>Bhinekasari B, dr.</v>
      </c>
      <c r="C136" s="30" t="str">
        <f>Rincian!D134</f>
        <v>0057361107100</v>
      </c>
      <c r="D136" s="32">
        <f>Rincian!L134</f>
        <v>300000</v>
      </c>
      <c r="F136" s="33"/>
      <c r="G136" s="33"/>
    </row>
    <row r="137" spans="1:8">
      <c r="A137" s="30">
        <v>130</v>
      </c>
      <c r="B137" s="35" t="str">
        <f>Rincian!B135</f>
        <v>Taufiq Nashrulloh</v>
      </c>
      <c r="C137" s="50" t="str">
        <f>Rincian!D135</f>
        <v>0065381400100</v>
      </c>
      <c r="D137" s="32">
        <f>Rincian!L135</f>
        <v>400000</v>
      </c>
      <c r="F137" s="33"/>
      <c r="G137" s="33"/>
    </row>
    <row r="138" spans="1:8">
      <c r="A138" s="36"/>
      <c r="B138" s="36"/>
      <c r="C138" s="36"/>
      <c r="D138" s="32"/>
    </row>
    <row r="139" spans="1:8">
      <c r="A139" s="57" t="s">
        <v>22</v>
      </c>
      <c r="B139" s="58"/>
      <c r="C139" s="59"/>
      <c r="D139" s="53">
        <f>SUM(D7:D137)</f>
        <v>281348858</v>
      </c>
      <c r="F139" s="33"/>
      <c r="G139" s="33"/>
      <c r="H139" s="34"/>
    </row>
    <row r="140" spans="1:8">
      <c r="D140" s="37"/>
      <c r="E140" s="34"/>
      <c r="F140" s="34"/>
    </row>
    <row r="141" spans="1:8">
      <c r="C141" s="60" t="s">
        <v>288</v>
      </c>
      <c r="D141" s="61"/>
    </row>
    <row r="142" spans="1:8">
      <c r="B142" s="38" t="s">
        <v>23</v>
      </c>
      <c r="D142" s="39" t="s">
        <v>24</v>
      </c>
    </row>
    <row r="143" spans="1:8">
      <c r="B143" s="38"/>
      <c r="D143" s="39"/>
    </row>
    <row r="144" spans="1:8">
      <c r="B144" s="38"/>
      <c r="D144" s="39"/>
    </row>
    <row r="145" spans="2:4">
      <c r="B145" s="38"/>
      <c r="D145" s="40"/>
    </row>
    <row r="146" spans="2:4">
      <c r="B146" s="52" t="s">
        <v>174</v>
      </c>
      <c r="D146" s="48" t="s">
        <v>201</v>
      </c>
    </row>
    <row r="147" spans="2:4">
      <c r="C147" s="38"/>
      <c r="D147" s="40"/>
    </row>
  </sheetData>
  <sortState xmlns:xlrd2="http://schemas.microsoft.com/office/spreadsheetml/2017/richdata2" ref="A7:D137">
    <sortCondition ref="A7:A137"/>
  </sortState>
  <mergeCells count="9">
    <mergeCell ref="A1:D1"/>
    <mergeCell ref="A2:D2"/>
    <mergeCell ref="A3:D3"/>
    <mergeCell ref="A139:C139"/>
    <mergeCell ref="C141:D141"/>
    <mergeCell ref="A4:A5"/>
    <mergeCell ref="B4:B5"/>
    <mergeCell ref="C4:C5"/>
    <mergeCell ref="D4:D5"/>
  </mergeCells>
  <pageMargins left="1.36" right="0.35433070866141703" top="0.18" bottom="0.31496062992126" header="0.31496062992126" footer="0.31496062992126"/>
  <pageSetup paperSize="9" scale="75" orientation="portrait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5"/>
  <sheetViews>
    <sheetView tabSelected="1" topLeftCell="A19" zoomScale="130" zoomScaleNormal="130" workbookViewId="0">
      <selection activeCell="A30" sqref="A30"/>
    </sheetView>
  </sheetViews>
  <sheetFormatPr defaultColWidth="9.140625" defaultRowHeight="15"/>
  <cols>
    <col min="1" max="1" width="6.28515625" style="1" customWidth="1"/>
    <col min="2" max="2" width="28.85546875" style="1" customWidth="1"/>
    <col min="3" max="3" width="12.7109375" style="1" customWidth="1"/>
    <col min="4" max="4" width="15.5703125" style="1" customWidth="1"/>
    <col min="5" max="5" width="11.42578125" style="1" customWidth="1"/>
    <col min="6" max="7" width="11.7109375" style="1" customWidth="1"/>
    <col min="8" max="8" width="12.7109375" style="1" customWidth="1"/>
    <col min="9" max="9" width="11.7109375" style="1" customWidth="1"/>
    <col min="10" max="10" width="16.140625" style="1" customWidth="1"/>
    <col min="11" max="11" width="12.7109375" style="1" customWidth="1"/>
    <col min="12" max="12" width="12.5703125" style="1" customWidth="1"/>
    <col min="13" max="16384" width="9.140625" style="1"/>
  </cols>
  <sheetData>
    <row r="1" spans="1:12" ht="21">
      <c r="A1" s="45" t="s">
        <v>289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1">
      <c r="A2" s="3" t="str">
        <f>'Pot Feb 2022'!A3</f>
        <v>Bulan Februari 2022</v>
      </c>
      <c r="B2" s="4"/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/>
      <c r="K2" s="4">
        <v>10</v>
      </c>
      <c r="L2" s="4">
        <v>11</v>
      </c>
    </row>
    <row r="3" spans="1:12">
      <c r="A3" s="73" t="s">
        <v>25</v>
      </c>
      <c r="B3" s="73" t="s">
        <v>26</v>
      </c>
      <c r="C3" s="74" t="s">
        <v>27</v>
      </c>
      <c r="D3" s="74" t="s">
        <v>2</v>
      </c>
      <c r="E3" s="67" t="s">
        <v>28</v>
      </c>
      <c r="F3" s="68"/>
      <c r="G3" s="68"/>
      <c r="H3" s="68"/>
      <c r="I3" s="68"/>
      <c r="J3" s="68"/>
      <c r="K3" s="68"/>
      <c r="L3" s="69"/>
    </row>
    <row r="4" spans="1:12">
      <c r="A4" s="73"/>
      <c r="B4" s="73"/>
      <c r="C4" s="74"/>
      <c r="D4" s="74"/>
      <c r="E4" s="5" t="s">
        <v>29</v>
      </c>
      <c r="F4" s="5" t="s">
        <v>30</v>
      </c>
      <c r="G4" s="5" t="s">
        <v>31</v>
      </c>
      <c r="H4" s="6" t="s">
        <v>32</v>
      </c>
      <c r="I4" s="6" t="s">
        <v>33</v>
      </c>
      <c r="J4" s="12" t="s">
        <v>34</v>
      </c>
      <c r="K4" s="12" t="s">
        <v>35</v>
      </c>
      <c r="L4" s="13" t="s">
        <v>3</v>
      </c>
    </row>
    <row r="5" spans="1:12">
      <c r="A5" s="7">
        <v>1</v>
      </c>
      <c r="B5" s="8" t="s">
        <v>36</v>
      </c>
      <c r="C5" s="49" t="s">
        <v>294</v>
      </c>
      <c r="D5" s="7" t="s">
        <v>37</v>
      </c>
      <c r="E5" s="7"/>
      <c r="F5" s="9">
        <v>300000</v>
      </c>
      <c r="G5" s="10">
        <v>1000000</v>
      </c>
      <c r="H5" s="11">
        <f>1250000+2130934</f>
        <v>3380934</v>
      </c>
      <c r="I5" s="11">
        <f>281250+362259</f>
        <v>643509</v>
      </c>
      <c r="J5" s="11"/>
      <c r="K5" s="11">
        <f>304500+265000+379000+376000+66500</f>
        <v>1391000</v>
      </c>
      <c r="L5" s="14">
        <f t="shared" ref="L5:L36" si="0">SUM(E5:K5)</f>
        <v>6715443</v>
      </c>
    </row>
    <row r="6" spans="1:12">
      <c r="A6" s="7">
        <v>2</v>
      </c>
      <c r="B6" s="8" t="s">
        <v>38</v>
      </c>
      <c r="C6" s="49" t="s">
        <v>295</v>
      </c>
      <c r="D6" s="7" t="s">
        <v>39</v>
      </c>
      <c r="E6" s="7"/>
      <c r="F6" s="9">
        <v>300000</v>
      </c>
      <c r="G6" s="10">
        <v>0</v>
      </c>
      <c r="H6" s="11">
        <f>2130934+2291667</f>
        <v>4422601</v>
      </c>
      <c r="I6" s="11">
        <f>362259+515625</f>
        <v>877884</v>
      </c>
      <c r="J6" s="11"/>
      <c r="K6" s="11">
        <f>259800</f>
        <v>259800</v>
      </c>
      <c r="L6" s="14">
        <f t="shared" si="0"/>
        <v>5860285</v>
      </c>
    </row>
    <row r="7" spans="1:12">
      <c r="A7" s="7">
        <v>3</v>
      </c>
      <c r="B7" s="8" t="s">
        <v>40</v>
      </c>
      <c r="C7" s="49" t="s">
        <v>296</v>
      </c>
      <c r="D7" s="7" t="s">
        <v>41</v>
      </c>
      <c r="E7" s="7"/>
      <c r="F7" s="9">
        <v>300000</v>
      </c>
      <c r="G7" s="10">
        <v>0</v>
      </c>
      <c r="H7" s="11"/>
      <c r="I7" s="11"/>
      <c r="J7" s="11"/>
      <c r="K7" s="11"/>
      <c r="L7" s="14">
        <f t="shared" si="0"/>
        <v>300000</v>
      </c>
    </row>
    <row r="8" spans="1:12">
      <c r="A8" s="15">
        <v>4</v>
      </c>
      <c r="B8" s="8" t="s">
        <v>274</v>
      </c>
      <c r="C8" s="49" t="s">
        <v>297</v>
      </c>
      <c r="D8" s="7" t="s">
        <v>275</v>
      </c>
      <c r="E8" s="10"/>
      <c r="F8" s="9">
        <v>300000</v>
      </c>
      <c r="G8" s="10">
        <v>700000</v>
      </c>
      <c r="H8" s="11"/>
      <c r="I8" s="11"/>
      <c r="J8" s="11"/>
      <c r="K8" s="11"/>
      <c r="L8" s="14">
        <f t="shared" si="0"/>
        <v>1000000</v>
      </c>
    </row>
    <row r="9" spans="1:12">
      <c r="A9" s="7">
        <v>5</v>
      </c>
      <c r="B9" s="8" t="s">
        <v>42</v>
      </c>
      <c r="C9" s="49" t="s">
        <v>298</v>
      </c>
      <c r="D9" s="7" t="s">
        <v>43</v>
      </c>
      <c r="E9" s="7"/>
      <c r="F9" s="9">
        <v>300000</v>
      </c>
      <c r="G9" s="44">
        <v>5000000</v>
      </c>
      <c r="H9" s="11"/>
      <c r="I9" s="11"/>
      <c r="J9" s="11"/>
      <c r="K9" s="11"/>
      <c r="L9" s="14">
        <f t="shared" si="0"/>
        <v>5300000</v>
      </c>
    </row>
    <row r="10" spans="1:12">
      <c r="A10" s="7">
        <v>6</v>
      </c>
      <c r="B10" s="8" t="s">
        <v>44</v>
      </c>
      <c r="C10" s="49" t="s">
        <v>299</v>
      </c>
      <c r="D10" s="7" t="s">
        <v>45</v>
      </c>
      <c r="E10" s="7"/>
      <c r="F10" s="9">
        <v>300000</v>
      </c>
      <c r="G10" s="10">
        <v>0</v>
      </c>
      <c r="H10" s="11">
        <f>2500000+1430208</f>
        <v>3930208</v>
      </c>
      <c r="I10" s="11">
        <f>562500+321797</f>
        <v>884297</v>
      </c>
      <c r="J10" s="11">
        <v>62500</v>
      </c>
      <c r="K10" s="11">
        <f>96000</f>
        <v>96000</v>
      </c>
      <c r="L10" s="14">
        <f t="shared" si="0"/>
        <v>5273005</v>
      </c>
    </row>
    <row r="11" spans="1:12">
      <c r="A11" s="7">
        <v>7</v>
      </c>
      <c r="B11" s="8" t="s">
        <v>46</v>
      </c>
      <c r="C11" s="49" t="s">
        <v>300</v>
      </c>
      <c r="D11" s="7" t="s">
        <v>47</v>
      </c>
      <c r="E11" s="7"/>
      <c r="F11" s="9">
        <v>300000</v>
      </c>
      <c r="G11" s="10">
        <v>0</v>
      </c>
      <c r="H11" s="11">
        <f>655417+480000+500000+2156640</f>
        <v>3792057</v>
      </c>
      <c r="I11" s="11">
        <f>147469+108000+323496</f>
        <v>578965</v>
      </c>
      <c r="J11" s="11"/>
      <c r="K11" s="11">
        <f>74500</f>
        <v>74500</v>
      </c>
      <c r="L11" s="14">
        <f t="shared" si="0"/>
        <v>4745522</v>
      </c>
    </row>
    <row r="12" spans="1:12">
      <c r="A12" s="7">
        <v>8</v>
      </c>
      <c r="B12" s="8" t="s">
        <v>48</v>
      </c>
      <c r="C12" s="49" t="s">
        <v>301</v>
      </c>
      <c r="D12" s="7" t="s">
        <v>49</v>
      </c>
      <c r="E12" s="7"/>
      <c r="F12" s="9">
        <v>300000</v>
      </c>
      <c r="G12" s="10">
        <v>1000000</v>
      </c>
      <c r="H12" s="11">
        <f>2156640+1136667+2000000</f>
        <v>5293307</v>
      </c>
      <c r="I12" s="11">
        <f>323496+255750+450000</f>
        <v>1029246</v>
      </c>
      <c r="J12" s="11"/>
      <c r="K12" s="11">
        <f>582500+45500</f>
        <v>628000</v>
      </c>
      <c r="L12" s="14">
        <f t="shared" si="0"/>
        <v>8250553</v>
      </c>
    </row>
    <row r="13" spans="1:12">
      <c r="A13" s="15">
        <v>9</v>
      </c>
      <c r="B13" s="8" t="s">
        <v>50</v>
      </c>
      <c r="C13" s="49" t="s">
        <v>302</v>
      </c>
      <c r="D13" s="7" t="s">
        <v>51</v>
      </c>
      <c r="E13" s="7"/>
      <c r="F13" s="9">
        <v>300000</v>
      </c>
      <c r="G13" s="10">
        <v>0</v>
      </c>
      <c r="H13" s="11">
        <f>2649494+1245833+1000000</f>
        <v>4895327</v>
      </c>
      <c r="I13" s="11">
        <f>596136+280313+225000</f>
        <v>1101449</v>
      </c>
      <c r="J13" s="11"/>
      <c r="K13" s="11">
        <f>44500+63000+70000+6000</f>
        <v>183500</v>
      </c>
      <c r="L13" s="14">
        <f t="shared" si="0"/>
        <v>6480276</v>
      </c>
    </row>
    <row r="14" spans="1:12">
      <c r="A14" s="7">
        <v>10</v>
      </c>
      <c r="B14" s="46" t="s">
        <v>280</v>
      </c>
      <c r="C14" s="49" t="s">
        <v>303</v>
      </c>
      <c r="D14" s="7" t="s">
        <v>281</v>
      </c>
      <c r="E14" s="7"/>
      <c r="F14" s="9">
        <v>300000</v>
      </c>
      <c r="G14" s="10">
        <v>0</v>
      </c>
      <c r="H14" s="11">
        <v>900000</v>
      </c>
      <c r="I14" s="11">
        <v>202500</v>
      </c>
      <c r="J14" s="11"/>
      <c r="K14" s="11"/>
      <c r="L14" s="14">
        <f t="shared" si="0"/>
        <v>1402500</v>
      </c>
    </row>
    <row r="15" spans="1:12">
      <c r="A15" s="7">
        <v>11</v>
      </c>
      <c r="B15" s="8" t="s">
        <v>52</v>
      </c>
      <c r="C15" s="49" t="s">
        <v>304</v>
      </c>
      <c r="D15" s="7" t="s">
        <v>53</v>
      </c>
      <c r="E15" s="7"/>
      <c r="F15" s="9">
        <v>300000</v>
      </c>
      <c r="G15" s="10">
        <v>0</v>
      </c>
      <c r="H15" s="11"/>
      <c r="I15" s="11"/>
      <c r="J15" s="11"/>
      <c r="K15" s="11"/>
      <c r="L15" s="14">
        <f t="shared" si="0"/>
        <v>300000</v>
      </c>
    </row>
    <row r="16" spans="1:12">
      <c r="A16" s="7">
        <v>12</v>
      </c>
      <c r="B16" s="8" t="s">
        <v>54</v>
      </c>
      <c r="C16" s="49" t="s">
        <v>305</v>
      </c>
      <c r="D16" s="7" t="s">
        <v>55</v>
      </c>
      <c r="E16" s="7"/>
      <c r="F16" s="9">
        <v>300000</v>
      </c>
      <c r="G16" s="10">
        <v>0</v>
      </c>
      <c r="H16" s="11"/>
      <c r="I16" s="11"/>
      <c r="J16" s="11"/>
      <c r="K16" s="11">
        <v>190000</v>
      </c>
      <c r="L16" s="14">
        <f t="shared" si="0"/>
        <v>490000</v>
      </c>
    </row>
    <row r="17" spans="1:12">
      <c r="A17" s="7">
        <v>13</v>
      </c>
      <c r="B17" s="46" t="s">
        <v>56</v>
      </c>
      <c r="C17" s="49" t="s">
        <v>306</v>
      </c>
      <c r="D17" s="7" t="s">
        <v>57</v>
      </c>
      <c r="E17" s="7"/>
      <c r="F17" s="9">
        <v>300000</v>
      </c>
      <c r="G17" s="10">
        <v>500000</v>
      </c>
      <c r="H17" s="11"/>
      <c r="I17" s="11"/>
      <c r="J17" s="11"/>
      <c r="K17" s="11">
        <f>60500+202250+6000</f>
        <v>268750</v>
      </c>
      <c r="L17" s="14">
        <f t="shared" si="0"/>
        <v>1068750</v>
      </c>
    </row>
    <row r="18" spans="1:12">
      <c r="A18" s="15">
        <v>14</v>
      </c>
      <c r="B18" s="8" t="s">
        <v>58</v>
      </c>
      <c r="C18" s="49" t="s">
        <v>307</v>
      </c>
      <c r="D18" s="7" t="s">
        <v>282</v>
      </c>
      <c r="E18" s="7"/>
      <c r="F18" s="9">
        <v>300000</v>
      </c>
      <c r="G18" s="10">
        <v>0</v>
      </c>
      <c r="H18" s="11">
        <v>509000</v>
      </c>
      <c r="I18" s="11">
        <v>114525</v>
      </c>
      <c r="J18" s="11"/>
      <c r="K18" s="11">
        <f>24500+26000+25000+25000</f>
        <v>100500</v>
      </c>
      <c r="L18" s="14">
        <f t="shared" si="0"/>
        <v>1024025</v>
      </c>
    </row>
    <row r="19" spans="1:12">
      <c r="A19" s="7">
        <v>15</v>
      </c>
      <c r="B19" s="8" t="s">
        <v>59</v>
      </c>
      <c r="C19" s="49" t="s">
        <v>308</v>
      </c>
      <c r="D19" s="7" t="s">
        <v>60</v>
      </c>
      <c r="E19" s="7"/>
      <c r="F19" s="9">
        <v>300000</v>
      </c>
      <c r="G19" s="10">
        <v>0</v>
      </c>
      <c r="H19" s="11">
        <f>1245833+1000000+220000</f>
        <v>2465833</v>
      </c>
      <c r="I19" s="11">
        <f>280313+225000+49500</f>
        <v>554813</v>
      </c>
      <c r="J19" s="11"/>
      <c r="K19" s="11">
        <f>31500+238000+45000+31500+66000+170000+54750+78000</f>
        <v>714750</v>
      </c>
      <c r="L19" s="14">
        <f t="shared" si="0"/>
        <v>4035396</v>
      </c>
    </row>
    <row r="20" spans="1:12">
      <c r="A20" s="7">
        <v>16</v>
      </c>
      <c r="B20" s="8" t="s">
        <v>61</v>
      </c>
      <c r="C20" s="49" t="s">
        <v>309</v>
      </c>
      <c r="D20" s="7" t="s">
        <v>62</v>
      </c>
      <c r="E20" s="7"/>
      <c r="F20" s="9">
        <v>300000</v>
      </c>
      <c r="G20" s="10">
        <v>0</v>
      </c>
      <c r="H20" s="11"/>
      <c r="I20" s="11"/>
      <c r="J20" s="11"/>
      <c r="K20" s="11">
        <f>179000+100000+237300+146500+149000+257000+178000+160300+126750+66500</f>
        <v>1600350</v>
      </c>
      <c r="L20" s="14">
        <f t="shared" si="0"/>
        <v>1900350</v>
      </c>
    </row>
    <row r="21" spans="1:12">
      <c r="A21" s="7">
        <v>17</v>
      </c>
      <c r="B21" s="8" t="s">
        <v>63</v>
      </c>
      <c r="C21" s="49" t="s">
        <v>310</v>
      </c>
      <c r="D21" s="7" t="s">
        <v>283</v>
      </c>
      <c r="E21" s="7"/>
      <c r="F21" s="9">
        <v>300000</v>
      </c>
      <c r="G21" s="10">
        <v>300000</v>
      </c>
      <c r="H21" s="11">
        <v>285000</v>
      </c>
      <c r="I21" s="11">
        <v>64125</v>
      </c>
      <c r="J21" s="11"/>
      <c r="K21" s="11"/>
      <c r="L21" s="14">
        <f t="shared" si="0"/>
        <v>949125</v>
      </c>
    </row>
    <row r="22" spans="1:12">
      <c r="A22" s="7">
        <v>18</v>
      </c>
      <c r="B22" s="8" t="s">
        <v>64</v>
      </c>
      <c r="C22" s="49" t="s">
        <v>311</v>
      </c>
      <c r="D22" s="7" t="s">
        <v>65</v>
      </c>
      <c r="E22" s="7"/>
      <c r="F22" s="9">
        <v>300000</v>
      </c>
      <c r="G22" s="10">
        <v>0</v>
      </c>
      <c r="H22" s="11">
        <f>500000+222400+466667</f>
        <v>1189067</v>
      </c>
      <c r="I22" s="11">
        <f>112500+50040+105000</f>
        <v>267540</v>
      </c>
      <c r="J22" s="11"/>
      <c r="K22" s="11">
        <f>38000</f>
        <v>38000</v>
      </c>
      <c r="L22" s="14">
        <f t="shared" si="0"/>
        <v>1794607</v>
      </c>
    </row>
    <row r="23" spans="1:12">
      <c r="A23" s="15">
        <v>19</v>
      </c>
      <c r="B23" s="8" t="s">
        <v>66</v>
      </c>
      <c r="C23" s="49" t="s">
        <v>312</v>
      </c>
      <c r="D23" s="7" t="s">
        <v>67</v>
      </c>
      <c r="E23" s="7"/>
      <c r="F23" s="9">
        <v>300000</v>
      </c>
      <c r="G23" s="10">
        <v>0</v>
      </c>
      <c r="H23" s="11"/>
      <c r="I23" s="11"/>
      <c r="J23" s="11"/>
      <c r="K23" s="11"/>
      <c r="L23" s="14">
        <f t="shared" si="0"/>
        <v>300000</v>
      </c>
    </row>
    <row r="24" spans="1:12">
      <c r="A24" s="7">
        <v>20</v>
      </c>
      <c r="B24" s="8" t="s">
        <v>68</v>
      </c>
      <c r="C24" s="49" t="s">
        <v>313</v>
      </c>
      <c r="D24" s="7" t="s">
        <v>69</v>
      </c>
      <c r="E24" s="7"/>
      <c r="F24" s="9">
        <v>300000</v>
      </c>
      <c r="G24" s="10">
        <v>0</v>
      </c>
      <c r="H24" s="11"/>
      <c r="I24" s="11"/>
      <c r="J24" s="11"/>
      <c r="K24" s="11">
        <f>9500+8000</f>
        <v>17500</v>
      </c>
      <c r="L24" s="14">
        <f t="shared" si="0"/>
        <v>317500</v>
      </c>
    </row>
    <row r="25" spans="1:12">
      <c r="A25" s="7">
        <v>21</v>
      </c>
      <c r="B25" s="8" t="s">
        <v>70</v>
      </c>
      <c r="C25" s="49" t="s">
        <v>314</v>
      </c>
      <c r="D25" s="7" t="s">
        <v>71</v>
      </c>
      <c r="E25" s="7"/>
      <c r="F25" s="9">
        <v>300000</v>
      </c>
      <c r="G25" s="10">
        <v>0</v>
      </c>
      <c r="H25" s="11"/>
      <c r="I25" s="11"/>
      <c r="J25" s="11"/>
      <c r="K25" s="11"/>
      <c r="L25" s="14">
        <f t="shared" si="0"/>
        <v>300000</v>
      </c>
    </row>
    <row r="26" spans="1:12">
      <c r="A26" s="7">
        <v>22</v>
      </c>
      <c r="B26" s="8" t="s">
        <v>72</v>
      </c>
      <c r="C26" s="49" t="s">
        <v>315</v>
      </c>
      <c r="D26" s="7" t="s">
        <v>73</v>
      </c>
      <c r="E26" s="7"/>
      <c r="F26" s="9">
        <v>300000</v>
      </c>
      <c r="G26" s="10"/>
      <c r="H26" s="11">
        <f>3110800</f>
        <v>3110800</v>
      </c>
      <c r="I26" s="11">
        <f>699930</f>
        <v>699930</v>
      </c>
      <c r="J26" s="11"/>
      <c r="K26" s="11">
        <f>65500+8500+14000+55000+10000+52000</f>
        <v>205000</v>
      </c>
      <c r="L26" s="14">
        <f t="shared" si="0"/>
        <v>4315730</v>
      </c>
    </row>
    <row r="27" spans="1:12">
      <c r="A27" s="7">
        <v>23</v>
      </c>
      <c r="B27" s="8" t="s">
        <v>74</v>
      </c>
      <c r="C27" s="49" t="s">
        <v>316</v>
      </c>
      <c r="D27" s="7" t="s">
        <v>75</v>
      </c>
      <c r="E27" s="7"/>
      <c r="F27" s="9">
        <v>300000</v>
      </c>
      <c r="G27" s="10">
        <v>100000</v>
      </c>
      <c r="H27" s="11">
        <f>1430208</f>
        <v>1430208</v>
      </c>
      <c r="I27" s="11">
        <v>321797</v>
      </c>
      <c r="J27" s="11"/>
      <c r="K27" s="11"/>
      <c r="L27" s="14">
        <f t="shared" si="0"/>
        <v>2152005</v>
      </c>
    </row>
    <row r="28" spans="1:12">
      <c r="A28" s="15">
        <v>24</v>
      </c>
      <c r="B28" s="8" t="s">
        <v>76</v>
      </c>
      <c r="C28" s="49" t="s">
        <v>317</v>
      </c>
      <c r="D28" s="7" t="s">
        <v>77</v>
      </c>
      <c r="E28" s="7"/>
      <c r="F28" s="9">
        <v>300000</v>
      </c>
      <c r="G28" s="10">
        <v>0</v>
      </c>
      <c r="H28" s="11">
        <f>1000000+1039722</f>
        <v>2039722</v>
      </c>
      <c r="I28" s="11">
        <f>225000+233937</f>
        <v>458937</v>
      </c>
      <c r="J28" s="11"/>
      <c r="K28" s="11"/>
      <c r="L28" s="14">
        <f t="shared" si="0"/>
        <v>2798659</v>
      </c>
    </row>
    <row r="29" spans="1:12">
      <c r="A29" s="7">
        <v>25</v>
      </c>
      <c r="B29" s="8" t="s">
        <v>78</v>
      </c>
      <c r="C29" s="49" t="s">
        <v>318</v>
      </c>
      <c r="D29" s="7" t="s">
        <v>79</v>
      </c>
      <c r="E29" s="7"/>
      <c r="F29" s="9">
        <v>300000</v>
      </c>
      <c r="G29" s="10">
        <v>0</v>
      </c>
      <c r="H29" s="11"/>
      <c r="I29" s="11"/>
      <c r="J29" s="11"/>
      <c r="K29" s="11"/>
      <c r="L29" s="14">
        <f t="shared" si="0"/>
        <v>300000</v>
      </c>
    </row>
    <row r="30" spans="1:12">
      <c r="A30" s="7">
        <v>26</v>
      </c>
      <c r="B30" s="8" t="s">
        <v>80</v>
      </c>
      <c r="C30" s="49" t="s">
        <v>319</v>
      </c>
      <c r="D30" s="7" t="s">
        <v>81</v>
      </c>
      <c r="E30" s="7"/>
      <c r="F30" s="9">
        <v>300000</v>
      </c>
      <c r="G30" s="10">
        <v>0</v>
      </c>
      <c r="H30" s="11"/>
      <c r="I30" s="11"/>
      <c r="J30" s="11"/>
      <c r="K30" s="11"/>
      <c r="L30" s="14">
        <f t="shared" si="0"/>
        <v>300000</v>
      </c>
    </row>
    <row r="31" spans="1:12">
      <c r="A31" s="7">
        <v>27</v>
      </c>
      <c r="B31" s="8" t="s">
        <v>82</v>
      </c>
      <c r="C31" s="49" t="s">
        <v>320</v>
      </c>
      <c r="D31" s="7" t="s">
        <v>83</v>
      </c>
      <c r="E31" s="7"/>
      <c r="F31" s="9">
        <v>300000</v>
      </c>
      <c r="G31" s="10">
        <v>0</v>
      </c>
      <c r="H31" s="11"/>
      <c r="I31" s="11"/>
      <c r="J31" s="11"/>
      <c r="K31" s="11">
        <f>107700</f>
        <v>107700</v>
      </c>
      <c r="L31" s="14">
        <f t="shared" si="0"/>
        <v>407700</v>
      </c>
    </row>
    <row r="32" spans="1:12">
      <c r="A32" s="7">
        <v>28</v>
      </c>
      <c r="B32" s="8" t="s">
        <v>84</v>
      </c>
      <c r="C32" s="49" t="s">
        <v>321</v>
      </c>
      <c r="D32" s="7" t="s">
        <v>85</v>
      </c>
      <c r="E32" s="7"/>
      <c r="F32" s="9">
        <v>300000</v>
      </c>
      <c r="G32" s="10">
        <v>0</v>
      </c>
      <c r="H32" s="11">
        <v>2735480</v>
      </c>
      <c r="I32" s="11">
        <v>615483</v>
      </c>
      <c r="J32" s="11">
        <v>261022</v>
      </c>
      <c r="K32" s="11"/>
      <c r="L32" s="14">
        <f t="shared" si="0"/>
        <v>3911985</v>
      </c>
    </row>
    <row r="33" spans="1:12">
      <c r="A33" s="15">
        <v>29</v>
      </c>
      <c r="B33" s="8" t="s">
        <v>86</v>
      </c>
      <c r="C33" s="49" t="s">
        <v>322</v>
      </c>
      <c r="D33" s="7" t="s">
        <v>87</v>
      </c>
      <c r="E33" s="7"/>
      <c r="F33" s="9">
        <v>300000</v>
      </c>
      <c r="G33" s="10">
        <v>1000000</v>
      </c>
      <c r="H33" s="11"/>
      <c r="I33" s="11"/>
      <c r="J33" s="11"/>
      <c r="K33" s="11"/>
      <c r="L33" s="14">
        <f t="shared" si="0"/>
        <v>1300000</v>
      </c>
    </row>
    <row r="34" spans="1:12">
      <c r="A34" s="7">
        <v>30</v>
      </c>
      <c r="B34" s="8" t="s">
        <v>88</v>
      </c>
      <c r="C34" s="49" t="s">
        <v>323</v>
      </c>
      <c r="D34" s="47" t="s">
        <v>8</v>
      </c>
      <c r="E34" s="7"/>
      <c r="F34" s="9">
        <v>300000</v>
      </c>
      <c r="G34" s="10">
        <v>0</v>
      </c>
      <c r="H34" s="11">
        <v>738542</v>
      </c>
      <c r="I34" s="11">
        <v>166172</v>
      </c>
      <c r="J34" s="11"/>
      <c r="K34" s="11"/>
      <c r="L34" s="14">
        <f t="shared" si="0"/>
        <v>1204714</v>
      </c>
    </row>
    <row r="35" spans="1:12">
      <c r="A35" s="7">
        <v>31</v>
      </c>
      <c r="B35" s="8" t="s">
        <v>89</v>
      </c>
      <c r="C35" s="49" t="s">
        <v>324</v>
      </c>
      <c r="D35" s="7" t="s">
        <v>90</v>
      </c>
      <c r="E35" s="7"/>
      <c r="F35" s="9">
        <v>300000</v>
      </c>
      <c r="G35" s="10">
        <v>0</v>
      </c>
      <c r="H35" s="11"/>
      <c r="I35" s="11"/>
      <c r="J35" s="11"/>
      <c r="K35" s="11"/>
      <c r="L35" s="14">
        <f t="shared" si="0"/>
        <v>300000</v>
      </c>
    </row>
    <row r="36" spans="1:12">
      <c r="A36" s="7">
        <v>32</v>
      </c>
      <c r="B36" s="8" t="s">
        <v>91</v>
      </c>
      <c r="C36" s="49" t="s">
        <v>325</v>
      </c>
      <c r="D36" s="7" t="s">
        <v>92</v>
      </c>
      <c r="E36" s="7"/>
      <c r="F36" s="9">
        <v>300000</v>
      </c>
      <c r="G36" s="10">
        <v>1000000</v>
      </c>
      <c r="H36" s="11"/>
      <c r="I36" s="11"/>
      <c r="J36" s="11"/>
      <c r="K36" s="11"/>
      <c r="L36" s="14">
        <f t="shared" si="0"/>
        <v>1300000</v>
      </c>
    </row>
    <row r="37" spans="1:12">
      <c r="A37" s="7">
        <v>33</v>
      </c>
      <c r="B37" s="8" t="s">
        <v>93</v>
      </c>
      <c r="C37" s="49" t="s">
        <v>326</v>
      </c>
      <c r="D37" s="7" t="s">
        <v>94</v>
      </c>
      <c r="E37" s="7"/>
      <c r="F37" s="9">
        <v>300000</v>
      </c>
      <c r="G37" s="10">
        <v>0</v>
      </c>
      <c r="H37" s="11"/>
      <c r="I37" s="11"/>
      <c r="J37" s="11"/>
      <c r="K37" s="11"/>
      <c r="L37" s="14">
        <f t="shared" ref="L37:L68" si="1">SUM(E37:K37)</f>
        <v>300000</v>
      </c>
    </row>
    <row r="38" spans="1:12">
      <c r="A38" s="15">
        <v>34</v>
      </c>
      <c r="B38" s="8" t="s">
        <v>95</v>
      </c>
      <c r="C38" s="49" t="s">
        <v>327</v>
      </c>
      <c r="D38" s="47" t="s">
        <v>9</v>
      </c>
      <c r="E38" s="7"/>
      <c r="F38" s="9">
        <v>300000</v>
      </c>
      <c r="G38" s="43">
        <v>2500000</v>
      </c>
      <c r="H38" s="11"/>
      <c r="I38" s="11"/>
      <c r="J38" s="11"/>
      <c r="K38" s="11">
        <f>3000+26000</f>
        <v>29000</v>
      </c>
      <c r="L38" s="14">
        <f t="shared" si="1"/>
        <v>2829000</v>
      </c>
    </row>
    <row r="39" spans="1:12">
      <c r="A39" s="7">
        <v>35</v>
      </c>
      <c r="B39" s="8" t="s">
        <v>96</v>
      </c>
      <c r="C39" s="49" t="s">
        <v>328</v>
      </c>
      <c r="D39" s="7" t="s">
        <v>97</v>
      </c>
      <c r="E39" s="7"/>
      <c r="F39" s="9">
        <v>300000</v>
      </c>
      <c r="G39" s="10">
        <v>0</v>
      </c>
      <c r="H39" s="11">
        <f>2585058+500000+1000000+500000</f>
        <v>4585058</v>
      </c>
      <c r="I39" s="11">
        <f>581638+225000+112500</f>
        <v>919138</v>
      </c>
      <c r="J39" s="11"/>
      <c r="K39" s="11">
        <f>112000</f>
        <v>112000</v>
      </c>
      <c r="L39" s="14">
        <f t="shared" si="1"/>
        <v>5916196</v>
      </c>
    </row>
    <row r="40" spans="1:12">
      <c r="A40" s="7">
        <v>36</v>
      </c>
      <c r="B40" s="8" t="s">
        <v>98</v>
      </c>
      <c r="C40" s="49" t="s">
        <v>329</v>
      </c>
      <c r="D40" s="7" t="s">
        <v>99</v>
      </c>
      <c r="E40" s="7"/>
      <c r="F40" s="9">
        <v>300000</v>
      </c>
      <c r="G40" s="10">
        <v>0</v>
      </c>
      <c r="H40" s="11"/>
      <c r="I40" s="11"/>
      <c r="J40" s="11"/>
      <c r="K40" s="11"/>
      <c r="L40" s="14">
        <f t="shared" si="1"/>
        <v>300000</v>
      </c>
    </row>
    <row r="41" spans="1:12">
      <c r="A41" s="7">
        <v>37</v>
      </c>
      <c r="B41" s="8" t="s">
        <v>100</v>
      </c>
      <c r="C41" s="49" t="s">
        <v>330</v>
      </c>
      <c r="D41" s="7" t="s">
        <v>101</v>
      </c>
      <c r="E41" s="7"/>
      <c r="F41" s="9">
        <v>300000</v>
      </c>
      <c r="G41" s="10">
        <v>0</v>
      </c>
      <c r="H41" s="11">
        <f>833333+500000</f>
        <v>1333333</v>
      </c>
      <c r="I41" s="11">
        <f>187500+225000</f>
        <v>412500</v>
      </c>
      <c r="J41" s="11"/>
      <c r="K41" s="11"/>
      <c r="L41" s="14">
        <f t="shared" si="1"/>
        <v>2045833</v>
      </c>
    </row>
    <row r="42" spans="1:12">
      <c r="A42" s="7">
        <v>38</v>
      </c>
      <c r="B42" s="8" t="s">
        <v>102</v>
      </c>
      <c r="C42" s="49" t="s">
        <v>331</v>
      </c>
      <c r="D42" s="7" t="s">
        <v>10</v>
      </c>
      <c r="E42" s="7"/>
      <c r="F42" s="9">
        <v>300000</v>
      </c>
      <c r="G42" s="10">
        <v>0</v>
      </c>
      <c r="H42" s="11">
        <v>1666667</v>
      </c>
      <c r="I42" s="11">
        <v>375000</v>
      </c>
      <c r="J42" s="11"/>
      <c r="K42" s="11"/>
      <c r="L42" s="14">
        <f t="shared" si="1"/>
        <v>2341667</v>
      </c>
    </row>
    <row r="43" spans="1:12">
      <c r="A43" s="15">
        <v>39</v>
      </c>
      <c r="B43" s="8" t="s">
        <v>103</v>
      </c>
      <c r="C43" s="49" t="s">
        <v>332</v>
      </c>
      <c r="D43" s="7" t="s">
        <v>11</v>
      </c>
      <c r="E43" s="7"/>
      <c r="F43" s="9">
        <v>300000</v>
      </c>
      <c r="G43" s="10">
        <v>0</v>
      </c>
      <c r="H43" s="11"/>
      <c r="I43" s="11"/>
      <c r="J43" s="11"/>
      <c r="K43" s="11"/>
      <c r="L43" s="14">
        <f t="shared" si="1"/>
        <v>300000</v>
      </c>
    </row>
    <row r="44" spans="1:12">
      <c r="A44" s="7">
        <v>40</v>
      </c>
      <c r="B44" s="8" t="s">
        <v>104</v>
      </c>
      <c r="C44" s="49" t="s">
        <v>333</v>
      </c>
      <c r="D44" s="7" t="s">
        <v>105</v>
      </c>
      <c r="E44" s="7"/>
      <c r="F44" s="9">
        <v>300000</v>
      </c>
      <c r="G44" s="10">
        <v>0</v>
      </c>
      <c r="H44" s="11"/>
      <c r="I44" s="11"/>
      <c r="J44" s="11"/>
      <c r="K44" s="11"/>
      <c r="L44" s="14">
        <f t="shared" si="1"/>
        <v>300000</v>
      </c>
    </row>
    <row r="45" spans="1:12">
      <c r="A45" s="7">
        <v>41</v>
      </c>
      <c r="B45" s="8" t="s">
        <v>106</v>
      </c>
      <c r="C45" s="49" t="s">
        <v>334</v>
      </c>
      <c r="D45" s="7" t="s">
        <v>107</v>
      </c>
      <c r="E45" s="7"/>
      <c r="F45" s="9">
        <v>300000</v>
      </c>
      <c r="G45" s="10">
        <v>2000000</v>
      </c>
      <c r="H45" s="11">
        <v>394700</v>
      </c>
      <c r="I45" s="11">
        <v>88808</v>
      </c>
      <c r="J45" s="11"/>
      <c r="K45" s="11"/>
      <c r="L45" s="14">
        <f t="shared" si="1"/>
        <v>2783508</v>
      </c>
    </row>
    <row r="46" spans="1:12">
      <c r="A46" s="7">
        <v>42</v>
      </c>
      <c r="B46" s="8" t="s">
        <v>108</v>
      </c>
      <c r="C46" s="49" t="s">
        <v>335</v>
      </c>
      <c r="D46" s="7" t="s">
        <v>109</v>
      </c>
      <c r="E46" s="7"/>
      <c r="F46" s="9">
        <v>300000</v>
      </c>
      <c r="G46" s="10">
        <v>0</v>
      </c>
      <c r="H46" s="11"/>
      <c r="I46" s="11"/>
      <c r="J46" s="11"/>
      <c r="K46" s="11"/>
      <c r="L46" s="14">
        <f t="shared" si="1"/>
        <v>300000</v>
      </c>
    </row>
    <row r="47" spans="1:12">
      <c r="A47" s="7">
        <v>43</v>
      </c>
      <c r="B47" s="8" t="s">
        <v>110</v>
      </c>
      <c r="C47" s="49" t="s">
        <v>336</v>
      </c>
      <c r="D47" s="7" t="s">
        <v>111</v>
      </c>
      <c r="E47" s="7"/>
      <c r="F47" s="9">
        <v>300000</v>
      </c>
      <c r="G47" s="10">
        <v>0</v>
      </c>
      <c r="H47" s="11">
        <f>1245833+1333333</f>
        <v>2579166</v>
      </c>
      <c r="I47" s="11">
        <f>299000+300000</f>
        <v>599000</v>
      </c>
      <c r="J47" s="11"/>
      <c r="K47" s="11"/>
      <c r="L47" s="14">
        <f t="shared" si="1"/>
        <v>3478166</v>
      </c>
    </row>
    <row r="48" spans="1:12">
      <c r="A48" s="15">
        <v>44</v>
      </c>
      <c r="B48" s="8" t="s">
        <v>112</v>
      </c>
      <c r="C48" s="49" t="s">
        <v>337</v>
      </c>
      <c r="D48" s="7" t="s">
        <v>113</v>
      </c>
      <c r="E48" s="7"/>
      <c r="F48" s="9">
        <v>300000</v>
      </c>
      <c r="G48" s="10">
        <v>0</v>
      </c>
      <c r="H48" s="11">
        <v>2156640</v>
      </c>
      <c r="I48" s="11">
        <v>323496</v>
      </c>
      <c r="J48" s="11"/>
      <c r="K48" s="11"/>
      <c r="L48" s="14">
        <f t="shared" si="1"/>
        <v>2780136</v>
      </c>
    </row>
    <row r="49" spans="1:12">
      <c r="A49" s="7">
        <v>45</v>
      </c>
      <c r="B49" s="8" t="s">
        <v>114</v>
      </c>
      <c r="C49" s="49" t="s">
        <v>338</v>
      </c>
      <c r="D49" s="7" t="s">
        <v>115</v>
      </c>
      <c r="E49" s="7"/>
      <c r="F49" s="9">
        <v>300000</v>
      </c>
      <c r="G49" s="43">
        <v>1000000</v>
      </c>
      <c r="H49" s="11"/>
      <c r="I49" s="11"/>
      <c r="J49" s="11"/>
      <c r="K49" s="11"/>
      <c r="L49" s="14">
        <f t="shared" si="1"/>
        <v>1300000</v>
      </c>
    </row>
    <row r="50" spans="1:12">
      <c r="A50" s="7">
        <v>46</v>
      </c>
      <c r="B50" s="8" t="s">
        <v>116</v>
      </c>
      <c r="C50" s="49" t="s">
        <v>339</v>
      </c>
      <c r="D50" s="7" t="s">
        <v>117</v>
      </c>
      <c r="E50" s="7"/>
      <c r="F50" s="9">
        <v>300000</v>
      </c>
      <c r="G50" s="10">
        <v>0</v>
      </c>
      <c r="H50" s="11">
        <v>2360000</v>
      </c>
      <c r="I50" s="11">
        <v>531000</v>
      </c>
      <c r="J50" s="11"/>
      <c r="K50" s="11"/>
      <c r="L50" s="14">
        <f t="shared" si="1"/>
        <v>3191000</v>
      </c>
    </row>
    <row r="51" spans="1:12">
      <c r="A51" s="7">
        <v>47</v>
      </c>
      <c r="B51" s="8" t="s">
        <v>118</v>
      </c>
      <c r="C51" s="49" t="s">
        <v>340</v>
      </c>
      <c r="D51" s="7" t="s">
        <v>119</v>
      </c>
      <c r="E51" s="7"/>
      <c r="F51" s="9">
        <v>300000</v>
      </c>
      <c r="G51" s="10">
        <v>0</v>
      </c>
      <c r="H51" s="11"/>
      <c r="I51" s="11"/>
      <c r="J51" s="11"/>
      <c r="K51" s="11"/>
      <c r="L51" s="14">
        <f t="shared" si="1"/>
        <v>300000</v>
      </c>
    </row>
    <row r="52" spans="1:12">
      <c r="A52" s="7">
        <v>48</v>
      </c>
      <c r="B52" s="8" t="s">
        <v>120</v>
      </c>
      <c r="C52" s="49" t="s">
        <v>341</v>
      </c>
      <c r="D52" s="7" t="s">
        <v>121</v>
      </c>
      <c r="E52" s="7"/>
      <c r="F52" s="9">
        <v>300000</v>
      </c>
      <c r="G52" s="10">
        <v>0</v>
      </c>
      <c r="H52" s="11">
        <f>4038462+1875000+720000</f>
        <v>6633462</v>
      </c>
      <c r="I52" s="11">
        <f>525000+421875+162000</f>
        <v>1108875</v>
      </c>
      <c r="J52" s="11"/>
      <c r="K52" s="11"/>
      <c r="L52" s="14">
        <f t="shared" si="1"/>
        <v>8042337</v>
      </c>
    </row>
    <row r="53" spans="1:12">
      <c r="A53" s="15">
        <v>49</v>
      </c>
      <c r="B53" s="8" t="s">
        <v>122</v>
      </c>
      <c r="C53" s="49" t="s">
        <v>342</v>
      </c>
      <c r="D53" s="7" t="s">
        <v>123</v>
      </c>
      <c r="E53" s="7"/>
      <c r="F53" s="9">
        <v>300000</v>
      </c>
      <c r="G53" s="10">
        <v>0</v>
      </c>
      <c r="H53" s="11">
        <v>240500</v>
      </c>
      <c r="I53" s="11">
        <v>54113</v>
      </c>
      <c r="J53" s="11">
        <f>54113-54068</f>
        <v>45</v>
      </c>
      <c r="K53" s="11"/>
      <c r="L53" s="14">
        <f t="shared" si="1"/>
        <v>594658</v>
      </c>
    </row>
    <row r="54" spans="1:12">
      <c r="A54" s="7">
        <v>50</v>
      </c>
      <c r="B54" s="8" t="s">
        <v>124</v>
      </c>
      <c r="C54" s="49" t="s">
        <v>343</v>
      </c>
      <c r="D54" s="7" t="s">
        <v>125</v>
      </c>
      <c r="E54" s="7"/>
      <c r="F54" s="9">
        <v>300000</v>
      </c>
      <c r="G54" s="10">
        <v>0</v>
      </c>
      <c r="H54" s="11"/>
      <c r="I54" s="11"/>
      <c r="J54" s="11"/>
      <c r="K54" s="11"/>
      <c r="L54" s="14">
        <f t="shared" si="1"/>
        <v>300000</v>
      </c>
    </row>
    <row r="55" spans="1:12">
      <c r="A55" s="7">
        <v>51</v>
      </c>
      <c r="B55" s="8" t="s">
        <v>126</v>
      </c>
      <c r="C55" s="49" t="s">
        <v>344</v>
      </c>
      <c r="D55" s="7" t="s">
        <v>127</v>
      </c>
      <c r="E55" s="7"/>
      <c r="F55" s="9">
        <v>300000</v>
      </c>
      <c r="G55" s="10">
        <v>0</v>
      </c>
      <c r="H55" s="11">
        <v>1416042</v>
      </c>
      <c r="I55" s="11">
        <v>318609</v>
      </c>
      <c r="J55" s="11"/>
      <c r="K55" s="11"/>
      <c r="L55" s="14">
        <f t="shared" si="1"/>
        <v>2034651</v>
      </c>
    </row>
    <row r="56" spans="1:12">
      <c r="A56" s="7">
        <v>52</v>
      </c>
      <c r="B56" s="8" t="s">
        <v>128</v>
      </c>
      <c r="C56" s="49" t="s">
        <v>345</v>
      </c>
      <c r="D56" s="7" t="s">
        <v>129</v>
      </c>
      <c r="E56" s="7"/>
      <c r="F56" s="9">
        <v>300000</v>
      </c>
      <c r="G56" s="43">
        <v>750000</v>
      </c>
      <c r="H56" s="11"/>
      <c r="I56" s="11"/>
      <c r="J56" s="11"/>
      <c r="K56" s="11">
        <v>6500</v>
      </c>
      <c r="L56" s="14">
        <f t="shared" si="1"/>
        <v>1056500</v>
      </c>
    </row>
    <row r="57" spans="1:12">
      <c r="A57" s="7">
        <v>53</v>
      </c>
      <c r="B57" s="8" t="s">
        <v>130</v>
      </c>
      <c r="C57" s="49" t="s">
        <v>346</v>
      </c>
      <c r="D57" s="7" t="s">
        <v>131</v>
      </c>
      <c r="E57" s="7"/>
      <c r="F57" s="9">
        <v>300000</v>
      </c>
      <c r="G57" s="10">
        <v>0</v>
      </c>
      <c r="H57" s="11"/>
      <c r="I57" s="11"/>
      <c r="J57" s="11"/>
      <c r="K57" s="11">
        <v>155500</v>
      </c>
      <c r="L57" s="14">
        <f t="shared" si="1"/>
        <v>455500</v>
      </c>
    </row>
    <row r="58" spans="1:12">
      <c r="A58" s="15">
        <v>54</v>
      </c>
      <c r="B58" s="8" t="s">
        <v>132</v>
      </c>
      <c r="C58" s="49" t="s">
        <v>347</v>
      </c>
      <c r="D58" s="7" t="s">
        <v>133</v>
      </c>
      <c r="E58" s="7"/>
      <c r="F58" s="9">
        <v>300000</v>
      </c>
      <c r="G58" s="10">
        <v>500000</v>
      </c>
      <c r="H58" s="11"/>
      <c r="I58" s="11"/>
      <c r="J58" s="11"/>
      <c r="K58" s="11"/>
      <c r="L58" s="14">
        <f t="shared" si="1"/>
        <v>800000</v>
      </c>
    </row>
    <row r="59" spans="1:12">
      <c r="A59" s="7">
        <v>55</v>
      </c>
      <c r="B59" s="8" t="s">
        <v>134</v>
      </c>
      <c r="C59" s="49" t="s">
        <v>348</v>
      </c>
      <c r="D59" s="7" t="s">
        <v>135</v>
      </c>
      <c r="E59" s="7"/>
      <c r="F59" s="9">
        <v>300000</v>
      </c>
      <c r="G59" s="10">
        <v>0</v>
      </c>
      <c r="H59" s="11"/>
      <c r="I59" s="11"/>
      <c r="J59" s="11"/>
      <c r="K59" s="11">
        <v>20500</v>
      </c>
      <c r="L59" s="14">
        <f t="shared" si="1"/>
        <v>320500</v>
      </c>
    </row>
    <row r="60" spans="1:12">
      <c r="A60" s="7">
        <v>56</v>
      </c>
      <c r="B60" s="8" t="s">
        <v>136</v>
      </c>
      <c r="C60" s="49" t="s">
        <v>349</v>
      </c>
      <c r="D60" s="7" t="s">
        <v>137</v>
      </c>
      <c r="E60" s="7"/>
      <c r="F60" s="9">
        <v>300000</v>
      </c>
      <c r="G60" s="10"/>
      <c r="H60" s="10">
        <f>750000+333334</f>
        <v>1083334</v>
      </c>
      <c r="I60" s="11">
        <f>168750+75000</f>
        <v>243750</v>
      </c>
      <c r="J60" s="11"/>
      <c r="K60" s="11"/>
      <c r="L60" s="14">
        <f t="shared" si="1"/>
        <v>1627084</v>
      </c>
    </row>
    <row r="61" spans="1:12">
      <c r="A61" s="7">
        <v>57</v>
      </c>
      <c r="B61" s="8" t="s">
        <v>138</v>
      </c>
      <c r="C61" s="49" t="s">
        <v>350</v>
      </c>
      <c r="D61" s="7" t="s">
        <v>139</v>
      </c>
      <c r="E61" s="7"/>
      <c r="F61" s="9">
        <v>300000</v>
      </c>
      <c r="G61" s="10">
        <v>0</v>
      </c>
      <c r="H61" s="11">
        <v>855208</v>
      </c>
      <c r="I61" s="11">
        <v>192422</v>
      </c>
      <c r="J61" s="11"/>
      <c r="K61" s="11">
        <f>52000+36000+198500+62000+135500</f>
        <v>484000</v>
      </c>
      <c r="L61" s="14">
        <f t="shared" si="1"/>
        <v>1831630</v>
      </c>
    </row>
    <row r="62" spans="1:12">
      <c r="A62" s="7">
        <v>58</v>
      </c>
      <c r="B62" s="8" t="s">
        <v>140</v>
      </c>
      <c r="C62" s="49" t="s">
        <v>351</v>
      </c>
      <c r="D62" s="7" t="s">
        <v>141</v>
      </c>
      <c r="E62" s="7"/>
      <c r="F62" s="9">
        <v>300000</v>
      </c>
      <c r="G62" s="10">
        <v>0</v>
      </c>
      <c r="H62" s="11"/>
      <c r="I62" s="11"/>
      <c r="J62" s="11"/>
      <c r="K62" s="11"/>
      <c r="L62" s="14">
        <f t="shared" si="1"/>
        <v>300000</v>
      </c>
    </row>
    <row r="63" spans="1:12">
      <c r="A63" s="15">
        <v>59</v>
      </c>
      <c r="B63" s="8" t="s">
        <v>142</v>
      </c>
      <c r="C63" s="49" t="s">
        <v>352</v>
      </c>
      <c r="D63" s="7" t="s">
        <v>143</v>
      </c>
      <c r="E63" s="7"/>
      <c r="F63" s="9">
        <v>300000</v>
      </c>
      <c r="G63" s="43">
        <v>1500000</v>
      </c>
      <c r="H63" s="11"/>
      <c r="I63" s="11"/>
      <c r="J63" s="11"/>
      <c r="K63" s="11"/>
      <c r="L63" s="14">
        <f t="shared" si="1"/>
        <v>1800000</v>
      </c>
    </row>
    <row r="64" spans="1:12">
      <c r="A64" s="7">
        <v>60</v>
      </c>
      <c r="B64" s="8" t="s">
        <v>144</v>
      </c>
      <c r="C64" s="49" t="s">
        <v>353</v>
      </c>
      <c r="D64" s="7" t="s">
        <v>145</v>
      </c>
      <c r="E64" s="7"/>
      <c r="F64" s="9">
        <v>300000</v>
      </c>
      <c r="G64" s="10">
        <v>0</v>
      </c>
      <c r="H64" s="11">
        <f>2060000+980000+1000000</f>
        <v>4040000</v>
      </c>
      <c r="I64" s="11">
        <f>412000+220500+225000</f>
        <v>857500</v>
      </c>
      <c r="J64" s="11"/>
      <c r="K64" s="11"/>
      <c r="L64" s="14">
        <f t="shared" si="1"/>
        <v>5197500</v>
      </c>
    </row>
    <row r="65" spans="1:12">
      <c r="A65" s="7">
        <v>61</v>
      </c>
      <c r="B65" s="8" t="s">
        <v>146</v>
      </c>
      <c r="C65" s="49" t="s">
        <v>354</v>
      </c>
      <c r="D65" s="7" t="s">
        <v>147</v>
      </c>
      <c r="E65" s="7"/>
      <c r="F65" s="9">
        <v>0</v>
      </c>
      <c r="G65" s="10">
        <v>0</v>
      </c>
      <c r="H65" s="11">
        <v>1812963</v>
      </c>
      <c r="I65" s="11">
        <v>271944</v>
      </c>
      <c r="J65" s="11">
        <v>21160068</v>
      </c>
      <c r="K65" s="11"/>
      <c r="L65" s="14">
        <f t="shared" si="1"/>
        <v>23244975</v>
      </c>
    </row>
    <row r="66" spans="1:12">
      <c r="A66" s="7">
        <v>62</v>
      </c>
      <c r="B66" s="8" t="s">
        <v>148</v>
      </c>
      <c r="C66" s="49" t="s">
        <v>355</v>
      </c>
      <c r="D66" s="7" t="s">
        <v>149</v>
      </c>
      <c r="E66" s="7"/>
      <c r="F66" s="9">
        <v>300000</v>
      </c>
      <c r="G66" s="10"/>
      <c r="H66" s="10">
        <v>1052083</v>
      </c>
      <c r="I66" s="11">
        <v>252500</v>
      </c>
      <c r="J66" s="11"/>
      <c r="K66" s="11"/>
      <c r="L66" s="14">
        <f t="shared" si="1"/>
        <v>1604583</v>
      </c>
    </row>
    <row r="67" spans="1:12">
      <c r="A67" s="7">
        <v>63</v>
      </c>
      <c r="B67" s="8" t="s">
        <v>150</v>
      </c>
      <c r="C67" s="49" t="s">
        <v>356</v>
      </c>
      <c r="D67" s="7" t="s">
        <v>151</v>
      </c>
      <c r="E67" s="7"/>
      <c r="F67" s="9">
        <v>300000</v>
      </c>
      <c r="G67" s="10">
        <v>0</v>
      </c>
      <c r="H67" s="11">
        <f>1248333+1000000</f>
        <v>2248333</v>
      </c>
      <c r="I67" s="11">
        <f>299600+225000</f>
        <v>524600</v>
      </c>
      <c r="J67" s="11"/>
      <c r="K67" s="11">
        <f>20000+49000+24500+24500+49000+20000+26000+19000+164500+25000+25000+50000+25000+50000+25000+50000+50000+25000+50000</f>
        <v>771500</v>
      </c>
      <c r="L67" s="14">
        <f t="shared" si="1"/>
        <v>3844433</v>
      </c>
    </row>
    <row r="68" spans="1:12">
      <c r="A68" s="15">
        <v>64</v>
      </c>
      <c r="B68" s="8" t="s">
        <v>152</v>
      </c>
      <c r="C68" s="49" t="s">
        <v>357</v>
      </c>
      <c r="D68" s="7" t="s">
        <v>153</v>
      </c>
      <c r="E68" s="7"/>
      <c r="F68" s="9">
        <v>300000</v>
      </c>
      <c r="G68" s="10">
        <v>0</v>
      </c>
      <c r="H68" s="11">
        <v>2000000</v>
      </c>
      <c r="I68" s="11">
        <v>450000</v>
      </c>
      <c r="J68" s="11"/>
      <c r="K68" s="11"/>
      <c r="L68" s="14">
        <f t="shared" si="1"/>
        <v>2750000</v>
      </c>
    </row>
    <row r="69" spans="1:12">
      <c r="A69" s="7">
        <v>65</v>
      </c>
      <c r="B69" s="8" t="s">
        <v>154</v>
      </c>
      <c r="C69" s="49" t="s">
        <v>358</v>
      </c>
      <c r="D69" s="7" t="s">
        <v>155</v>
      </c>
      <c r="E69" s="7"/>
      <c r="F69" s="9">
        <v>300000</v>
      </c>
      <c r="G69" s="10">
        <v>0</v>
      </c>
      <c r="H69" s="11"/>
      <c r="I69" s="11"/>
      <c r="J69" s="11"/>
      <c r="K69" s="11"/>
      <c r="L69" s="14">
        <f t="shared" ref="L69:L100" si="2">SUM(E69:K69)</f>
        <v>300000</v>
      </c>
    </row>
    <row r="70" spans="1:12">
      <c r="A70" s="7">
        <v>66</v>
      </c>
      <c r="B70" s="8" t="s">
        <v>156</v>
      </c>
      <c r="C70" s="49" t="s">
        <v>359</v>
      </c>
      <c r="D70" s="7" t="s">
        <v>157</v>
      </c>
      <c r="E70" s="7"/>
      <c r="F70" s="9">
        <v>300000</v>
      </c>
      <c r="G70" s="10">
        <v>500000</v>
      </c>
      <c r="H70" s="11"/>
      <c r="I70" s="11"/>
      <c r="J70" s="11"/>
      <c r="K70" s="11"/>
      <c r="L70" s="14">
        <f t="shared" si="2"/>
        <v>800000</v>
      </c>
    </row>
    <row r="71" spans="1:12">
      <c r="A71" s="7">
        <v>67</v>
      </c>
      <c r="B71" s="8" t="s">
        <v>158</v>
      </c>
      <c r="C71" s="49" t="s">
        <v>360</v>
      </c>
      <c r="D71" s="7" t="s">
        <v>159</v>
      </c>
      <c r="E71" s="7"/>
      <c r="F71" s="9">
        <v>300000</v>
      </c>
      <c r="G71" s="10">
        <v>0</v>
      </c>
      <c r="H71" s="11"/>
      <c r="I71" s="11"/>
      <c r="J71" s="11"/>
      <c r="K71" s="11"/>
      <c r="L71" s="14">
        <f t="shared" si="2"/>
        <v>300000</v>
      </c>
    </row>
    <row r="72" spans="1:12">
      <c r="A72" s="7">
        <v>68</v>
      </c>
      <c r="B72" s="8" t="s">
        <v>160</v>
      </c>
      <c r="C72" s="49" t="s">
        <v>361</v>
      </c>
      <c r="D72" s="7" t="s">
        <v>161</v>
      </c>
      <c r="E72" s="7"/>
      <c r="F72" s="9">
        <v>300000</v>
      </c>
      <c r="G72" s="10">
        <v>0</v>
      </c>
      <c r="H72" s="42">
        <v>1250000</v>
      </c>
      <c r="I72" s="42">
        <v>281250</v>
      </c>
      <c r="J72" s="11"/>
      <c r="K72" s="11"/>
      <c r="L72" s="14">
        <f t="shared" si="2"/>
        <v>1831250</v>
      </c>
    </row>
    <row r="73" spans="1:12">
      <c r="A73" s="15">
        <v>69</v>
      </c>
      <c r="B73" s="8" t="s">
        <v>162</v>
      </c>
      <c r="C73" s="49" t="s">
        <v>362</v>
      </c>
      <c r="D73" s="7" t="s">
        <v>163</v>
      </c>
      <c r="E73" s="7"/>
      <c r="F73" s="9">
        <v>300000</v>
      </c>
      <c r="G73" s="10">
        <v>0</v>
      </c>
      <c r="H73" s="11">
        <v>6000000</v>
      </c>
      <c r="I73" s="11">
        <v>1350000</v>
      </c>
      <c r="J73" s="11"/>
      <c r="K73" s="11"/>
      <c r="L73" s="14">
        <f t="shared" si="2"/>
        <v>7650000</v>
      </c>
    </row>
    <row r="74" spans="1:12">
      <c r="A74" s="7">
        <v>70</v>
      </c>
      <c r="B74" s="8" t="s">
        <v>164</v>
      </c>
      <c r="C74" s="49" t="s">
        <v>363</v>
      </c>
      <c r="D74" s="7" t="s">
        <v>165</v>
      </c>
      <c r="E74" s="7"/>
      <c r="F74" s="9">
        <v>300000</v>
      </c>
      <c r="G74" s="10">
        <v>0</v>
      </c>
      <c r="H74" s="11"/>
      <c r="I74" s="11"/>
      <c r="J74" s="11"/>
      <c r="K74" s="11"/>
      <c r="L74" s="14">
        <f t="shared" si="2"/>
        <v>300000</v>
      </c>
    </row>
    <row r="75" spans="1:12">
      <c r="A75" s="7">
        <v>71</v>
      </c>
      <c r="B75" s="8" t="s">
        <v>166</v>
      </c>
      <c r="C75" s="49" t="s">
        <v>364</v>
      </c>
      <c r="D75" s="7" t="s">
        <v>167</v>
      </c>
      <c r="E75" s="7"/>
      <c r="F75" s="9">
        <v>300000</v>
      </c>
      <c r="G75" s="10">
        <v>1500000</v>
      </c>
      <c r="H75" s="11">
        <v>1444445</v>
      </c>
      <c r="I75" s="11">
        <v>325000</v>
      </c>
      <c r="J75" s="11"/>
      <c r="K75" s="11">
        <f>19000+91500+94000</f>
        <v>204500</v>
      </c>
      <c r="L75" s="14">
        <f t="shared" si="2"/>
        <v>3773945</v>
      </c>
    </row>
    <row r="76" spans="1:12">
      <c r="A76" s="7">
        <v>72</v>
      </c>
      <c r="B76" s="8" t="s">
        <v>168</v>
      </c>
      <c r="C76" s="49" t="s">
        <v>365</v>
      </c>
      <c r="D76" s="7" t="s">
        <v>169</v>
      </c>
      <c r="E76" s="7"/>
      <c r="F76" s="9">
        <v>300000</v>
      </c>
      <c r="G76" s="43">
        <v>500000</v>
      </c>
      <c r="H76" s="11"/>
      <c r="I76" s="11"/>
      <c r="J76" s="11"/>
      <c r="K76" s="11">
        <f>187500+12500</f>
        <v>200000</v>
      </c>
      <c r="L76" s="14">
        <f t="shared" si="2"/>
        <v>1000000</v>
      </c>
    </row>
    <row r="77" spans="1:12">
      <c r="A77" s="7">
        <v>73</v>
      </c>
      <c r="B77" s="8" t="s">
        <v>170</v>
      </c>
      <c r="C77" s="49" t="s">
        <v>366</v>
      </c>
      <c r="D77" s="7" t="s">
        <v>171</v>
      </c>
      <c r="E77" s="7"/>
      <c r="F77" s="9">
        <v>300000</v>
      </c>
      <c r="G77" s="10">
        <v>0</v>
      </c>
      <c r="H77" s="11"/>
      <c r="I77" s="11"/>
      <c r="J77" s="11"/>
      <c r="K77" s="11"/>
      <c r="L77" s="14">
        <f t="shared" si="2"/>
        <v>300000</v>
      </c>
    </row>
    <row r="78" spans="1:12">
      <c r="A78" s="15">
        <v>74</v>
      </c>
      <c r="B78" s="8" t="s">
        <v>172</v>
      </c>
      <c r="C78" s="49" t="s">
        <v>367</v>
      </c>
      <c r="D78" s="7" t="s">
        <v>173</v>
      </c>
      <c r="E78" s="7"/>
      <c r="F78" s="9">
        <v>300000</v>
      </c>
      <c r="G78" s="10">
        <v>0</v>
      </c>
      <c r="H78" s="11"/>
      <c r="I78" s="11"/>
      <c r="J78" s="11"/>
      <c r="K78" s="11"/>
      <c r="L78" s="14">
        <f t="shared" si="2"/>
        <v>300000</v>
      </c>
    </row>
    <row r="79" spans="1:12">
      <c r="A79" s="7">
        <v>75</v>
      </c>
      <c r="B79" s="8" t="s">
        <v>174</v>
      </c>
      <c r="C79" s="49" t="s">
        <v>368</v>
      </c>
      <c r="D79" s="7" t="s">
        <v>175</v>
      </c>
      <c r="E79" s="7"/>
      <c r="F79" s="9">
        <v>300000</v>
      </c>
      <c r="G79" s="10">
        <v>0</v>
      </c>
      <c r="H79" s="11">
        <f>675694+350000</f>
        <v>1025694</v>
      </c>
      <c r="I79" s="11">
        <f>243250+78750</f>
        <v>322000</v>
      </c>
      <c r="J79" s="11"/>
      <c r="K79" s="11">
        <f>33000+33000+33000+9250+35750+33000</f>
        <v>177000</v>
      </c>
      <c r="L79" s="14">
        <f t="shared" si="2"/>
        <v>1824694</v>
      </c>
    </row>
    <row r="80" spans="1:12">
      <c r="A80" s="7">
        <v>76</v>
      </c>
      <c r="B80" s="8" t="s">
        <v>176</v>
      </c>
      <c r="C80" s="49" t="s">
        <v>369</v>
      </c>
      <c r="D80" s="7" t="s">
        <v>177</v>
      </c>
      <c r="E80" s="7"/>
      <c r="F80" s="9">
        <v>300000</v>
      </c>
      <c r="G80" s="10">
        <v>500000</v>
      </c>
      <c r="H80" s="11">
        <f>2300000+736300</f>
        <v>3036300</v>
      </c>
      <c r="I80" s="11">
        <f>460000+165668</f>
        <v>625668</v>
      </c>
      <c r="J80" s="11"/>
      <c r="K80" s="11">
        <f>203000</f>
        <v>203000</v>
      </c>
      <c r="L80" s="14">
        <f t="shared" si="2"/>
        <v>4664968</v>
      </c>
    </row>
    <row r="81" spans="1:12">
      <c r="A81" s="7">
        <v>77</v>
      </c>
      <c r="B81" s="8" t="s">
        <v>178</v>
      </c>
      <c r="C81" s="49" t="s">
        <v>370</v>
      </c>
      <c r="D81" s="7" t="s">
        <v>179</v>
      </c>
      <c r="E81" s="7"/>
      <c r="F81" s="9">
        <v>300000</v>
      </c>
      <c r="G81" s="10">
        <v>0</v>
      </c>
      <c r="H81" s="11"/>
      <c r="I81" s="11"/>
      <c r="J81" s="11"/>
      <c r="K81" s="11"/>
      <c r="L81" s="14">
        <f t="shared" si="2"/>
        <v>300000</v>
      </c>
    </row>
    <row r="82" spans="1:12">
      <c r="A82" s="7">
        <v>78</v>
      </c>
      <c r="B82" s="8" t="s">
        <v>180</v>
      </c>
      <c r="C82" s="49" t="s">
        <v>371</v>
      </c>
      <c r="D82" s="7" t="s">
        <v>141</v>
      </c>
      <c r="E82" s="7"/>
      <c r="F82" s="9">
        <v>300000</v>
      </c>
      <c r="G82" s="10">
        <v>0</v>
      </c>
      <c r="H82" s="11"/>
      <c r="I82" s="11"/>
      <c r="J82" s="11"/>
      <c r="K82" s="11">
        <f>43000</f>
        <v>43000</v>
      </c>
      <c r="L82" s="14">
        <f t="shared" si="2"/>
        <v>343000</v>
      </c>
    </row>
    <row r="83" spans="1:12">
      <c r="A83" s="15">
        <v>79</v>
      </c>
      <c r="B83" s="8" t="s">
        <v>181</v>
      </c>
      <c r="C83" s="49" t="s">
        <v>372</v>
      </c>
      <c r="D83" s="7" t="s">
        <v>182</v>
      </c>
      <c r="E83" s="7"/>
      <c r="F83" s="9">
        <v>300000</v>
      </c>
      <c r="G83" s="10">
        <v>0</v>
      </c>
      <c r="H83" s="11">
        <f>2074400+1388889</f>
        <v>3463289</v>
      </c>
      <c r="I83" s="11">
        <f>518600+312500</f>
        <v>831100</v>
      </c>
      <c r="J83" s="11"/>
      <c r="K83" s="11"/>
      <c r="L83" s="14">
        <f t="shared" si="2"/>
        <v>4594389</v>
      </c>
    </row>
    <row r="84" spans="1:12">
      <c r="A84" s="7">
        <v>80</v>
      </c>
      <c r="B84" s="8" t="s">
        <v>183</v>
      </c>
      <c r="C84" s="49" t="s">
        <v>373</v>
      </c>
      <c r="D84" s="7" t="s">
        <v>184</v>
      </c>
      <c r="E84" s="7"/>
      <c r="F84" s="9">
        <v>300000</v>
      </c>
      <c r="G84" s="10">
        <v>0</v>
      </c>
      <c r="H84" s="11"/>
      <c r="I84" s="11"/>
      <c r="J84" s="11"/>
      <c r="K84" s="11"/>
      <c r="L84" s="14">
        <f t="shared" si="2"/>
        <v>300000</v>
      </c>
    </row>
    <row r="85" spans="1:12">
      <c r="A85" s="7">
        <v>81</v>
      </c>
      <c r="B85" s="8" t="s">
        <v>185</v>
      </c>
      <c r="C85" s="49" t="s">
        <v>374</v>
      </c>
      <c r="D85" s="7" t="s">
        <v>186</v>
      </c>
      <c r="E85" s="7"/>
      <c r="F85" s="9">
        <v>300000</v>
      </c>
      <c r="G85" s="10">
        <v>0</v>
      </c>
      <c r="H85" s="11"/>
      <c r="I85" s="11"/>
      <c r="J85" s="11"/>
      <c r="K85" s="11"/>
      <c r="L85" s="14">
        <f t="shared" si="2"/>
        <v>300000</v>
      </c>
    </row>
    <row r="86" spans="1:12">
      <c r="A86" s="7">
        <v>82</v>
      </c>
      <c r="B86" s="8" t="s">
        <v>187</v>
      </c>
      <c r="C86" s="49" t="s">
        <v>375</v>
      </c>
      <c r="D86" s="7" t="s">
        <v>188</v>
      </c>
      <c r="E86" s="7"/>
      <c r="F86" s="9">
        <v>300000</v>
      </c>
      <c r="G86" s="10">
        <v>0</v>
      </c>
      <c r="H86" s="11"/>
      <c r="I86" s="11"/>
      <c r="J86" s="11"/>
      <c r="K86" s="11">
        <f>311500</f>
        <v>311500</v>
      </c>
      <c r="L86" s="14">
        <f t="shared" si="2"/>
        <v>611500</v>
      </c>
    </row>
    <row r="87" spans="1:12">
      <c r="A87" s="7">
        <v>83</v>
      </c>
      <c r="B87" s="8" t="s">
        <v>189</v>
      </c>
      <c r="C87" s="49" t="s">
        <v>376</v>
      </c>
      <c r="D87" s="7" t="s">
        <v>190</v>
      </c>
      <c r="E87" s="7"/>
      <c r="F87" s="9">
        <v>300000</v>
      </c>
      <c r="G87" s="10">
        <v>0</v>
      </c>
      <c r="H87" s="11">
        <f>2500000+625000</f>
        <v>3125000</v>
      </c>
      <c r="I87" s="11">
        <f>875000+140625</f>
        <v>1015625</v>
      </c>
      <c r="J87" s="11"/>
      <c r="K87" s="11"/>
      <c r="L87" s="14">
        <f t="shared" si="2"/>
        <v>4440625</v>
      </c>
    </row>
    <row r="88" spans="1:12">
      <c r="A88" s="15">
        <v>84</v>
      </c>
      <c r="B88" s="8" t="s">
        <v>191</v>
      </c>
      <c r="C88" s="49" t="s">
        <v>377</v>
      </c>
      <c r="D88" s="7" t="s">
        <v>192</v>
      </c>
      <c r="E88" s="7"/>
      <c r="F88" s="9">
        <v>300000</v>
      </c>
      <c r="G88" s="10">
        <v>0</v>
      </c>
      <c r="H88" s="11">
        <v>1000000</v>
      </c>
      <c r="I88" s="11">
        <v>250000</v>
      </c>
      <c r="J88" s="11"/>
      <c r="K88" s="11"/>
      <c r="L88" s="14">
        <f t="shared" si="2"/>
        <v>1550000</v>
      </c>
    </row>
    <row r="89" spans="1:12">
      <c r="A89" s="7">
        <v>85</v>
      </c>
      <c r="B89" s="8" t="s">
        <v>193</v>
      </c>
      <c r="C89" s="49" t="s">
        <v>378</v>
      </c>
      <c r="D89" s="7" t="s">
        <v>194</v>
      </c>
      <c r="E89" s="7"/>
      <c r="F89" s="9">
        <v>300000</v>
      </c>
      <c r="G89" s="10">
        <v>0</v>
      </c>
      <c r="H89" s="11"/>
      <c r="I89" s="11"/>
      <c r="J89" s="11"/>
      <c r="K89" s="11">
        <f>180500</f>
        <v>180500</v>
      </c>
      <c r="L89" s="14">
        <f t="shared" si="2"/>
        <v>480500</v>
      </c>
    </row>
    <row r="90" spans="1:12">
      <c r="A90" s="7">
        <v>86</v>
      </c>
      <c r="B90" s="8" t="s">
        <v>195</v>
      </c>
      <c r="C90" s="49" t="s">
        <v>379</v>
      </c>
      <c r="D90" s="7" t="s">
        <v>196</v>
      </c>
      <c r="E90" s="7"/>
      <c r="F90" s="9">
        <v>300000</v>
      </c>
      <c r="G90" s="10">
        <v>0</v>
      </c>
      <c r="H90" s="11"/>
      <c r="I90" s="11"/>
      <c r="J90" s="11"/>
      <c r="K90" s="11"/>
      <c r="L90" s="14">
        <f t="shared" si="2"/>
        <v>300000</v>
      </c>
    </row>
    <row r="91" spans="1:12">
      <c r="A91" s="7">
        <v>87</v>
      </c>
      <c r="B91" s="8" t="s">
        <v>197</v>
      </c>
      <c r="C91" s="49" t="s">
        <v>380</v>
      </c>
      <c r="D91" s="7" t="s">
        <v>198</v>
      </c>
      <c r="E91" s="7"/>
      <c r="F91" s="9">
        <v>300000</v>
      </c>
      <c r="G91" s="10">
        <v>0</v>
      </c>
      <c r="H91" s="11">
        <f>1250000</f>
        <v>1250000</v>
      </c>
      <c r="I91" s="11">
        <v>281250</v>
      </c>
      <c r="J91" s="11"/>
      <c r="K91" s="11"/>
      <c r="L91" s="14">
        <f t="shared" si="2"/>
        <v>1831250</v>
      </c>
    </row>
    <row r="92" spans="1:12">
      <c r="A92" s="7">
        <v>88</v>
      </c>
      <c r="B92" s="8" t="s">
        <v>199</v>
      </c>
      <c r="C92" s="49" t="s">
        <v>381</v>
      </c>
      <c r="D92" s="7" t="s">
        <v>200</v>
      </c>
      <c r="E92" s="7"/>
      <c r="F92" s="9">
        <v>300000</v>
      </c>
      <c r="G92" s="10">
        <v>0</v>
      </c>
      <c r="H92" s="11"/>
      <c r="I92" s="11"/>
      <c r="J92" s="11"/>
      <c r="K92" s="11"/>
      <c r="L92" s="14">
        <f t="shared" si="2"/>
        <v>300000</v>
      </c>
    </row>
    <row r="93" spans="1:12">
      <c r="A93" s="15">
        <v>89</v>
      </c>
      <c r="B93" s="8" t="s">
        <v>201</v>
      </c>
      <c r="C93" s="49" t="s">
        <v>382</v>
      </c>
      <c r="D93" s="7" t="s">
        <v>202</v>
      </c>
      <c r="E93" s="7"/>
      <c r="F93" s="9">
        <v>300000</v>
      </c>
      <c r="G93" s="10">
        <v>200000</v>
      </c>
      <c r="H93" s="11">
        <f>1000000</f>
        <v>1000000</v>
      </c>
      <c r="I93" s="11">
        <v>225000</v>
      </c>
      <c r="J93" s="11"/>
      <c r="K93" s="11">
        <f>3600+127500+26250</f>
        <v>157350</v>
      </c>
      <c r="L93" s="14">
        <f t="shared" si="2"/>
        <v>1882350</v>
      </c>
    </row>
    <row r="94" spans="1:12">
      <c r="A94" s="7">
        <v>90</v>
      </c>
      <c r="B94" s="8" t="s">
        <v>203</v>
      </c>
      <c r="C94" s="49" t="s">
        <v>383</v>
      </c>
      <c r="D94" s="47" t="s">
        <v>14</v>
      </c>
      <c r="E94" s="7"/>
      <c r="F94" s="9">
        <v>300000</v>
      </c>
      <c r="G94" s="10">
        <v>0</v>
      </c>
      <c r="H94" s="11"/>
      <c r="I94" s="11"/>
      <c r="J94" s="11"/>
      <c r="K94" s="11"/>
      <c r="L94" s="14">
        <f t="shared" si="2"/>
        <v>300000</v>
      </c>
    </row>
    <row r="95" spans="1:12">
      <c r="A95" s="7">
        <v>91</v>
      </c>
      <c r="B95" s="8" t="s">
        <v>204</v>
      </c>
      <c r="C95" s="49" t="s">
        <v>384</v>
      </c>
      <c r="D95" s="7" t="s">
        <v>205</v>
      </c>
      <c r="E95" s="7"/>
      <c r="F95" s="9">
        <v>300000</v>
      </c>
      <c r="G95" s="10">
        <v>0</v>
      </c>
      <c r="H95" s="11">
        <v>2833333</v>
      </c>
      <c r="I95" s="11">
        <v>382500</v>
      </c>
      <c r="J95" s="11"/>
      <c r="K95" s="11"/>
      <c r="L95" s="14">
        <f t="shared" si="2"/>
        <v>3515833</v>
      </c>
    </row>
    <row r="96" spans="1:12">
      <c r="A96" s="7">
        <v>92</v>
      </c>
      <c r="B96" s="8" t="s">
        <v>206</v>
      </c>
      <c r="C96" s="49" t="s">
        <v>385</v>
      </c>
      <c r="D96" s="7" t="s">
        <v>207</v>
      </c>
      <c r="E96" s="7"/>
      <c r="F96" s="9">
        <v>300000</v>
      </c>
      <c r="G96" s="10">
        <v>0</v>
      </c>
      <c r="H96" s="11"/>
      <c r="I96" s="11"/>
      <c r="J96" s="11"/>
      <c r="K96" s="11"/>
      <c r="L96" s="14">
        <f t="shared" si="2"/>
        <v>300000</v>
      </c>
    </row>
    <row r="97" spans="1:12">
      <c r="A97" s="7">
        <v>93</v>
      </c>
      <c r="B97" s="8" t="s">
        <v>208</v>
      </c>
      <c r="C97" s="49" t="s">
        <v>386</v>
      </c>
      <c r="D97" s="7" t="s">
        <v>209</v>
      </c>
      <c r="E97" s="7"/>
      <c r="F97" s="9">
        <v>300000</v>
      </c>
      <c r="G97" s="10">
        <v>500000</v>
      </c>
      <c r="H97" s="11">
        <f>1000000</f>
        <v>1000000</v>
      </c>
      <c r="I97" s="11">
        <f>225000</f>
        <v>225000</v>
      </c>
      <c r="J97" s="11"/>
      <c r="K97" s="11"/>
      <c r="L97" s="14">
        <f t="shared" si="2"/>
        <v>2025000</v>
      </c>
    </row>
    <row r="98" spans="1:12">
      <c r="A98" s="15">
        <v>94</v>
      </c>
      <c r="B98" s="8" t="s">
        <v>210</v>
      </c>
      <c r="C98" s="49" t="s">
        <v>387</v>
      </c>
      <c r="D98" s="7" t="s">
        <v>211</v>
      </c>
      <c r="E98" s="7"/>
      <c r="F98" s="9">
        <v>300000</v>
      </c>
      <c r="G98" s="10">
        <v>0</v>
      </c>
      <c r="H98" s="11">
        <f>1428571+500000</f>
        <v>1928571</v>
      </c>
      <c r="I98" s="11">
        <v>500000</v>
      </c>
      <c r="J98" s="11"/>
      <c r="K98" s="11"/>
      <c r="L98" s="14">
        <f t="shared" si="2"/>
        <v>2728571</v>
      </c>
    </row>
    <row r="99" spans="1:12">
      <c r="A99" s="7">
        <v>95</v>
      </c>
      <c r="B99" s="8" t="s">
        <v>212</v>
      </c>
      <c r="C99" s="49" t="s">
        <v>388</v>
      </c>
      <c r="D99" s="7" t="s">
        <v>213</v>
      </c>
      <c r="E99" s="7"/>
      <c r="F99" s="9">
        <v>300000</v>
      </c>
      <c r="G99" s="10">
        <v>0</v>
      </c>
      <c r="H99" s="11">
        <v>7352755</v>
      </c>
      <c r="I99" s="11">
        <v>1654370</v>
      </c>
      <c r="J99" s="11"/>
      <c r="K99" s="11">
        <f>135000+573500+329000+58500</f>
        <v>1096000</v>
      </c>
      <c r="L99" s="14">
        <f t="shared" si="2"/>
        <v>10403125</v>
      </c>
    </row>
    <row r="100" spans="1:12">
      <c r="A100" s="7">
        <v>96</v>
      </c>
      <c r="B100" s="8" t="s">
        <v>214</v>
      </c>
      <c r="C100" s="49" t="s">
        <v>389</v>
      </c>
      <c r="D100" s="7" t="s">
        <v>215</v>
      </c>
      <c r="E100" s="7"/>
      <c r="F100" s="9">
        <v>300000</v>
      </c>
      <c r="G100" s="10">
        <v>0</v>
      </c>
      <c r="H100" s="11">
        <v>2156640</v>
      </c>
      <c r="I100" s="11">
        <v>323496</v>
      </c>
      <c r="J100" s="11"/>
      <c r="K100" s="11"/>
      <c r="L100" s="14">
        <f t="shared" si="2"/>
        <v>2780136</v>
      </c>
    </row>
    <row r="101" spans="1:12">
      <c r="A101" s="7">
        <v>97</v>
      </c>
      <c r="B101" s="8" t="s">
        <v>216</v>
      </c>
      <c r="C101" s="49" t="s">
        <v>390</v>
      </c>
      <c r="D101" s="7" t="s">
        <v>217</v>
      </c>
      <c r="E101" s="7"/>
      <c r="F101" s="9">
        <v>300000</v>
      </c>
      <c r="G101" s="10">
        <v>0</v>
      </c>
      <c r="H101" s="11"/>
      <c r="I101" s="11"/>
      <c r="J101" s="11"/>
      <c r="K101" s="11">
        <f>123000</f>
        <v>123000</v>
      </c>
      <c r="L101" s="14">
        <f t="shared" ref="L101:L132" si="3">SUM(E101:K101)</f>
        <v>423000</v>
      </c>
    </row>
    <row r="102" spans="1:12">
      <c r="A102" s="7">
        <v>98</v>
      </c>
      <c r="B102" s="8" t="s">
        <v>218</v>
      </c>
      <c r="C102" s="49" t="s">
        <v>391</v>
      </c>
      <c r="D102" s="7" t="s">
        <v>219</v>
      </c>
      <c r="E102" s="7"/>
      <c r="F102" s="9">
        <v>300000</v>
      </c>
      <c r="G102" s="10">
        <v>0</v>
      </c>
      <c r="H102" s="11"/>
      <c r="I102" s="11"/>
      <c r="J102" s="11"/>
      <c r="K102" s="11"/>
      <c r="L102" s="14">
        <f t="shared" si="3"/>
        <v>300000</v>
      </c>
    </row>
    <row r="103" spans="1:12">
      <c r="A103" s="15">
        <v>99</v>
      </c>
      <c r="B103" s="8" t="s">
        <v>220</v>
      </c>
      <c r="C103" s="49" t="s">
        <v>392</v>
      </c>
      <c r="D103" s="7" t="s">
        <v>221</v>
      </c>
      <c r="E103" s="7"/>
      <c r="F103" s="9">
        <v>300000</v>
      </c>
      <c r="G103" s="10">
        <v>0</v>
      </c>
      <c r="H103" s="11"/>
      <c r="I103" s="11"/>
      <c r="J103" s="11"/>
      <c r="K103" s="11">
        <f>593500</f>
        <v>593500</v>
      </c>
      <c r="L103" s="14">
        <f t="shared" si="3"/>
        <v>893500</v>
      </c>
    </row>
    <row r="104" spans="1:12">
      <c r="A104" s="7">
        <v>100</v>
      </c>
      <c r="B104" s="8" t="s">
        <v>279</v>
      </c>
      <c r="C104" s="49" t="s">
        <v>393</v>
      </c>
      <c r="D104" s="7" t="s">
        <v>222</v>
      </c>
      <c r="E104" s="7"/>
      <c r="F104" s="9">
        <v>300000</v>
      </c>
      <c r="G104" s="10">
        <v>1000000</v>
      </c>
      <c r="H104" s="11"/>
      <c r="I104" s="11"/>
      <c r="J104" s="11"/>
      <c r="K104" s="11">
        <f>460100</f>
        <v>460100</v>
      </c>
      <c r="L104" s="14">
        <f t="shared" si="3"/>
        <v>1760100</v>
      </c>
    </row>
    <row r="105" spans="1:12">
      <c r="A105" s="7">
        <v>101</v>
      </c>
      <c r="B105" s="8" t="s">
        <v>223</v>
      </c>
      <c r="C105" s="49" t="s">
        <v>394</v>
      </c>
      <c r="D105" s="7" t="s">
        <v>224</v>
      </c>
      <c r="E105" s="7"/>
      <c r="F105" s="9">
        <v>300000</v>
      </c>
      <c r="G105" s="10">
        <v>0</v>
      </c>
      <c r="H105" s="11">
        <f>898104+500000</f>
        <v>1398104</v>
      </c>
      <c r="I105" s="11">
        <v>323318</v>
      </c>
      <c r="J105" s="11"/>
      <c r="K105" s="11"/>
      <c r="L105" s="14">
        <f t="shared" si="3"/>
        <v>2021422</v>
      </c>
    </row>
    <row r="106" spans="1:12">
      <c r="A106" s="7">
        <v>102</v>
      </c>
      <c r="B106" s="8" t="s">
        <v>225</v>
      </c>
      <c r="C106" s="49" t="s">
        <v>395</v>
      </c>
      <c r="D106" s="7" t="s">
        <v>226</v>
      </c>
      <c r="E106" s="7"/>
      <c r="F106" s="9">
        <v>300000</v>
      </c>
      <c r="G106" s="10">
        <v>0</v>
      </c>
      <c r="H106" s="11">
        <v>360000</v>
      </c>
      <c r="I106" s="11">
        <v>81000</v>
      </c>
      <c r="J106" s="11"/>
      <c r="K106" s="11"/>
      <c r="L106" s="14">
        <f t="shared" si="3"/>
        <v>741000</v>
      </c>
    </row>
    <row r="107" spans="1:12">
      <c r="A107" s="7">
        <v>103</v>
      </c>
      <c r="B107" s="8" t="s">
        <v>227</v>
      </c>
      <c r="C107" s="49" t="s">
        <v>396</v>
      </c>
      <c r="D107" s="7" t="s">
        <v>228</v>
      </c>
      <c r="E107" s="7"/>
      <c r="F107" s="9">
        <v>300000</v>
      </c>
      <c r="G107" s="10">
        <v>0</v>
      </c>
      <c r="H107" s="11">
        <v>800000</v>
      </c>
      <c r="I107" s="11">
        <v>180000</v>
      </c>
      <c r="J107" s="11"/>
      <c r="K107" s="11"/>
      <c r="L107" s="14">
        <f t="shared" si="3"/>
        <v>1280000</v>
      </c>
    </row>
    <row r="108" spans="1:12">
      <c r="A108" s="15">
        <v>104</v>
      </c>
      <c r="B108" s="8" t="s">
        <v>229</v>
      </c>
      <c r="C108" s="49" t="s">
        <v>397</v>
      </c>
      <c r="D108" s="7" t="s">
        <v>230</v>
      </c>
      <c r="E108" s="7"/>
      <c r="F108" s="9">
        <v>300000</v>
      </c>
      <c r="G108" s="10"/>
      <c r="H108" s="10">
        <v>5000000</v>
      </c>
      <c r="I108" s="11">
        <v>1125000</v>
      </c>
      <c r="J108" s="11"/>
      <c r="K108" s="11">
        <f>336500+1132000</f>
        <v>1468500</v>
      </c>
      <c r="L108" s="14">
        <f t="shared" si="3"/>
        <v>7893500</v>
      </c>
    </row>
    <row r="109" spans="1:12">
      <c r="A109" s="7">
        <v>105</v>
      </c>
      <c r="B109" s="8" t="s">
        <v>231</v>
      </c>
      <c r="C109" s="49" t="s">
        <v>398</v>
      </c>
      <c r="D109" s="7" t="s">
        <v>232</v>
      </c>
      <c r="E109" s="7"/>
      <c r="F109" s="9">
        <v>300000</v>
      </c>
      <c r="G109" s="10">
        <v>0</v>
      </c>
      <c r="H109" s="11"/>
      <c r="I109" s="11"/>
      <c r="J109" s="11"/>
      <c r="K109" s="11"/>
      <c r="L109" s="14">
        <f t="shared" si="3"/>
        <v>300000</v>
      </c>
    </row>
    <row r="110" spans="1:12">
      <c r="A110" s="7">
        <v>106</v>
      </c>
      <c r="B110" s="8" t="s">
        <v>233</v>
      </c>
      <c r="C110" s="49" t="s">
        <v>399</v>
      </c>
      <c r="D110" s="7" t="s">
        <v>234</v>
      </c>
      <c r="E110" s="7"/>
      <c r="F110" s="9">
        <v>300000</v>
      </c>
      <c r="G110" s="10">
        <v>0</v>
      </c>
      <c r="H110" s="11">
        <f>2130934+944028</f>
        <v>3074962</v>
      </c>
      <c r="I110" s="11">
        <f>362259+330410</f>
        <v>692669</v>
      </c>
      <c r="J110" s="11"/>
      <c r="K110" s="11"/>
      <c r="L110" s="14">
        <f t="shared" si="3"/>
        <v>4067631</v>
      </c>
    </row>
    <row r="111" spans="1:12">
      <c r="A111" s="7">
        <v>107</v>
      </c>
      <c r="B111" s="8" t="s">
        <v>235</v>
      </c>
      <c r="C111" s="49" t="s">
        <v>400</v>
      </c>
      <c r="D111" s="7" t="s">
        <v>236</v>
      </c>
      <c r="E111" s="7"/>
      <c r="F111" s="9">
        <v>300000</v>
      </c>
      <c r="G111" s="10">
        <v>0</v>
      </c>
      <c r="H111" s="11"/>
      <c r="I111" s="11"/>
      <c r="J111" s="11"/>
      <c r="K111" s="11">
        <f>28750+28750</f>
        <v>57500</v>
      </c>
      <c r="L111" s="14">
        <f t="shared" si="3"/>
        <v>357500</v>
      </c>
    </row>
    <row r="112" spans="1:12">
      <c r="A112" s="7">
        <v>108</v>
      </c>
      <c r="B112" s="8" t="s">
        <v>237</v>
      </c>
      <c r="C112" s="49" t="s">
        <v>401</v>
      </c>
      <c r="D112" s="7" t="s">
        <v>238</v>
      </c>
      <c r="E112" s="7"/>
      <c r="F112" s="9">
        <v>300000</v>
      </c>
      <c r="G112" s="10">
        <v>5000000</v>
      </c>
      <c r="H112" s="11"/>
      <c r="I112" s="11"/>
      <c r="J112" s="11"/>
      <c r="K112" s="11"/>
      <c r="L112" s="14">
        <f t="shared" si="3"/>
        <v>5300000</v>
      </c>
    </row>
    <row r="113" spans="1:12">
      <c r="A113" s="15">
        <v>109</v>
      </c>
      <c r="B113" s="8" t="s">
        <v>239</v>
      </c>
      <c r="C113" s="49" t="s">
        <v>402</v>
      </c>
      <c r="D113" s="7" t="s">
        <v>240</v>
      </c>
      <c r="E113" s="7"/>
      <c r="F113" s="9">
        <v>300000</v>
      </c>
      <c r="G113" s="10"/>
      <c r="H113" s="11">
        <f>730000</f>
        <v>730000</v>
      </c>
      <c r="I113" s="11">
        <v>164250</v>
      </c>
      <c r="J113" s="11"/>
      <c r="K113" s="11">
        <f>85000</f>
        <v>85000</v>
      </c>
      <c r="L113" s="14">
        <f t="shared" si="3"/>
        <v>1279250</v>
      </c>
    </row>
    <row r="114" spans="1:12">
      <c r="A114" s="7">
        <v>110</v>
      </c>
      <c r="B114" s="8" t="s">
        <v>241</v>
      </c>
      <c r="C114" s="49" t="s">
        <v>403</v>
      </c>
      <c r="D114" s="7" t="s">
        <v>242</v>
      </c>
      <c r="E114" s="7"/>
      <c r="F114" s="9">
        <v>300000</v>
      </c>
      <c r="G114" s="10"/>
      <c r="H114" s="11">
        <v>3125000</v>
      </c>
      <c r="I114" s="11">
        <v>703125</v>
      </c>
      <c r="J114" s="11"/>
      <c r="K114" s="11">
        <f>144500</f>
        <v>144500</v>
      </c>
      <c r="L114" s="14">
        <f t="shared" si="3"/>
        <v>4272625</v>
      </c>
    </row>
    <row r="115" spans="1:12">
      <c r="A115" s="7">
        <v>111</v>
      </c>
      <c r="B115" s="8" t="s">
        <v>243</v>
      </c>
      <c r="C115" s="49" t="s">
        <v>404</v>
      </c>
      <c r="D115" s="7" t="s">
        <v>244</v>
      </c>
      <c r="E115" s="7"/>
      <c r="F115" s="9">
        <v>300000</v>
      </c>
      <c r="G115" s="10"/>
      <c r="H115" s="11">
        <v>1283750</v>
      </c>
      <c r="I115" s="11">
        <v>288844</v>
      </c>
      <c r="J115" s="11"/>
      <c r="K115" s="11"/>
      <c r="L115" s="14">
        <f t="shared" si="3"/>
        <v>1872594</v>
      </c>
    </row>
    <row r="116" spans="1:12">
      <c r="A116" s="7">
        <v>112</v>
      </c>
      <c r="B116" s="8" t="s">
        <v>245</v>
      </c>
      <c r="C116" s="49" t="s">
        <v>405</v>
      </c>
      <c r="D116" s="7" t="s">
        <v>246</v>
      </c>
      <c r="E116" s="7"/>
      <c r="F116" s="9">
        <v>300000</v>
      </c>
      <c r="G116" s="10"/>
      <c r="H116" s="11"/>
      <c r="I116" s="11"/>
      <c r="J116" s="11"/>
      <c r="K116" s="11"/>
      <c r="L116" s="14">
        <f t="shared" si="3"/>
        <v>300000</v>
      </c>
    </row>
    <row r="117" spans="1:12">
      <c r="A117" s="7">
        <v>113</v>
      </c>
      <c r="B117" s="8" t="s">
        <v>247</v>
      </c>
      <c r="C117" s="49" t="s">
        <v>406</v>
      </c>
      <c r="D117" s="7" t="s">
        <v>284</v>
      </c>
      <c r="E117" s="7"/>
      <c r="F117" s="9">
        <v>300000</v>
      </c>
      <c r="G117" s="43">
        <v>3000000</v>
      </c>
      <c r="H117" s="11"/>
      <c r="I117" s="11"/>
      <c r="J117" s="11"/>
      <c r="K117" s="11"/>
      <c r="L117" s="14">
        <f t="shared" si="3"/>
        <v>3300000</v>
      </c>
    </row>
    <row r="118" spans="1:12">
      <c r="A118" s="15">
        <v>114</v>
      </c>
      <c r="B118" s="8" t="s">
        <v>248</v>
      </c>
      <c r="C118" s="49" t="s">
        <v>407</v>
      </c>
      <c r="D118" s="7" t="s">
        <v>249</v>
      </c>
      <c r="E118" s="7"/>
      <c r="F118" s="9">
        <v>300000</v>
      </c>
      <c r="G118" s="10"/>
      <c r="H118" s="11">
        <f>500000+2500000</f>
        <v>3000000</v>
      </c>
      <c r="I118" s="11">
        <f>562500</f>
        <v>562500</v>
      </c>
      <c r="J118" s="11"/>
      <c r="K118" s="11">
        <f>137250+97500+27000</f>
        <v>261750</v>
      </c>
      <c r="L118" s="14">
        <f t="shared" si="3"/>
        <v>4124250</v>
      </c>
    </row>
    <row r="119" spans="1:12">
      <c r="A119" s="7">
        <v>115</v>
      </c>
      <c r="B119" s="8" t="s">
        <v>250</v>
      </c>
      <c r="C119" s="49" t="s">
        <v>408</v>
      </c>
      <c r="D119" s="7" t="s">
        <v>285</v>
      </c>
      <c r="E119" s="7"/>
      <c r="F119" s="9">
        <v>300000</v>
      </c>
      <c r="G119" s="10">
        <v>500000</v>
      </c>
      <c r="H119" s="11"/>
      <c r="I119" s="11"/>
      <c r="J119" s="11"/>
      <c r="K119" s="11"/>
      <c r="L119" s="14">
        <f t="shared" si="3"/>
        <v>800000</v>
      </c>
    </row>
    <row r="120" spans="1:12">
      <c r="A120" s="7">
        <v>116</v>
      </c>
      <c r="B120" s="8" t="s">
        <v>251</v>
      </c>
      <c r="C120" s="49" t="s">
        <v>409</v>
      </c>
      <c r="D120" s="7" t="s">
        <v>252</v>
      </c>
      <c r="E120" s="7"/>
      <c r="F120" s="9">
        <v>300000</v>
      </c>
      <c r="G120" s="10"/>
      <c r="H120" s="11"/>
      <c r="I120" s="11"/>
      <c r="J120" s="11"/>
      <c r="K120" s="11"/>
      <c r="L120" s="14">
        <f t="shared" si="3"/>
        <v>300000</v>
      </c>
    </row>
    <row r="121" spans="1:12">
      <c r="A121" s="7">
        <v>117</v>
      </c>
      <c r="B121" s="8" t="s">
        <v>253</v>
      </c>
      <c r="C121" s="49" t="s">
        <v>410</v>
      </c>
      <c r="D121" s="7" t="s">
        <v>254</v>
      </c>
      <c r="E121" s="7"/>
      <c r="F121" s="9">
        <v>300000</v>
      </c>
      <c r="G121" s="10"/>
      <c r="H121" s="11">
        <f>1000000+890625</f>
        <v>1890625</v>
      </c>
      <c r="I121" s="11">
        <f>225000+200391</f>
        <v>425391</v>
      </c>
      <c r="J121" s="11"/>
      <c r="K121" s="11"/>
      <c r="L121" s="14">
        <f t="shared" si="3"/>
        <v>2616016</v>
      </c>
    </row>
    <row r="122" spans="1:12">
      <c r="A122" s="7">
        <v>118</v>
      </c>
      <c r="B122" s="8" t="s">
        <v>255</v>
      </c>
      <c r="C122" s="49" t="s">
        <v>411</v>
      </c>
      <c r="D122" s="47" t="s">
        <v>17</v>
      </c>
      <c r="E122" s="7"/>
      <c r="F122" s="9">
        <v>300000</v>
      </c>
      <c r="G122" s="10"/>
      <c r="H122" s="11"/>
      <c r="I122" s="11"/>
      <c r="J122" s="11"/>
      <c r="K122" s="11"/>
      <c r="L122" s="14">
        <f t="shared" si="3"/>
        <v>300000</v>
      </c>
    </row>
    <row r="123" spans="1:12">
      <c r="A123" s="15">
        <v>119</v>
      </c>
      <c r="B123" s="8" t="s">
        <v>256</v>
      </c>
      <c r="C123" s="49" t="s">
        <v>412</v>
      </c>
      <c r="D123" s="7" t="s">
        <v>257</v>
      </c>
      <c r="E123" s="7"/>
      <c r="F123" s="9">
        <v>300000</v>
      </c>
      <c r="G123" s="10"/>
      <c r="H123" s="11"/>
      <c r="I123" s="11"/>
      <c r="J123" s="11"/>
      <c r="K123" s="11"/>
      <c r="L123" s="14">
        <f t="shared" si="3"/>
        <v>300000</v>
      </c>
    </row>
    <row r="124" spans="1:12">
      <c r="A124" s="7">
        <v>120</v>
      </c>
      <c r="B124" s="8" t="s">
        <v>278</v>
      </c>
      <c r="C124" s="49" t="s">
        <v>413</v>
      </c>
      <c r="D124" s="47" t="s">
        <v>18</v>
      </c>
      <c r="E124" s="7"/>
      <c r="F124" s="9">
        <v>300000</v>
      </c>
      <c r="G124" s="10"/>
      <c r="H124" s="11">
        <v>250000</v>
      </c>
      <c r="I124" s="11">
        <v>56250</v>
      </c>
      <c r="J124" s="11"/>
      <c r="K124" s="11"/>
      <c r="L124" s="14">
        <f t="shared" si="3"/>
        <v>606250</v>
      </c>
    </row>
    <row r="125" spans="1:12">
      <c r="A125" s="7">
        <v>121</v>
      </c>
      <c r="B125" s="8" t="s">
        <v>258</v>
      </c>
      <c r="C125" s="49" t="s">
        <v>414</v>
      </c>
      <c r="D125" s="7" t="s">
        <v>259</v>
      </c>
      <c r="E125" s="7"/>
      <c r="F125" s="9">
        <v>300000</v>
      </c>
      <c r="G125" s="10"/>
      <c r="H125" s="11"/>
      <c r="I125" s="11"/>
      <c r="J125" s="11"/>
      <c r="K125" s="11"/>
      <c r="L125" s="14">
        <f t="shared" si="3"/>
        <v>300000</v>
      </c>
    </row>
    <row r="126" spans="1:12">
      <c r="A126" s="7">
        <v>122</v>
      </c>
      <c r="B126" s="8" t="s">
        <v>260</v>
      </c>
      <c r="C126" s="49" t="s">
        <v>415</v>
      </c>
      <c r="D126" s="47" t="s">
        <v>20</v>
      </c>
      <c r="E126" s="7"/>
      <c r="F126" s="9">
        <v>300000</v>
      </c>
      <c r="G126" s="10"/>
      <c r="H126" s="11">
        <f>660000+889167</f>
        <v>1549167</v>
      </c>
      <c r="I126" s="11">
        <f>148500+200063</f>
        <v>348563</v>
      </c>
      <c r="J126" s="11"/>
      <c r="K126" s="11">
        <f>5000</f>
        <v>5000</v>
      </c>
      <c r="L126" s="14">
        <f t="shared" si="3"/>
        <v>2202730</v>
      </c>
    </row>
    <row r="127" spans="1:12">
      <c r="A127" s="7">
        <v>123</v>
      </c>
      <c r="B127" s="8" t="s">
        <v>261</v>
      </c>
      <c r="C127" s="49" t="s">
        <v>416</v>
      </c>
      <c r="D127" s="7" t="s">
        <v>262</v>
      </c>
      <c r="E127" s="7"/>
      <c r="F127" s="9">
        <v>300000</v>
      </c>
      <c r="G127" s="10"/>
      <c r="H127" s="11">
        <v>3750000</v>
      </c>
      <c r="I127" s="11">
        <v>843750</v>
      </c>
      <c r="J127" s="11"/>
      <c r="K127" s="11"/>
      <c r="L127" s="14">
        <f t="shared" si="3"/>
        <v>4893750</v>
      </c>
    </row>
    <row r="128" spans="1:12">
      <c r="A128" s="15">
        <v>124</v>
      </c>
      <c r="B128" s="8" t="s">
        <v>263</v>
      </c>
      <c r="C128" s="49" t="s">
        <v>417</v>
      </c>
      <c r="D128" s="7" t="s">
        <v>264</v>
      </c>
      <c r="E128" s="7"/>
      <c r="F128" s="9">
        <v>300000</v>
      </c>
      <c r="G128" s="10"/>
      <c r="H128" s="11"/>
      <c r="I128" s="11"/>
      <c r="J128" s="11"/>
      <c r="K128" s="11"/>
      <c r="L128" s="14">
        <f t="shared" si="3"/>
        <v>300000</v>
      </c>
    </row>
    <row r="129" spans="1:12">
      <c r="A129" s="7">
        <v>125</v>
      </c>
      <c r="B129" s="8" t="s">
        <v>265</v>
      </c>
      <c r="C129" s="49" t="s">
        <v>418</v>
      </c>
      <c r="D129" s="7" t="s">
        <v>266</v>
      </c>
      <c r="E129" s="7"/>
      <c r="F129" s="9">
        <v>300000</v>
      </c>
      <c r="G129" s="10"/>
      <c r="H129" s="11"/>
      <c r="I129" s="11"/>
      <c r="J129" s="11"/>
      <c r="K129" s="11"/>
      <c r="L129" s="14">
        <f t="shared" si="3"/>
        <v>300000</v>
      </c>
    </row>
    <row r="130" spans="1:12">
      <c r="A130" s="7">
        <v>126</v>
      </c>
      <c r="B130" s="8" t="s">
        <v>267</v>
      </c>
      <c r="C130" s="49" t="s">
        <v>419</v>
      </c>
      <c r="D130" s="7" t="s">
        <v>268</v>
      </c>
      <c r="E130" s="7"/>
      <c r="F130" s="9">
        <v>300000</v>
      </c>
      <c r="G130" s="10"/>
      <c r="H130" s="11">
        <f>845833+1000000</f>
        <v>1845833</v>
      </c>
      <c r="I130" s="11">
        <f>190313+225000</f>
        <v>415313</v>
      </c>
      <c r="J130" s="11"/>
      <c r="K130" s="11"/>
      <c r="L130" s="14">
        <f t="shared" si="3"/>
        <v>2561146</v>
      </c>
    </row>
    <row r="131" spans="1:12">
      <c r="A131" s="7">
        <v>127</v>
      </c>
      <c r="B131" s="8" t="s">
        <v>269</v>
      </c>
      <c r="C131" s="49" t="s">
        <v>420</v>
      </c>
      <c r="D131" s="7" t="s">
        <v>270</v>
      </c>
      <c r="E131" s="7"/>
      <c r="F131" s="9">
        <v>300000</v>
      </c>
      <c r="G131" s="10"/>
      <c r="H131" s="11"/>
      <c r="I131" s="11"/>
      <c r="J131" s="11"/>
      <c r="K131" s="11"/>
      <c r="L131" s="14">
        <f t="shared" si="3"/>
        <v>300000</v>
      </c>
    </row>
    <row r="132" spans="1:12">
      <c r="A132" s="7">
        <v>128</v>
      </c>
      <c r="B132" s="8" t="s">
        <v>271</v>
      </c>
      <c r="C132" s="49" t="s">
        <v>421</v>
      </c>
      <c r="D132" s="7" t="s">
        <v>272</v>
      </c>
      <c r="E132" s="7"/>
      <c r="F132" s="9">
        <v>300000</v>
      </c>
      <c r="G132" s="10">
        <v>500000</v>
      </c>
      <c r="H132" s="11">
        <f>389300+331900</f>
        <v>721200</v>
      </c>
      <c r="I132" s="11">
        <f>87593+74678</f>
        <v>162271</v>
      </c>
      <c r="J132" s="11"/>
      <c r="K132" s="11"/>
      <c r="L132" s="14">
        <f t="shared" si="3"/>
        <v>1683471</v>
      </c>
    </row>
    <row r="133" spans="1:12">
      <c r="A133" s="15"/>
      <c r="B133" s="16" t="s">
        <v>273</v>
      </c>
      <c r="C133" s="15"/>
      <c r="D133" s="15"/>
      <c r="E133" s="15"/>
      <c r="F133" s="17"/>
      <c r="G133" s="10"/>
      <c r="H133" s="11"/>
      <c r="I133" s="11"/>
      <c r="J133" s="11"/>
      <c r="K133" s="11"/>
      <c r="L133" s="14"/>
    </row>
    <row r="134" spans="1:12">
      <c r="A134" s="15">
        <v>129</v>
      </c>
      <c r="B134" s="8" t="s">
        <v>292</v>
      </c>
      <c r="C134" s="51" t="s">
        <v>276</v>
      </c>
      <c r="D134" s="7" t="s">
        <v>277</v>
      </c>
      <c r="E134" s="15"/>
      <c r="F134" s="17">
        <v>300000</v>
      </c>
      <c r="G134" s="10"/>
      <c r="H134" s="11"/>
      <c r="I134" s="11"/>
      <c r="J134" s="11"/>
      <c r="K134" s="11"/>
      <c r="L134" s="14">
        <f>SUM(E134:K134)</f>
        <v>300000</v>
      </c>
    </row>
    <row r="135" spans="1:12">
      <c r="A135" s="15">
        <v>130</v>
      </c>
      <c r="B135" s="8" t="s">
        <v>293</v>
      </c>
      <c r="C135" s="51" t="s">
        <v>423</v>
      </c>
      <c r="D135" s="47" t="s">
        <v>422</v>
      </c>
      <c r="E135" s="15">
        <v>100000</v>
      </c>
      <c r="F135" s="17">
        <v>300000</v>
      </c>
      <c r="G135" s="10"/>
      <c r="H135" s="11"/>
      <c r="I135" s="11"/>
      <c r="J135" s="11"/>
      <c r="K135" s="11"/>
      <c r="L135" s="14">
        <f>SUM(E135:K135)</f>
        <v>400000</v>
      </c>
    </row>
    <row r="136" spans="1:12">
      <c r="A136" s="15"/>
      <c r="B136" s="16"/>
      <c r="C136" s="15"/>
      <c r="D136" s="15"/>
      <c r="E136" s="15"/>
      <c r="F136" s="17"/>
      <c r="G136" s="10"/>
      <c r="H136" s="11"/>
      <c r="I136" s="11"/>
      <c r="J136" s="11"/>
      <c r="K136" s="11"/>
      <c r="L136" s="14"/>
    </row>
    <row r="137" spans="1:12">
      <c r="A137" s="15"/>
      <c r="B137" s="16"/>
      <c r="C137" s="15"/>
      <c r="D137" s="7"/>
      <c r="E137" s="15"/>
      <c r="F137" s="17"/>
      <c r="G137" s="10"/>
      <c r="H137" s="11"/>
      <c r="I137" s="11"/>
      <c r="J137" s="11"/>
      <c r="K137" s="11"/>
      <c r="L137" s="14"/>
    </row>
    <row r="138" spans="1:12">
      <c r="A138" s="15"/>
      <c r="B138" s="16"/>
      <c r="C138" s="15"/>
      <c r="D138" s="15"/>
      <c r="E138" s="15"/>
      <c r="F138" s="17"/>
      <c r="G138" s="10"/>
      <c r="H138" s="11"/>
      <c r="I138" s="11"/>
      <c r="J138" s="11"/>
      <c r="K138" s="11"/>
      <c r="L138" s="14"/>
    </row>
    <row r="139" spans="1:12">
      <c r="A139" s="15"/>
      <c r="B139" s="16"/>
      <c r="C139" s="15"/>
      <c r="D139" s="15"/>
      <c r="E139" s="15"/>
      <c r="F139" s="17"/>
      <c r="G139" s="10"/>
      <c r="H139" s="11"/>
      <c r="I139" s="11"/>
      <c r="J139" s="11"/>
      <c r="K139" s="11"/>
      <c r="L139" s="14"/>
    </row>
    <row r="140" spans="1:12">
      <c r="A140" s="15"/>
      <c r="B140" s="16"/>
      <c r="C140" s="15"/>
      <c r="D140" s="15"/>
      <c r="E140" s="15"/>
      <c r="F140" s="17"/>
      <c r="G140" s="10"/>
      <c r="H140" s="11"/>
      <c r="I140" s="11"/>
      <c r="J140" s="11"/>
      <c r="K140" s="11"/>
      <c r="L140" s="14"/>
    </row>
    <row r="141" spans="1:12" ht="15.75" thickBot="1">
      <c r="A141" s="15"/>
      <c r="B141" s="18"/>
      <c r="C141" s="41"/>
      <c r="D141" s="41"/>
      <c r="E141" s="19"/>
      <c r="F141" s="20"/>
      <c r="G141" s="10"/>
      <c r="H141" s="11"/>
      <c r="I141" s="11"/>
      <c r="J141" s="11"/>
      <c r="K141" s="11"/>
      <c r="L141" s="14"/>
    </row>
    <row r="142" spans="1:12" ht="16.5" thickTop="1" thickBot="1">
      <c r="A142" s="70" t="s">
        <v>3</v>
      </c>
      <c r="B142" s="71"/>
      <c r="C142" s="71"/>
      <c r="D142" s="72"/>
      <c r="E142" s="21">
        <f>SUM(E5:E141)</f>
        <v>100000</v>
      </c>
      <c r="F142" s="21">
        <f t="shared" ref="F142:L143" si="4">SUM(F5:F141)</f>
        <v>38700000</v>
      </c>
      <c r="G142" s="21">
        <f t="shared" si="4"/>
        <v>32550000</v>
      </c>
      <c r="H142" s="21">
        <f t="shared" si="4"/>
        <v>144220243</v>
      </c>
      <c r="I142" s="21">
        <f t="shared" si="4"/>
        <v>31068930</v>
      </c>
      <c r="J142" s="21">
        <f t="shared" si="4"/>
        <v>21483635</v>
      </c>
      <c r="K142" s="21">
        <f t="shared" si="4"/>
        <v>13226050</v>
      </c>
      <c r="L142" s="21"/>
    </row>
    <row r="143" spans="1:12" ht="16.5" thickTop="1" thickBot="1">
      <c r="E143" s="22"/>
      <c r="L143" s="21">
        <f t="shared" si="4"/>
        <v>274633415</v>
      </c>
    </row>
    <row r="144" spans="1:12">
      <c r="F144" s="23"/>
      <c r="G144" s="23"/>
      <c r="H144" s="23"/>
      <c r="I144" s="23"/>
      <c r="J144" s="23"/>
      <c r="K144" s="23"/>
      <c r="L144" s="23"/>
    </row>
    <row r="145" spans="6:12">
      <c r="F145" s="24"/>
      <c r="G145" s="24"/>
      <c r="H145" s="24"/>
      <c r="I145" s="24"/>
      <c r="J145" s="24"/>
      <c r="K145" s="24"/>
      <c r="L145" s="24"/>
    </row>
  </sheetData>
  <sortState xmlns:xlrd2="http://schemas.microsoft.com/office/spreadsheetml/2017/richdata2" ref="A5:L132">
    <sortCondition ref="A5:A132"/>
  </sortState>
  <mergeCells count="6">
    <mergeCell ref="E3:L3"/>
    <mergeCell ref="A142:D142"/>
    <mergeCell ref="A3:A4"/>
    <mergeCell ref="B3:B4"/>
    <mergeCell ref="C3:C4"/>
    <mergeCell ref="D3:D4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 Feb 2022</vt:lpstr>
      <vt:lpstr>Rincian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KPRI SEHAT</dc:creator>
  <cp:lastModifiedBy>KPRI SEHAT</cp:lastModifiedBy>
  <cp:lastPrinted>2022-01-25T06:07:00Z</cp:lastPrinted>
  <dcterms:created xsi:type="dcterms:W3CDTF">2020-02-03T13:53:00Z</dcterms:created>
  <dcterms:modified xsi:type="dcterms:W3CDTF">2022-02-18T10:14:50Z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EEBC4B0BA43E4B398EBCC83A05223FD7</vt:lpwstr>
  </property>
  <property fmtid="{D5CDD505-2E9C-101B-9397-08002B2CF9AE}" pid="3" name="KSOProductBuildVer">
    <vt:lpwstr>1033-11.2.0.10463</vt:lpwstr>
  </property>
</Properties>
</file>