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showInkAnnotation="0" defaultThemeVersion="124226"/>
  <mc:AlternateContent xmlns:mc="http://schemas.openxmlformats.org/markup-compatibility/2006">
    <mc:Choice Requires="x15">
      <x15ac:absPath xmlns:x15ac="http://schemas.microsoft.com/office/spreadsheetml/2010/11/ac" url="G:\Koperasi 2021\KPRI 2022\"/>
    </mc:Choice>
  </mc:AlternateContent>
  <xr:revisionPtr revIDLastSave="0" documentId="13_ncr:1_{EE9B4C88-877D-4A14-B2D9-CC080C39EDD3}" xr6:coauthVersionLast="46" xr6:coauthVersionMax="47" xr10:uidLastSave="{00000000-0000-0000-0000-000000000000}"/>
  <bookViews>
    <workbookView xWindow="-120" yWindow="-120" windowWidth="19440" windowHeight="11640" firstSheet="2" activeTab="7" xr2:uid="{00000000-000D-0000-FFFF-FFFF00000000}"/>
  </bookViews>
  <sheets>
    <sheet name="Anggota" sheetId="1" r:id="rId1"/>
    <sheet name="Kuitansi" sheetId="6" r:id="rId2"/>
    <sheet name="Perjanjian" sheetId="26" r:id="rId3"/>
    <sheet name="Angsuran Pokok" sheetId="2" r:id="rId4"/>
    <sheet name="Pembayaran" sheetId="3" r:id="rId5"/>
    <sheet name="Laporan" sheetId="4" r:id="rId6"/>
    <sheet name="LabaSHU" sheetId="8" r:id="rId7"/>
    <sheet name="Tagihan Bulanan" sheetId="5" r:id="rId8"/>
  </sheets>
  <definedNames>
    <definedName name="_xlnm._FilterDatabase" localSheetId="3" hidden="1">'Angsuran Pokok'!$B$3:$E$5</definedName>
    <definedName name="_xlnm._FilterDatabase" localSheetId="1" hidden="1">Kuitansi!$B$6:$K$8</definedName>
    <definedName name="_xlnm._FilterDatabase" localSheetId="5" hidden="1">Laporan!$B$6:$Q$43</definedName>
    <definedName name="_xlnm._FilterDatabase" localSheetId="4" hidden="1">Pembayaran!$B$4:$H$239</definedName>
    <definedName name="_xlcn.LinkedTable_Table41" hidden="1">#REF!</definedName>
    <definedName name="Apples">#REF!</definedName>
    <definedName name="Bananas">#REF!</definedName>
    <definedName name="grp_WalkMeArrows">"shp_ArrowCurved,txt_WalkMeArrows,shp_ArrowStraight"</definedName>
    <definedName name="grp_WalkMeBrace">"shp_BraceBottom,txt_WalkMeBrace,shp_BraceLeft"</definedName>
    <definedName name="Lemons">#REF!</definedName>
    <definedName name="lst_Fruit">#REF!</definedName>
    <definedName name="lst_FruitType">#REF!</definedName>
    <definedName name="Oranges">#REF!</definedName>
    <definedName name="rownum">#REF!</definedName>
    <definedName name="SalesTax">0.0825</definedName>
    <definedName name="Shipping">1.25</definedName>
  </definedNames>
  <calcPr calcId="191029"/>
</workbook>
</file>

<file path=xl/calcChain.xml><?xml version="1.0" encoding="utf-8"?>
<calcChain xmlns="http://schemas.openxmlformats.org/spreadsheetml/2006/main">
  <c r="F6" i="3" l="1"/>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5" i="3"/>
  <c r="E6" i="26"/>
  <c r="E40" i="26"/>
  <c r="E39" i="26"/>
  <c r="P12" i="6"/>
  <c r="I14" i="26"/>
  <c r="F5" i="2"/>
  <c r="I3" i="2"/>
  <c r="I4" i="2"/>
  <c r="N5" i="1"/>
  <c r="L5" i="1"/>
  <c r="L6" i="1"/>
  <c r="M6" i="1"/>
  <c r="L7" i="1"/>
  <c r="M7" i="1"/>
  <c r="L8" i="1"/>
  <c r="M8" i="1"/>
  <c r="L9" i="1"/>
  <c r="M9" i="1"/>
  <c r="L10" i="1"/>
  <c r="M10" i="1"/>
  <c r="L11" i="1"/>
  <c r="M11" i="1"/>
  <c r="L12" i="1"/>
  <c r="M12" i="1"/>
  <c r="L13" i="1"/>
  <c r="M13" i="1"/>
  <c r="L14" i="1"/>
  <c r="M14" i="1"/>
  <c r="L15" i="1"/>
  <c r="M15" i="1"/>
  <c r="L16" i="1"/>
  <c r="M16" i="1"/>
  <c r="L17" i="1"/>
  <c r="M17" i="1"/>
  <c r="L18" i="1"/>
  <c r="M18" i="1"/>
  <c r="L19" i="1"/>
  <c r="M19" i="1"/>
  <c r="L20" i="1"/>
  <c r="M20" i="1"/>
  <c r="L21" i="1"/>
  <c r="M21" i="1"/>
  <c r="L22" i="1"/>
  <c r="M22" i="1"/>
  <c r="L23" i="1"/>
  <c r="M23" i="1"/>
  <c r="L24" i="1"/>
  <c r="M24" i="1"/>
  <c r="L25" i="1"/>
  <c r="M25" i="1"/>
  <c r="L26" i="1"/>
  <c r="M26" i="1"/>
  <c r="L27" i="1"/>
  <c r="M27" i="1"/>
  <c r="L28" i="1"/>
  <c r="M28" i="1"/>
  <c r="L29" i="1"/>
  <c r="M29" i="1"/>
  <c r="L30" i="1"/>
  <c r="M30" i="1"/>
  <c r="L31" i="1"/>
  <c r="M31" i="1"/>
  <c r="L32" i="1"/>
  <c r="M32" i="1"/>
  <c r="L33" i="1"/>
  <c r="M33" i="1"/>
  <c r="L34" i="1"/>
  <c r="M34" i="1"/>
  <c r="L35" i="1"/>
  <c r="M35" i="1"/>
  <c r="L36" i="1"/>
  <c r="M36" i="1"/>
  <c r="L37" i="1"/>
  <c r="M37" i="1"/>
  <c r="L38" i="1"/>
  <c r="M38" i="1"/>
  <c r="L39" i="1"/>
  <c r="M39" i="1"/>
  <c r="L40" i="1"/>
  <c r="M40" i="1"/>
  <c r="L41" i="1"/>
  <c r="M41" i="1"/>
  <c r="L42" i="1"/>
  <c r="M42" i="1"/>
  <c r="L43" i="1"/>
  <c r="M43" i="1"/>
  <c r="L44" i="1"/>
  <c r="M44" i="1"/>
  <c r="L45" i="1"/>
  <c r="M45" i="1"/>
  <c r="L46" i="1"/>
  <c r="M46" i="1"/>
  <c r="L47" i="1"/>
  <c r="M47" i="1"/>
  <c r="L48" i="1"/>
  <c r="M48" i="1"/>
  <c r="L49" i="1"/>
  <c r="M49" i="1"/>
  <c r="L50" i="1"/>
  <c r="M50" i="1"/>
  <c r="L51" i="1"/>
  <c r="M51" i="1"/>
  <c r="L52" i="1"/>
  <c r="M52" i="1"/>
  <c r="L53" i="1"/>
  <c r="M53" i="1"/>
  <c r="L54" i="1"/>
  <c r="M54" i="1"/>
  <c r="L55" i="1"/>
  <c r="M55" i="1"/>
  <c r="L56" i="1"/>
  <c r="M56" i="1"/>
  <c r="L57" i="1"/>
  <c r="M57" i="1"/>
  <c r="L58" i="1"/>
  <c r="M58" i="1"/>
  <c r="L59" i="1"/>
  <c r="M59" i="1"/>
  <c r="L60" i="1"/>
  <c r="M60" i="1"/>
  <c r="L61" i="1"/>
  <c r="M61" i="1"/>
  <c r="L62" i="1"/>
  <c r="M62" i="1"/>
  <c r="L63" i="1"/>
  <c r="M63" i="1"/>
  <c r="L64" i="1"/>
  <c r="M64" i="1"/>
  <c r="L65" i="1"/>
  <c r="M65" i="1"/>
  <c r="L66" i="1"/>
  <c r="M66" i="1"/>
  <c r="L67" i="1"/>
  <c r="M67" i="1"/>
  <c r="L68" i="1"/>
  <c r="M68" i="1"/>
  <c r="L69" i="1"/>
  <c r="M69" i="1"/>
  <c r="L70" i="1"/>
  <c r="M70" i="1"/>
  <c r="L71" i="1"/>
  <c r="M71" i="1"/>
  <c r="L72" i="1"/>
  <c r="M72" i="1"/>
  <c r="L73" i="1"/>
  <c r="M73" i="1"/>
  <c r="L74" i="1"/>
  <c r="M74" i="1"/>
  <c r="L75" i="1"/>
  <c r="M75" i="1"/>
  <c r="L76" i="1"/>
  <c r="M76" i="1"/>
  <c r="L77" i="1"/>
  <c r="M77" i="1"/>
  <c r="L78" i="1"/>
  <c r="M78" i="1"/>
  <c r="L79" i="1"/>
  <c r="M79" i="1"/>
  <c r="L80" i="1"/>
  <c r="M80" i="1"/>
  <c r="L81" i="1"/>
  <c r="M81" i="1"/>
  <c r="L82" i="1"/>
  <c r="M82" i="1"/>
  <c r="L83" i="1"/>
  <c r="M83" i="1"/>
  <c r="L84" i="1"/>
  <c r="M84" i="1"/>
  <c r="L85" i="1"/>
  <c r="M85" i="1"/>
  <c r="L86" i="1"/>
  <c r="M86" i="1"/>
  <c r="L87" i="1"/>
  <c r="M87" i="1"/>
  <c r="L88" i="1"/>
  <c r="M88" i="1"/>
  <c r="L89" i="1"/>
  <c r="M89" i="1"/>
  <c r="L90" i="1"/>
  <c r="M90" i="1"/>
  <c r="L91" i="1"/>
  <c r="M91" i="1"/>
  <c r="L92" i="1"/>
  <c r="M92" i="1"/>
  <c r="L93" i="1"/>
  <c r="M93" i="1"/>
  <c r="L94" i="1"/>
  <c r="M94" i="1"/>
  <c r="L95" i="1"/>
  <c r="M95" i="1"/>
  <c r="L96" i="1"/>
  <c r="M96" i="1"/>
  <c r="L97" i="1"/>
  <c r="M97" i="1"/>
  <c r="L98" i="1"/>
  <c r="M98" i="1"/>
  <c r="L99" i="1"/>
  <c r="M99" i="1"/>
  <c r="L100" i="1"/>
  <c r="M100" i="1"/>
  <c r="L101" i="1"/>
  <c r="M101" i="1"/>
  <c r="L102" i="1"/>
  <c r="M102" i="1"/>
  <c r="L103" i="1"/>
  <c r="M103" i="1"/>
  <c r="L104" i="1"/>
  <c r="M104" i="1"/>
  <c r="L105" i="1"/>
  <c r="M105" i="1"/>
  <c r="L106" i="1"/>
  <c r="M106" i="1"/>
  <c r="L107" i="1"/>
  <c r="M107" i="1"/>
  <c r="L108" i="1"/>
  <c r="M108" i="1"/>
  <c r="L109" i="1"/>
  <c r="M109" i="1"/>
  <c r="M5" i="1"/>
  <c r="P5" i="1"/>
  <c r="O6" i="1"/>
  <c r="E6" i="3" l="1"/>
  <c r="E7" i="3"/>
  <c r="E8" i="3"/>
  <c r="E9" i="3"/>
  <c r="D5" i="2"/>
  <c r="P71" i="1" l="1"/>
  <c r="P69" i="1" l="1"/>
  <c r="P70" i="1"/>
  <c r="P68" i="1" l="1"/>
  <c r="P67" i="1" l="1"/>
  <c r="P66" i="1" l="1"/>
  <c r="P65" i="1"/>
  <c r="P64" i="1" l="1"/>
  <c r="P63" i="1" l="1"/>
  <c r="P61" i="1" l="1"/>
  <c r="P62" i="1"/>
  <c r="P60" i="1" l="1"/>
  <c r="D4" i="2"/>
  <c r="P59" i="1" l="1"/>
  <c r="E50" i="3"/>
  <c r="P58" i="1" l="1"/>
  <c r="U20" i="6" l="1"/>
  <c r="P57" i="1" l="1"/>
  <c r="P56" i="1" l="1"/>
  <c r="P55" i="1"/>
  <c r="P54" i="1" l="1"/>
  <c r="P53" i="1" l="1"/>
  <c r="P52" i="1" l="1"/>
  <c r="P51" i="1" l="1"/>
  <c r="P50" i="1" l="1"/>
  <c r="H238" i="3"/>
  <c r="E238" i="3"/>
  <c r="H237" i="3"/>
  <c r="E237" i="3"/>
  <c r="H236" i="3"/>
  <c r="E236" i="3"/>
  <c r="H235" i="3"/>
  <c r="E235" i="3"/>
  <c r="H234" i="3"/>
  <c r="E234" i="3"/>
  <c r="H233" i="3"/>
  <c r="E233" i="3"/>
  <c r="H232" i="3"/>
  <c r="E232" i="3"/>
  <c r="H231" i="3"/>
  <c r="E231" i="3"/>
  <c r="H230" i="3"/>
  <c r="E230" i="3"/>
  <c r="H229" i="3"/>
  <c r="E229" i="3"/>
  <c r="H228" i="3"/>
  <c r="E228" i="3"/>
  <c r="H227" i="3"/>
  <c r="E227" i="3"/>
  <c r="H226" i="3"/>
  <c r="E226" i="3"/>
  <c r="H225" i="3"/>
  <c r="E225" i="3"/>
  <c r="H224" i="3"/>
  <c r="E224" i="3"/>
  <c r="H223" i="3"/>
  <c r="E223" i="3"/>
  <c r="H222" i="3"/>
  <c r="E222" i="3"/>
  <c r="H221" i="3"/>
  <c r="E221" i="3"/>
  <c r="H220" i="3"/>
  <c r="E220" i="3"/>
  <c r="H219" i="3"/>
  <c r="E219" i="3"/>
  <c r="H218" i="3"/>
  <c r="E218" i="3"/>
  <c r="H217" i="3"/>
  <c r="E217" i="3"/>
  <c r="H216" i="3"/>
  <c r="E216" i="3"/>
  <c r="H215" i="3"/>
  <c r="E215" i="3"/>
  <c r="H214" i="3"/>
  <c r="E214" i="3"/>
  <c r="H213" i="3"/>
  <c r="E213" i="3"/>
  <c r="H212" i="3"/>
  <c r="E212" i="3"/>
  <c r="H211" i="3"/>
  <c r="E211" i="3"/>
  <c r="H210" i="3"/>
  <c r="E210" i="3"/>
  <c r="H209" i="3"/>
  <c r="E209" i="3"/>
  <c r="H208" i="3"/>
  <c r="E208" i="3"/>
  <c r="H207" i="3"/>
  <c r="E207" i="3"/>
  <c r="H206" i="3"/>
  <c r="E206" i="3"/>
  <c r="H205" i="3"/>
  <c r="E205" i="3"/>
  <c r="H204" i="3"/>
  <c r="E204" i="3"/>
  <c r="H203" i="3"/>
  <c r="E203" i="3"/>
  <c r="H202" i="3"/>
  <c r="E202" i="3"/>
  <c r="H201" i="3"/>
  <c r="E201" i="3"/>
  <c r="H200" i="3"/>
  <c r="E200" i="3"/>
  <c r="H199" i="3"/>
  <c r="E199" i="3"/>
  <c r="H198" i="3"/>
  <c r="E198" i="3"/>
  <c r="H197" i="3"/>
  <c r="E197" i="3"/>
  <c r="H196" i="3"/>
  <c r="E196" i="3"/>
  <c r="H195" i="3"/>
  <c r="E195" i="3"/>
  <c r="H194" i="3"/>
  <c r="E194" i="3"/>
  <c r="H193" i="3"/>
  <c r="E193" i="3"/>
  <c r="H192" i="3"/>
  <c r="E192" i="3"/>
  <c r="H191" i="3"/>
  <c r="E191" i="3"/>
  <c r="H190" i="3"/>
  <c r="E190" i="3"/>
  <c r="H189" i="3"/>
  <c r="E189" i="3"/>
  <c r="H188" i="3"/>
  <c r="E188" i="3"/>
  <c r="H187" i="3"/>
  <c r="E187" i="3"/>
  <c r="H186" i="3"/>
  <c r="E186" i="3"/>
  <c r="H185" i="3"/>
  <c r="E185" i="3"/>
  <c r="H184" i="3"/>
  <c r="E184" i="3"/>
  <c r="H183" i="3"/>
  <c r="E183" i="3"/>
  <c r="H182" i="3"/>
  <c r="E182" i="3"/>
  <c r="H181" i="3"/>
  <c r="E181" i="3"/>
  <c r="H180" i="3"/>
  <c r="E180" i="3"/>
  <c r="H179" i="3"/>
  <c r="E179" i="3"/>
  <c r="H178" i="3"/>
  <c r="E178" i="3"/>
  <c r="H177" i="3"/>
  <c r="E177" i="3"/>
  <c r="H176" i="3"/>
  <c r="E176" i="3"/>
  <c r="H175" i="3"/>
  <c r="E175" i="3"/>
  <c r="H174" i="3"/>
  <c r="E174" i="3"/>
  <c r="H173" i="3"/>
  <c r="E173" i="3"/>
  <c r="H172" i="3"/>
  <c r="E172" i="3"/>
  <c r="H171" i="3"/>
  <c r="E171" i="3"/>
  <c r="H170" i="3"/>
  <c r="E170" i="3"/>
  <c r="H169" i="3"/>
  <c r="E169" i="3"/>
  <c r="H168" i="3"/>
  <c r="E168" i="3"/>
  <c r="H167" i="3"/>
  <c r="E167" i="3"/>
  <c r="H166" i="3"/>
  <c r="E166" i="3"/>
  <c r="H165" i="3"/>
  <c r="E165" i="3"/>
  <c r="H164" i="3"/>
  <c r="E164" i="3"/>
  <c r="H163" i="3"/>
  <c r="E163" i="3"/>
  <c r="H162" i="3"/>
  <c r="E162" i="3"/>
  <c r="H161" i="3"/>
  <c r="E161" i="3"/>
  <c r="H160" i="3"/>
  <c r="E160" i="3"/>
  <c r="H159" i="3"/>
  <c r="E159" i="3"/>
  <c r="H158" i="3"/>
  <c r="E158" i="3"/>
  <c r="H157" i="3"/>
  <c r="E157" i="3"/>
  <c r="H156" i="3"/>
  <c r="E156" i="3"/>
  <c r="H155" i="3"/>
  <c r="E155" i="3"/>
  <c r="H154" i="3"/>
  <c r="E154" i="3"/>
  <c r="H153" i="3"/>
  <c r="E153" i="3"/>
  <c r="H152" i="3"/>
  <c r="E152" i="3"/>
  <c r="H151" i="3"/>
  <c r="E151" i="3"/>
  <c r="H150" i="3"/>
  <c r="E150" i="3"/>
  <c r="H149" i="3"/>
  <c r="E149" i="3"/>
  <c r="H148" i="3"/>
  <c r="E148" i="3"/>
  <c r="H147" i="3"/>
  <c r="E147" i="3"/>
  <c r="H146" i="3"/>
  <c r="E146" i="3"/>
  <c r="H145" i="3"/>
  <c r="E145" i="3"/>
  <c r="H144" i="3"/>
  <c r="E144" i="3"/>
  <c r="H143" i="3"/>
  <c r="E143" i="3"/>
  <c r="H142" i="3"/>
  <c r="E142" i="3"/>
  <c r="H141" i="3"/>
  <c r="E141" i="3"/>
  <c r="H140" i="3"/>
  <c r="E140" i="3"/>
  <c r="H139" i="3"/>
  <c r="E139" i="3"/>
  <c r="H138" i="3"/>
  <c r="E138" i="3"/>
  <c r="H137" i="3"/>
  <c r="E137" i="3"/>
  <c r="H136" i="3"/>
  <c r="E136" i="3"/>
  <c r="H135" i="3"/>
  <c r="E135" i="3"/>
  <c r="H134" i="3"/>
  <c r="E134" i="3"/>
  <c r="H133" i="3"/>
  <c r="E133" i="3"/>
  <c r="H132" i="3"/>
  <c r="E132" i="3"/>
  <c r="H131" i="3"/>
  <c r="E131" i="3"/>
  <c r="H130" i="3"/>
  <c r="E130" i="3"/>
  <c r="H129" i="3"/>
  <c r="E129" i="3"/>
  <c r="H128" i="3"/>
  <c r="E128" i="3"/>
  <c r="H127" i="3"/>
  <c r="E127" i="3"/>
  <c r="H126" i="3"/>
  <c r="E126" i="3"/>
  <c r="H125" i="3"/>
  <c r="E125" i="3"/>
  <c r="H124" i="3"/>
  <c r="E124" i="3"/>
  <c r="H123" i="3"/>
  <c r="E123" i="3"/>
  <c r="H122" i="3"/>
  <c r="E122" i="3"/>
  <c r="H121" i="3"/>
  <c r="E121" i="3"/>
  <c r="H120" i="3"/>
  <c r="E120" i="3"/>
  <c r="H119" i="3"/>
  <c r="E119" i="3"/>
  <c r="H118" i="3"/>
  <c r="E118" i="3"/>
  <c r="H117" i="3"/>
  <c r="E117" i="3"/>
  <c r="H116" i="3"/>
  <c r="E116" i="3"/>
  <c r="H115" i="3"/>
  <c r="E115" i="3"/>
  <c r="H114" i="3"/>
  <c r="E114" i="3"/>
  <c r="H113" i="3"/>
  <c r="E113" i="3"/>
  <c r="H112" i="3"/>
  <c r="E112" i="3"/>
  <c r="H111" i="3"/>
  <c r="E111" i="3"/>
  <c r="H110" i="3"/>
  <c r="E110" i="3"/>
  <c r="H109" i="3"/>
  <c r="E109" i="3"/>
  <c r="H108" i="3"/>
  <c r="E108" i="3"/>
  <c r="H107" i="3"/>
  <c r="E107" i="3"/>
  <c r="H106" i="3"/>
  <c r="E106" i="3"/>
  <c r="H105" i="3"/>
  <c r="E105" i="3"/>
  <c r="H104" i="3"/>
  <c r="E104" i="3"/>
  <c r="H103" i="3"/>
  <c r="E103" i="3"/>
  <c r="H102" i="3"/>
  <c r="E102" i="3"/>
  <c r="H101" i="3"/>
  <c r="E101" i="3"/>
  <c r="H100" i="3"/>
  <c r="E100" i="3"/>
  <c r="H99" i="3"/>
  <c r="E99" i="3"/>
  <c r="H98" i="3"/>
  <c r="E98" i="3"/>
  <c r="H97" i="3"/>
  <c r="E97" i="3"/>
  <c r="H96" i="3"/>
  <c r="E96" i="3"/>
  <c r="H95" i="3"/>
  <c r="E95" i="3"/>
  <c r="H94" i="3"/>
  <c r="E94" i="3"/>
  <c r="H93" i="3"/>
  <c r="E93" i="3"/>
  <c r="H92" i="3"/>
  <c r="E92" i="3"/>
  <c r="H91" i="3"/>
  <c r="E91" i="3"/>
  <c r="H90" i="3"/>
  <c r="E90" i="3"/>
  <c r="H89" i="3"/>
  <c r="E89" i="3"/>
  <c r="H88" i="3"/>
  <c r="E88" i="3"/>
  <c r="H87" i="3"/>
  <c r="E87" i="3"/>
  <c r="H86" i="3"/>
  <c r="E86" i="3"/>
  <c r="H85" i="3"/>
  <c r="E85" i="3"/>
  <c r="H84" i="3"/>
  <c r="E84" i="3"/>
  <c r="H83" i="3"/>
  <c r="E83" i="3"/>
  <c r="H82" i="3"/>
  <c r="E82" i="3"/>
  <c r="H81" i="3"/>
  <c r="E81" i="3"/>
  <c r="H80" i="3"/>
  <c r="E80" i="3"/>
  <c r="H79" i="3"/>
  <c r="E79" i="3"/>
  <c r="H78" i="3"/>
  <c r="E78" i="3"/>
  <c r="H77" i="3"/>
  <c r="E77" i="3"/>
  <c r="H76" i="3"/>
  <c r="E76" i="3"/>
  <c r="H75" i="3"/>
  <c r="E75" i="3"/>
  <c r="H74" i="3"/>
  <c r="E74" i="3"/>
  <c r="H73" i="3"/>
  <c r="E73" i="3"/>
  <c r="H72" i="3"/>
  <c r="E72" i="3"/>
  <c r="H71" i="3"/>
  <c r="E71" i="3"/>
  <c r="H70" i="3"/>
  <c r="E70" i="3"/>
  <c r="H69" i="3"/>
  <c r="E69" i="3"/>
  <c r="H68" i="3"/>
  <c r="E68" i="3"/>
  <c r="H67" i="3"/>
  <c r="E67" i="3"/>
  <c r="H66" i="3"/>
  <c r="E66" i="3"/>
  <c r="H65" i="3"/>
  <c r="E65" i="3"/>
  <c r="H64" i="3"/>
  <c r="E64" i="3"/>
  <c r="H63" i="3"/>
  <c r="E63" i="3"/>
  <c r="H62" i="3"/>
  <c r="E62" i="3"/>
  <c r="H61" i="3"/>
  <c r="E61" i="3"/>
  <c r="H60" i="3"/>
  <c r="E60" i="3"/>
  <c r="H59" i="3"/>
  <c r="E59" i="3"/>
  <c r="H58" i="3"/>
  <c r="E58" i="3"/>
  <c r="H57" i="3"/>
  <c r="E57" i="3"/>
  <c r="H56" i="3"/>
  <c r="E56" i="3"/>
  <c r="H55" i="3"/>
  <c r="E55" i="3"/>
  <c r="H54" i="3"/>
  <c r="E54" i="3"/>
  <c r="H53" i="3"/>
  <c r="E53" i="3"/>
  <c r="H52" i="3"/>
  <c r="E52" i="3"/>
  <c r="H51" i="3"/>
  <c r="E51" i="3"/>
  <c r="H50" i="3"/>
  <c r="H49" i="3"/>
  <c r="H48" i="3"/>
  <c r="E48" i="3"/>
  <c r="H47" i="3"/>
  <c r="E47" i="3"/>
  <c r="H46" i="3"/>
  <c r="E46" i="3"/>
  <c r="H45" i="3"/>
  <c r="E45" i="3"/>
  <c r="H44" i="3"/>
  <c r="E44" i="3"/>
  <c r="E43" i="3"/>
  <c r="H43" i="3"/>
  <c r="H42" i="3"/>
  <c r="E42" i="3"/>
  <c r="I20" i="6" l="1"/>
  <c r="D8" i="6"/>
  <c r="P49" i="1" l="1"/>
  <c r="P48" i="1"/>
  <c r="P47" i="1" l="1"/>
  <c r="P46"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C48" i="4"/>
  <c r="I48" i="4" s="1"/>
  <c r="C49" i="4"/>
  <c r="E49" i="4" s="1"/>
  <c r="C50" i="4"/>
  <c r="C51" i="4"/>
  <c r="E51" i="4" s="1"/>
  <c r="C52" i="4"/>
  <c r="C53" i="4"/>
  <c r="F53" i="4" s="1"/>
  <c r="C54" i="4"/>
  <c r="D54" i="4" s="1"/>
  <c r="C55" i="4"/>
  <c r="C56" i="4"/>
  <c r="I56" i="4" s="1"/>
  <c r="C57" i="4"/>
  <c r="E57" i="4" s="1"/>
  <c r="C58" i="4"/>
  <c r="C59" i="4"/>
  <c r="F59" i="4" s="1"/>
  <c r="C60" i="4"/>
  <c r="D60" i="4" s="1"/>
  <c r="C61" i="4"/>
  <c r="B61" i="4" s="1"/>
  <c r="C62" i="4"/>
  <c r="D62" i="4" s="1"/>
  <c r="C63" i="4"/>
  <c r="C64" i="4"/>
  <c r="D64" i="4" s="1"/>
  <c r="C65" i="4"/>
  <c r="E65" i="4" s="1"/>
  <c r="C66" i="4"/>
  <c r="C67" i="4"/>
  <c r="D67" i="4" s="1"/>
  <c r="C68" i="4"/>
  <c r="B68" i="4" s="1"/>
  <c r="C69" i="4"/>
  <c r="C70" i="4"/>
  <c r="D70" i="4" s="1"/>
  <c r="C71" i="4"/>
  <c r="D71" i="4" s="1"/>
  <c r="C72" i="4"/>
  <c r="D72" i="4" s="1"/>
  <c r="C73" i="4"/>
  <c r="C74" i="4"/>
  <c r="E74" i="4" s="1"/>
  <c r="C75" i="4"/>
  <c r="F75" i="4" s="1"/>
  <c r="C76" i="4"/>
  <c r="B76" i="4" s="1"/>
  <c r="C77" i="4"/>
  <c r="C78" i="4"/>
  <c r="B78" i="4" s="1"/>
  <c r="C79" i="4"/>
  <c r="D79" i="4" s="1"/>
  <c r="C80" i="4"/>
  <c r="B80" i="4" s="1"/>
  <c r="C81" i="4"/>
  <c r="C82" i="4"/>
  <c r="B82" i="4" s="1"/>
  <c r="C83" i="4"/>
  <c r="D83" i="4" s="1"/>
  <c r="C84" i="4"/>
  <c r="B84" i="4" s="1"/>
  <c r="C85" i="4"/>
  <c r="C86" i="4"/>
  <c r="B86" i="4" s="1"/>
  <c r="C87" i="4"/>
  <c r="D87" i="4" s="1"/>
  <c r="C88" i="4"/>
  <c r="B88" i="4" s="1"/>
  <c r="C47" i="4"/>
  <c r="K48" i="4" l="1"/>
  <c r="K87" i="4"/>
  <c r="K79" i="4"/>
  <c r="F87" i="4"/>
  <c r="I84" i="4"/>
  <c r="K83" i="4"/>
  <c r="F79" i="4"/>
  <c r="R79" i="4" s="1"/>
  <c r="I76" i="4"/>
  <c r="F83" i="4"/>
  <c r="R83" i="4" s="1"/>
  <c r="E48" i="4"/>
  <c r="I88" i="4"/>
  <c r="I86" i="4"/>
  <c r="K84" i="4"/>
  <c r="E84" i="4"/>
  <c r="J83" i="4"/>
  <c r="I80" i="4"/>
  <c r="D52" i="4"/>
  <c r="J51" i="4"/>
  <c r="D48" i="4"/>
  <c r="K88" i="4"/>
  <c r="E88" i="4"/>
  <c r="J87" i="4"/>
  <c r="I82" i="4"/>
  <c r="K80" i="4"/>
  <c r="E80" i="4"/>
  <c r="J79" i="4"/>
  <c r="I63" i="4"/>
  <c r="K86" i="4"/>
  <c r="E86" i="4"/>
  <c r="K82" i="4"/>
  <c r="E82" i="4"/>
  <c r="E78" i="4"/>
  <c r="E76" i="4"/>
  <c r="D74" i="4"/>
  <c r="K71" i="4"/>
  <c r="E56" i="4"/>
  <c r="Q88" i="4"/>
  <c r="J88" i="4"/>
  <c r="F88" i="4"/>
  <c r="G88" i="4" s="1"/>
  <c r="D88" i="4"/>
  <c r="Q86" i="4"/>
  <c r="J86" i="4"/>
  <c r="F86" i="4"/>
  <c r="R86" i="4" s="1"/>
  <c r="D86" i="4"/>
  <c r="Q84" i="4"/>
  <c r="J84" i="4"/>
  <c r="F84" i="4"/>
  <c r="D84" i="4"/>
  <c r="Q82" i="4"/>
  <c r="J82" i="4"/>
  <c r="F82" i="4"/>
  <c r="R82" i="4" s="1"/>
  <c r="D82" i="4"/>
  <c r="Q80" i="4"/>
  <c r="J80" i="4"/>
  <c r="F80" i="4"/>
  <c r="D80" i="4"/>
  <c r="I78" i="4"/>
  <c r="D78" i="4"/>
  <c r="J71" i="4"/>
  <c r="F61" i="4"/>
  <c r="K56" i="4"/>
  <c r="D56" i="4"/>
  <c r="I55" i="4"/>
  <c r="E54" i="4"/>
  <c r="J74" i="4"/>
  <c r="K54" i="4"/>
  <c r="F51" i="4"/>
  <c r="R51" i="4" s="1"/>
  <c r="I51" i="4"/>
  <c r="K76" i="4"/>
  <c r="D75" i="4"/>
  <c r="I74" i="4"/>
  <c r="I70" i="4"/>
  <c r="K61" i="4"/>
  <c r="E59" i="4"/>
  <c r="I54" i="4"/>
  <c r="K51" i="4"/>
  <c r="J76" i="4"/>
  <c r="D76" i="4"/>
  <c r="F76" i="4"/>
  <c r="K75" i="4"/>
  <c r="J75" i="4"/>
  <c r="B74" i="4"/>
  <c r="F74" i="4"/>
  <c r="R74" i="4" s="1"/>
  <c r="K74" i="4"/>
  <c r="K72" i="4"/>
  <c r="E72" i="4"/>
  <c r="I72" i="4"/>
  <c r="F72" i="4"/>
  <c r="B72" i="4"/>
  <c r="J72" i="4"/>
  <c r="F71" i="4"/>
  <c r="R71" i="4" s="1"/>
  <c r="K70" i="4"/>
  <c r="E70" i="4"/>
  <c r="F70" i="4"/>
  <c r="R70" i="4" s="1"/>
  <c r="B70" i="4"/>
  <c r="J70" i="4"/>
  <c r="K68" i="4"/>
  <c r="I68" i="4"/>
  <c r="E68" i="4"/>
  <c r="J68" i="4"/>
  <c r="D68" i="4"/>
  <c r="F68" i="4"/>
  <c r="K67" i="4"/>
  <c r="E64" i="4"/>
  <c r="K64" i="4"/>
  <c r="I64" i="4"/>
  <c r="K62" i="4"/>
  <c r="E62" i="4"/>
  <c r="I62" i="4"/>
  <c r="E61" i="4"/>
  <c r="J61" i="4"/>
  <c r="I61" i="4"/>
  <c r="K59" i="4"/>
  <c r="J59" i="4"/>
  <c r="I59" i="4"/>
  <c r="G59" i="4" s="1"/>
  <c r="K53" i="4"/>
  <c r="E53" i="4"/>
  <c r="J53" i="4"/>
  <c r="I53" i="4"/>
  <c r="B53" i="4"/>
  <c r="E85" i="4"/>
  <c r="I85" i="4"/>
  <c r="Q85" i="4"/>
  <c r="E81" i="4"/>
  <c r="I81" i="4"/>
  <c r="Q81" i="4"/>
  <c r="E77" i="4"/>
  <c r="I77" i="4"/>
  <c r="E73" i="4"/>
  <c r="I73" i="4"/>
  <c r="E69" i="4"/>
  <c r="I69" i="4"/>
  <c r="B85" i="4"/>
  <c r="B81" i="4"/>
  <c r="B77" i="4"/>
  <c r="B73" i="4"/>
  <c r="B69" i="4"/>
  <c r="D65" i="4"/>
  <c r="F65" i="4"/>
  <c r="R65" i="4" s="1"/>
  <c r="K65" i="4"/>
  <c r="B65" i="4"/>
  <c r="R61" i="4"/>
  <c r="D57" i="4"/>
  <c r="F57" i="4"/>
  <c r="R57" i="4" s="1"/>
  <c r="K57" i="4"/>
  <c r="B57" i="4"/>
  <c r="R53" i="4"/>
  <c r="D49" i="4"/>
  <c r="F49" i="4"/>
  <c r="R49" i="4" s="1"/>
  <c r="K49" i="4"/>
  <c r="B49" i="4"/>
  <c r="E87" i="4"/>
  <c r="I87" i="4"/>
  <c r="Q87" i="4"/>
  <c r="K85" i="4"/>
  <c r="F85" i="4"/>
  <c r="R85" i="4" s="1"/>
  <c r="E83" i="4"/>
  <c r="I83" i="4"/>
  <c r="Q83" i="4"/>
  <c r="K81" i="4"/>
  <c r="F81" i="4"/>
  <c r="E79" i="4"/>
  <c r="I79" i="4"/>
  <c r="Q79" i="4"/>
  <c r="K77" i="4"/>
  <c r="F77" i="4"/>
  <c r="R77" i="4" s="1"/>
  <c r="E75" i="4"/>
  <c r="I75" i="4"/>
  <c r="K73" i="4"/>
  <c r="F73" i="4"/>
  <c r="E71" i="4"/>
  <c r="I71" i="4"/>
  <c r="K69" i="4"/>
  <c r="F69" i="4"/>
  <c r="R69" i="4" s="1"/>
  <c r="B66" i="4"/>
  <c r="F66" i="4"/>
  <c r="J66" i="4"/>
  <c r="D66" i="4"/>
  <c r="I66" i="4"/>
  <c r="E66" i="4"/>
  <c r="K66" i="4"/>
  <c r="J65" i="4"/>
  <c r="D63" i="4"/>
  <c r="E63" i="4"/>
  <c r="J63" i="4"/>
  <c r="F63" i="4"/>
  <c r="K63" i="4"/>
  <c r="B60" i="4"/>
  <c r="F60" i="4"/>
  <c r="J60" i="4"/>
  <c r="E60" i="4"/>
  <c r="K60" i="4"/>
  <c r="B58" i="4"/>
  <c r="F58" i="4"/>
  <c r="J58" i="4"/>
  <c r="D58" i="4"/>
  <c r="I58" i="4"/>
  <c r="E58" i="4"/>
  <c r="K58" i="4"/>
  <c r="J57" i="4"/>
  <c r="D55" i="4"/>
  <c r="E55" i="4"/>
  <c r="J55" i="4"/>
  <c r="F55" i="4"/>
  <c r="K55" i="4"/>
  <c r="B52" i="4"/>
  <c r="F52" i="4"/>
  <c r="J52" i="4"/>
  <c r="E52" i="4"/>
  <c r="K52" i="4"/>
  <c r="B50" i="4"/>
  <c r="F50" i="4"/>
  <c r="D50" i="4"/>
  <c r="I50" i="4"/>
  <c r="E50" i="4"/>
  <c r="J49" i="4"/>
  <c r="R87" i="4"/>
  <c r="B87" i="4"/>
  <c r="J85" i="4"/>
  <c r="D85" i="4"/>
  <c r="B83" i="4"/>
  <c r="J81" i="4"/>
  <c r="D81" i="4"/>
  <c r="B79" i="4"/>
  <c r="J77" i="4"/>
  <c r="D77" i="4"/>
  <c r="R75" i="4"/>
  <c r="B75" i="4"/>
  <c r="J73" i="4"/>
  <c r="D73" i="4"/>
  <c r="B71" i="4"/>
  <c r="J69" i="4"/>
  <c r="D69" i="4"/>
  <c r="E67" i="4"/>
  <c r="I67" i="4"/>
  <c r="B67" i="4"/>
  <c r="F67" i="4"/>
  <c r="J67" i="4"/>
  <c r="I65" i="4"/>
  <c r="B63" i="4"/>
  <c r="I60" i="4"/>
  <c r="I57" i="4"/>
  <c r="B55" i="4"/>
  <c r="I52" i="4"/>
  <c r="I49" i="4"/>
  <c r="B62" i="4"/>
  <c r="F62" i="4"/>
  <c r="R62" i="4" s="1"/>
  <c r="J62" i="4"/>
  <c r="D59" i="4"/>
  <c r="B54" i="4"/>
  <c r="F54" i="4"/>
  <c r="J54" i="4"/>
  <c r="D51" i="4"/>
  <c r="B64" i="4"/>
  <c r="F64" i="4"/>
  <c r="R64" i="4" s="1"/>
  <c r="J64" i="4"/>
  <c r="D61" i="4"/>
  <c r="R59" i="4"/>
  <c r="B59" i="4"/>
  <c r="B56" i="4"/>
  <c r="F56" i="4"/>
  <c r="J56" i="4"/>
  <c r="D53" i="4"/>
  <c r="B51" i="4"/>
  <c r="B48" i="4"/>
  <c r="F48" i="4"/>
  <c r="R48" i="4" s="1"/>
  <c r="J48" i="4"/>
  <c r="K47" i="4"/>
  <c r="D47" i="4"/>
  <c r="E47" i="4"/>
  <c r="I47" i="4"/>
  <c r="B47" i="4"/>
  <c r="F47" i="4"/>
  <c r="R47" i="4" s="1"/>
  <c r="J47" i="4"/>
  <c r="B45" i="1"/>
  <c r="G84" i="4" l="1"/>
  <c r="G82" i="4"/>
  <c r="G86" i="4"/>
  <c r="H80" i="4"/>
  <c r="R80" i="4"/>
  <c r="R84" i="4"/>
  <c r="R88" i="4"/>
  <c r="G80" i="4"/>
  <c r="H86" i="4"/>
  <c r="H82" i="4"/>
  <c r="H84" i="4"/>
  <c r="H88" i="4"/>
  <c r="G68" i="4"/>
  <c r="G51" i="4"/>
  <c r="P45" i="1"/>
  <c r="H51" i="4"/>
  <c r="H76" i="4"/>
  <c r="R76" i="4"/>
  <c r="G76" i="4"/>
  <c r="G74" i="4"/>
  <c r="H74" i="4"/>
  <c r="G72" i="4"/>
  <c r="R72" i="4"/>
  <c r="H72" i="4"/>
  <c r="H71" i="4"/>
  <c r="G70" i="4"/>
  <c r="H70" i="4"/>
  <c r="R68" i="4"/>
  <c r="H68" i="4"/>
  <c r="H61" i="4"/>
  <c r="G61" i="4"/>
  <c r="H59" i="4"/>
  <c r="H53" i="4"/>
  <c r="G53" i="4"/>
  <c r="G79" i="4"/>
  <c r="H79" i="4"/>
  <c r="G87" i="4"/>
  <c r="H87" i="4"/>
  <c r="R67" i="4"/>
  <c r="G67" i="4"/>
  <c r="H67" i="4"/>
  <c r="H56" i="4"/>
  <c r="G56" i="4"/>
  <c r="G54" i="4"/>
  <c r="H54" i="4"/>
  <c r="G50" i="4"/>
  <c r="G52" i="4"/>
  <c r="H52" i="4"/>
  <c r="H55" i="4"/>
  <c r="G55" i="4"/>
  <c r="R55" i="4"/>
  <c r="G58" i="4"/>
  <c r="H58" i="4"/>
  <c r="G60" i="4"/>
  <c r="H60" i="4"/>
  <c r="H63" i="4"/>
  <c r="G63" i="4"/>
  <c r="R63" i="4"/>
  <c r="G66" i="4"/>
  <c r="H66" i="4"/>
  <c r="R66" i="4"/>
  <c r="G73" i="4"/>
  <c r="H73" i="4"/>
  <c r="G81" i="4"/>
  <c r="H81" i="4"/>
  <c r="H49" i="4"/>
  <c r="G49" i="4"/>
  <c r="H65" i="4"/>
  <c r="G65" i="4"/>
  <c r="G75" i="4"/>
  <c r="H75" i="4"/>
  <c r="H83" i="4"/>
  <c r="R73" i="4"/>
  <c r="R81" i="4"/>
  <c r="G83" i="4"/>
  <c r="H48" i="4"/>
  <c r="G48" i="4"/>
  <c r="R56" i="4"/>
  <c r="H64" i="4"/>
  <c r="G64" i="4"/>
  <c r="R54" i="4"/>
  <c r="G62" i="4"/>
  <c r="H62" i="4"/>
  <c r="R52" i="4"/>
  <c r="R58" i="4"/>
  <c r="R60" i="4"/>
  <c r="G69" i="4"/>
  <c r="H69" i="4"/>
  <c r="G77" i="4"/>
  <c r="H77" i="4"/>
  <c r="G85" i="4"/>
  <c r="H85" i="4"/>
  <c r="H57" i="4"/>
  <c r="G57" i="4"/>
  <c r="G71" i="4"/>
  <c r="H47" i="4"/>
  <c r="G47" i="4"/>
  <c r="C25" i="4" l="1"/>
  <c r="D25" i="4" s="1"/>
  <c r="E25" i="4" l="1"/>
  <c r="E10" i="3" l="1"/>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239" i="3"/>
  <c r="E5" i="3"/>
  <c r="J50" i="4"/>
  <c r="H50" i="4" s="1"/>
  <c r="J78" i="4"/>
  <c r="H5" i="3" l="1"/>
  <c r="B85" i="3" l="1"/>
  <c r="H39" i="3"/>
  <c r="H40" i="3"/>
  <c r="H41" i="3"/>
  <c r="H111" i="1" l="1"/>
  <c r="J111" i="1" l="1"/>
  <c r="B44" i="1"/>
  <c r="P109" i="1" l="1"/>
  <c r="P44" i="1"/>
  <c r="B117" i="3"/>
  <c r="B116" i="3"/>
  <c r="B115" i="3"/>
  <c r="B114" i="3"/>
  <c r="B113" i="3"/>
  <c r="B112" i="3"/>
  <c r="B111" i="3"/>
  <c r="B110" i="3"/>
  <c r="B109" i="3"/>
  <c r="B108" i="3"/>
  <c r="B107" i="3"/>
  <c r="B106" i="3"/>
  <c r="B105" i="3"/>
  <c r="B104" i="3"/>
  <c r="B103" i="3"/>
  <c r="B102" i="3"/>
  <c r="B101" i="3"/>
  <c r="B100" i="3"/>
  <c r="B99" i="3"/>
  <c r="B98" i="3"/>
  <c r="B97" i="3"/>
  <c r="F241" i="3"/>
  <c r="C7" i="8" l="1"/>
  <c r="C8" i="8"/>
  <c r="B8" i="8" s="1"/>
  <c r="K8" i="8" s="1"/>
  <c r="C9" i="8"/>
  <c r="C10" i="8"/>
  <c r="B10" i="8" s="1"/>
  <c r="K10" i="8" s="1"/>
  <c r="C11" i="8"/>
  <c r="B11" i="8" s="1"/>
  <c r="K11" i="8" s="1"/>
  <c r="C12" i="8"/>
  <c r="B12" i="8" s="1"/>
  <c r="K12" i="8" s="1"/>
  <c r="C13" i="8"/>
  <c r="C14" i="8"/>
  <c r="B14" i="8" s="1"/>
  <c r="K14" i="8" s="1"/>
  <c r="C15" i="8"/>
  <c r="B15" i="8" s="1"/>
  <c r="K15" i="8" s="1"/>
  <c r="C16" i="8"/>
  <c r="B16" i="8" s="1"/>
  <c r="K16" i="8" s="1"/>
  <c r="C17" i="8"/>
  <c r="C18" i="8"/>
  <c r="B18" i="8" s="1"/>
  <c r="K18" i="8" s="1"/>
  <c r="C19" i="8"/>
  <c r="B19" i="8" s="1"/>
  <c r="K19" i="8" s="1"/>
  <c r="C20" i="8"/>
  <c r="B20" i="8" s="1"/>
  <c r="K20" i="8" s="1"/>
  <c r="C21" i="8"/>
  <c r="C22" i="8"/>
  <c r="B22" i="8" s="1"/>
  <c r="K22" i="8" s="1"/>
  <c r="C23" i="8"/>
  <c r="B23" i="8" s="1"/>
  <c r="K23" i="8" s="1"/>
  <c r="C24" i="8"/>
  <c r="B24" i="8" s="1"/>
  <c r="K24" i="8" s="1"/>
  <c r="C25" i="8"/>
  <c r="C26" i="8"/>
  <c r="B26" i="8" s="1"/>
  <c r="K26" i="8" s="1"/>
  <c r="C27" i="8"/>
  <c r="B27" i="8" s="1"/>
  <c r="K27" i="8" s="1"/>
  <c r="C28" i="8"/>
  <c r="B28" i="8" s="1"/>
  <c r="K28" i="8" s="1"/>
  <c r="C29" i="8"/>
  <c r="C30" i="8"/>
  <c r="B30" i="8" s="1"/>
  <c r="K30" i="8" s="1"/>
  <c r="C31" i="8"/>
  <c r="B31" i="8" s="1"/>
  <c r="K31" i="8" s="1"/>
  <c r="C32" i="8"/>
  <c r="B32" i="8" s="1"/>
  <c r="K32" i="8" s="1"/>
  <c r="C33" i="8"/>
  <c r="C34" i="8"/>
  <c r="B34" i="8" s="1"/>
  <c r="K34" i="8" s="1"/>
  <c r="C35" i="8"/>
  <c r="B35" i="8" s="1"/>
  <c r="K35" i="8" s="1"/>
  <c r="C36" i="8"/>
  <c r="B36" i="8" s="1"/>
  <c r="K36" i="8" s="1"/>
  <c r="C37" i="8"/>
  <c r="C38" i="8"/>
  <c r="B38" i="8" s="1"/>
  <c r="K38" i="8" s="1"/>
  <c r="C39" i="8"/>
  <c r="B39" i="8" s="1"/>
  <c r="K39" i="8" s="1"/>
  <c r="C40" i="8"/>
  <c r="B40" i="8" s="1"/>
  <c r="K40" i="8" s="1"/>
  <c r="C41" i="8"/>
  <c r="C42" i="8"/>
  <c r="C43" i="8"/>
  <c r="B43" i="8" s="1"/>
  <c r="K43" i="8" s="1"/>
  <c r="C44" i="8"/>
  <c r="B44" i="8" s="1"/>
  <c r="K44" i="8" s="1"/>
  <c r="C44" i="4"/>
  <c r="C45" i="4"/>
  <c r="C46" i="4"/>
  <c r="B44" i="4" l="1"/>
  <c r="I44" i="4"/>
  <c r="B46" i="4"/>
  <c r="I46" i="4"/>
  <c r="B45" i="4"/>
  <c r="I45" i="4"/>
  <c r="E45" i="4"/>
  <c r="D45" i="4"/>
  <c r="E46" i="4"/>
  <c r="A42" i="8"/>
  <c r="E44" i="4"/>
  <c r="B42" i="8"/>
  <c r="K42" i="8" s="1"/>
  <c r="B41" i="8"/>
  <c r="K41" i="8" s="1"/>
  <c r="B33" i="8"/>
  <c r="K33" i="8" s="1"/>
  <c r="B25" i="8"/>
  <c r="K25" i="8" s="1"/>
  <c r="B17" i="8"/>
  <c r="K17" i="8" s="1"/>
  <c r="B9" i="8"/>
  <c r="K9" i="8" s="1"/>
  <c r="B37" i="8"/>
  <c r="K37" i="8" s="1"/>
  <c r="B29" i="8"/>
  <c r="K29" i="8" s="1"/>
  <c r="B21" i="8"/>
  <c r="K21" i="8" s="1"/>
  <c r="B13" i="8"/>
  <c r="K13" i="8" s="1"/>
  <c r="B7" i="8"/>
  <c r="K7" i="8" s="1"/>
  <c r="A44" i="8"/>
  <c r="A43" i="8"/>
  <c r="D46" i="4"/>
  <c r="D44" i="4"/>
  <c r="J46" i="4"/>
  <c r="J44" i="4"/>
  <c r="C39" i="4" l="1"/>
  <c r="C40" i="4"/>
  <c r="I40" i="4" s="1"/>
  <c r="C41" i="4"/>
  <c r="I41" i="4" s="1"/>
  <c r="C42" i="4"/>
  <c r="C43" i="4"/>
  <c r="I43" i="4" s="1"/>
  <c r="E42" i="4" l="1"/>
  <c r="I42" i="4"/>
  <c r="E39" i="4"/>
  <c r="I39" i="4"/>
  <c r="D41" i="4"/>
  <c r="E41" i="4"/>
  <c r="B41" i="4"/>
  <c r="E40" i="4"/>
  <c r="E43" i="4"/>
  <c r="B39" i="4"/>
  <c r="D43" i="4"/>
  <c r="D39" i="4"/>
  <c r="D40" i="4"/>
  <c r="D42" i="4"/>
  <c r="B43" i="4"/>
  <c r="B40" i="4"/>
  <c r="B42" i="4"/>
  <c r="M28" i="5" l="1"/>
  <c r="M27" i="5"/>
  <c r="P27" i="5"/>
  <c r="Q27" i="5"/>
  <c r="R27" i="5"/>
  <c r="P28" i="5"/>
  <c r="Q28" i="5"/>
  <c r="R28" i="5"/>
  <c r="S28" i="5"/>
  <c r="T28" i="5"/>
  <c r="U28" i="5"/>
  <c r="P29" i="5"/>
  <c r="Q29" i="5"/>
  <c r="R29" i="5"/>
  <c r="S29" i="5"/>
  <c r="T29" i="5"/>
  <c r="U29" i="5"/>
  <c r="Q25" i="5"/>
  <c r="R25" i="5"/>
  <c r="Q26" i="5"/>
  <c r="R26" i="5"/>
  <c r="P26" i="5"/>
  <c r="M26" i="5"/>
  <c r="P25" i="5"/>
  <c r="M25" i="5"/>
  <c r="P52" i="5"/>
  <c r="J41" i="4" l="1"/>
  <c r="J42" i="4" l="1"/>
  <c r="F41" i="4" l="1"/>
  <c r="S27" i="5"/>
  <c r="P38" i="1"/>
  <c r="K41" i="4" l="1"/>
  <c r="T27" i="5"/>
  <c r="H41" i="4"/>
  <c r="R41" i="4"/>
  <c r="G41" i="4"/>
  <c r="B39" i="1"/>
  <c r="B38" i="1"/>
  <c r="J40" i="4" l="1"/>
  <c r="J39" i="4"/>
  <c r="T70" i="5"/>
  <c r="T66" i="5"/>
  <c r="S17" i="5"/>
  <c r="S49" i="5" s="1"/>
  <c r="S66" i="5"/>
  <c r="U66" i="5"/>
  <c r="R66" i="5"/>
  <c r="Q66" i="5"/>
  <c r="P66" i="5"/>
  <c r="M66" i="5"/>
  <c r="S13" i="5"/>
  <c r="H7" i="5"/>
  <c r="H9" i="5"/>
  <c r="H11" i="5"/>
  <c r="H13" i="5"/>
  <c r="R22" i="5"/>
  <c r="R51" i="5" s="1"/>
  <c r="Q22" i="5"/>
  <c r="Q51" i="5" s="1"/>
  <c r="P51" i="5"/>
  <c r="M51" i="5"/>
  <c r="R20" i="5"/>
  <c r="R50" i="5" s="1"/>
  <c r="Q20" i="5"/>
  <c r="Q50" i="5" s="1"/>
  <c r="P50" i="5"/>
  <c r="M50" i="5"/>
  <c r="R17" i="5"/>
  <c r="R49" i="5" s="1"/>
  <c r="Q17" i="5"/>
  <c r="Q49" i="5" s="1"/>
  <c r="P49" i="5"/>
  <c r="M49" i="5"/>
  <c r="R15" i="5"/>
  <c r="R48" i="5" s="1"/>
  <c r="Q15" i="5"/>
  <c r="Q48" i="5" s="1"/>
  <c r="P15" i="5"/>
  <c r="P48" i="5" s="1"/>
  <c r="O48" i="5"/>
  <c r="R14" i="5"/>
  <c r="R47" i="5" s="1"/>
  <c r="Q14" i="5"/>
  <c r="Q47" i="5" s="1"/>
  <c r="P14" i="5"/>
  <c r="P47" i="5" s="1"/>
  <c r="O47" i="5"/>
  <c r="Q10" i="5"/>
  <c r="Q46" i="5" s="1"/>
  <c r="P10" i="5"/>
  <c r="P46" i="5" s="1"/>
  <c r="Q9" i="5"/>
  <c r="Q45" i="5" s="1"/>
  <c r="P45" i="5"/>
  <c r="Q7" i="5"/>
  <c r="Q44" i="5" s="1"/>
  <c r="P44" i="5"/>
  <c r="T33" i="5"/>
  <c r="S8" i="5"/>
  <c r="S16" i="5"/>
  <c r="S19" i="5"/>
  <c r="S24" i="5"/>
  <c r="M29" i="5"/>
  <c r="R24" i="5"/>
  <c r="Q24" i="5"/>
  <c r="P24" i="5"/>
  <c r="M24" i="5"/>
  <c r="R23" i="5"/>
  <c r="Q23" i="5"/>
  <c r="P23" i="5"/>
  <c r="M23" i="5"/>
  <c r="P22" i="5"/>
  <c r="M22" i="5"/>
  <c r="R21" i="5"/>
  <c r="Q21" i="5"/>
  <c r="P21" i="5"/>
  <c r="M21" i="5"/>
  <c r="P20" i="5"/>
  <c r="M20" i="5"/>
  <c r="R19" i="5"/>
  <c r="Q19" i="5"/>
  <c r="P19" i="5"/>
  <c r="M19" i="5"/>
  <c r="R18" i="5"/>
  <c r="Q18" i="5"/>
  <c r="P18" i="5"/>
  <c r="M18" i="5"/>
  <c r="P17" i="5"/>
  <c r="M17" i="5"/>
  <c r="I17" i="5"/>
  <c r="R16" i="5"/>
  <c r="Q16" i="5"/>
  <c r="P16" i="5"/>
  <c r="M16" i="5"/>
  <c r="M15" i="5"/>
  <c r="M48" i="5" s="1"/>
  <c r="M14" i="5"/>
  <c r="M47" i="5" s="1"/>
  <c r="H6" i="5"/>
  <c r="H8" i="5"/>
  <c r="H12" i="5"/>
  <c r="R13" i="5"/>
  <c r="Q13" i="5"/>
  <c r="P13" i="5"/>
  <c r="M13" i="5"/>
  <c r="G13" i="5"/>
  <c r="F13" i="5"/>
  <c r="E13" i="5"/>
  <c r="B13" i="5"/>
  <c r="R12" i="5"/>
  <c r="Q12" i="5"/>
  <c r="P12" i="5"/>
  <c r="M12" i="5"/>
  <c r="G12" i="5"/>
  <c r="F12" i="5"/>
  <c r="E12" i="5"/>
  <c r="B12" i="5"/>
  <c r="R11" i="5"/>
  <c r="Q11" i="5"/>
  <c r="P11" i="5"/>
  <c r="M11" i="5"/>
  <c r="G11" i="5"/>
  <c r="F11" i="5"/>
  <c r="E11" i="5"/>
  <c r="B11" i="5"/>
  <c r="R10" i="5"/>
  <c r="M10" i="5"/>
  <c r="M46" i="5" s="1"/>
  <c r="G10" i="5"/>
  <c r="F10" i="5"/>
  <c r="E10" i="5"/>
  <c r="B10" i="5"/>
  <c r="R9" i="5"/>
  <c r="P9" i="5"/>
  <c r="M9" i="5"/>
  <c r="G9" i="5"/>
  <c r="F9" i="5"/>
  <c r="E9" i="5"/>
  <c r="B9" i="5"/>
  <c r="R8" i="5"/>
  <c r="Q8" i="5"/>
  <c r="P8" i="5"/>
  <c r="M8" i="5"/>
  <c r="G8" i="5"/>
  <c r="F8" i="5"/>
  <c r="E8" i="5"/>
  <c r="B8" i="5"/>
  <c r="R7" i="5"/>
  <c r="P7" i="5"/>
  <c r="M7" i="5"/>
  <c r="G7" i="5"/>
  <c r="F7" i="5"/>
  <c r="E7" i="5"/>
  <c r="B7" i="5"/>
  <c r="R6" i="5"/>
  <c r="Q6" i="5"/>
  <c r="P6" i="5"/>
  <c r="M6" i="5"/>
  <c r="G6" i="5"/>
  <c r="F6" i="5"/>
  <c r="E6" i="5"/>
  <c r="B6" i="5"/>
  <c r="C49" i="8"/>
  <c r="A49" i="8" s="1"/>
  <c r="C48" i="8"/>
  <c r="C47" i="8"/>
  <c r="A47" i="8" s="1"/>
  <c r="U46" i="8"/>
  <c r="P36" i="1"/>
  <c r="A39" i="8"/>
  <c r="Q46" i="8"/>
  <c r="M46" i="8"/>
  <c r="C46" i="8"/>
  <c r="A46" i="8" s="1"/>
  <c r="C45" i="8"/>
  <c r="B45" i="8" s="1"/>
  <c r="K45" i="8" s="1"/>
  <c r="A40" i="8"/>
  <c r="A37" i="8"/>
  <c r="O36" i="8"/>
  <c r="A36" i="8"/>
  <c r="O35" i="8"/>
  <c r="A32" i="8"/>
  <c r="O31" i="8"/>
  <c r="O30" i="8"/>
  <c r="A27" i="8"/>
  <c r="O26" i="8"/>
  <c r="O24" i="8"/>
  <c r="A22" i="8"/>
  <c r="A17" i="8"/>
  <c r="A14" i="8"/>
  <c r="A7" i="8"/>
  <c r="C6" i="8"/>
  <c r="A6" i="8" s="1"/>
  <c r="C38" i="4"/>
  <c r="C37" i="4"/>
  <c r="C36" i="4"/>
  <c r="I36" i="4" s="1"/>
  <c r="C35" i="4"/>
  <c r="I35" i="4" s="1"/>
  <c r="C34" i="4"/>
  <c r="C33" i="4"/>
  <c r="I33" i="4" s="1"/>
  <c r="C32" i="4"/>
  <c r="C31" i="4"/>
  <c r="I31" i="4" s="1"/>
  <c r="C30" i="4"/>
  <c r="I30" i="4" s="1"/>
  <c r="C29" i="4"/>
  <c r="I29" i="4" s="1"/>
  <c r="C28" i="4"/>
  <c r="I28" i="4" s="1"/>
  <c r="C27" i="4"/>
  <c r="C26" i="4"/>
  <c r="C24" i="4"/>
  <c r="C23" i="4"/>
  <c r="I23" i="4" s="1"/>
  <c r="C22" i="4"/>
  <c r="I22" i="4" s="1"/>
  <c r="C21" i="4"/>
  <c r="C20" i="4"/>
  <c r="C19" i="4"/>
  <c r="C18" i="4"/>
  <c r="C17" i="4"/>
  <c r="C16" i="4"/>
  <c r="C15" i="4"/>
  <c r="C14" i="4"/>
  <c r="I14" i="4" s="1"/>
  <c r="C13" i="4"/>
  <c r="C12" i="4"/>
  <c r="I12" i="4" s="1"/>
  <c r="C11" i="4"/>
  <c r="C10" i="4"/>
  <c r="C9" i="4"/>
  <c r="I9" i="4" s="1"/>
  <c r="C8" i="4"/>
  <c r="C2" i="4"/>
  <c r="H239"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96" i="3"/>
  <c r="B95" i="3"/>
  <c r="B94" i="3"/>
  <c r="B93" i="3"/>
  <c r="B92" i="3"/>
  <c r="B91" i="3"/>
  <c r="B90" i="3"/>
  <c r="B89" i="3"/>
  <c r="B88" i="3"/>
  <c r="B87" i="3"/>
  <c r="B86"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H38" i="3"/>
  <c r="B38" i="3"/>
  <c r="H37" i="3"/>
  <c r="B37" i="3"/>
  <c r="H36" i="3"/>
  <c r="B36" i="3"/>
  <c r="H35" i="3"/>
  <c r="B35" i="3"/>
  <c r="H34" i="3"/>
  <c r="B34" i="3"/>
  <c r="H33" i="3"/>
  <c r="B33" i="3"/>
  <c r="H32" i="3"/>
  <c r="B32" i="3"/>
  <c r="H31" i="3"/>
  <c r="B31" i="3"/>
  <c r="H30" i="3"/>
  <c r="B30" i="3"/>
  <c r="H29" i="3"/>
  <c r="B29" i="3"/>
  <c r="H28" i="3"/>
  <c r="B28" i="3"/>
  <c r="H27" i="3"/>
  <c r="B27" i="3"/>
  <c r="H26" i="3"/>
  <c r="B26" i="3"/>
  <c r="H25" i="3"/>
  <c r="B25" i="3"/>
  <c r="H24" i="3"/>
  <c r="B24" i="3"/>
  <c r="H23" i="3"/>
  <c r="B23" i="3"/>
  <c r="H22" i="3"/>
  <c r="B22" i="3"/>
  <c r="H21" i="3"/>
  <c r="B21" i="3"/>
  <c r="H20" i="3"/>
  <c r="B20" i="3"/>
  <c r="H19" i="3"/>
  <c r="B19" i="3"/>
  <c r="H18" i="3"/>
  <c r="B18" i="3"/>
  <c r="H17" i="3"/>
  <c r="B17" i="3"/>
  <c r="H16" i="3"/>
  <c r="B16" i="3"/>
  <c r="H15" i="3"/>
  <c r="B15" i="3"/>
  <c r="H14" i="3"/>
  <c r="B14" i="3"/>
  <c r="H13" i="3"/>
  <c r="B13" i="3"/>
  <c r="H12" i="3"/>
  <c r="B12" i="3"/>
  <c r="H11" i="3"/>
  <c r="B11" i="3"/>
  <c r="H10" i="3"/>
  <c r="B10" i="3"/>
  <c r="H9" i="3"/>
  <c r="B9" i="3"/>
  <c r="H8" i="3"/>
  <c r="B8" i="3"/>
  <c r="H7" i="3"/>
  <c r="B7" i="3"/>
  <c r="H6" i="3"/>
  <c r="B6" i="3"/>
  <c r="B5" i="3"/>
  <c r="H52" i="2"/>
  <c r="B52" i="2"/>
  <c r="I47" i="2"/>
  <c r="B9" i="2"/>
  <c r="E14" i="26"/>
  <c r="H51" i="26" s="1"/>
  <c r="E7" i="26"/>
  <c r="E5" i="26"/>
  <c r="B55" i="6"/>
  <c r="I52" i="6"/>
  <c r="G48" i="6"/>
  <c r="E43" i="6"/>
  <c r="E45" i="6" s="1"/>
  <c r="D40" i="6"/>
  <c r="O8" i="6"/>
  <c r="T23" i="6" s="1"/>
  <c r="T16" i="6"/>
  <c r="S16" i="6"/>
  <c r="G16" i="6"/>
  <c r="F46" i="4"/>
  <c r="B43" i="1"/>
  <c r="J45" i="4"/>
  <c r="F45" i="4"/>
  <c r="G45" i="4" s="1"/>
  <c r="B42" i="1"/>
  <c r="F44" i="4"/>
  <c r="B41" i="1"/>
  <c r="J43" i="4"/>
  <c r="F43" i="4"/>
  <c r="B40" i="1"/>
  <c r="B37" i="1"/>
  <c r="B36" i="1"/>
  <c r="B35" i="1"/>
  <c r="B34" i="1"/>
  <c r="B33" i="1"/>
  <c r="B32" i="1"/>
  <c r="B31" i="1"/>
  <c r="S22" i="5"/>
  <c r="S51" i="5" s="1"/>
  <c r="B30" i="1"/>
  <c r="S21" i="5"/>
  <c r="B29" i="1"/>
  <c r="S20" i="5"/>
  <c r="S50" i="5" s="1"/>
  <c r="B28" i="1"/>
  <c r="B27" i="1"/>
  <c r="S18" i="5"/>
  <c r="B26" i="1"/>
  <c r="B25" i="1"/>
  <c r="B24" i="1"/>
  <c r="S15" i="5"/>
  <c r="S48" i="5" s="1"/>
  <c r="B23" i="1"/>
  <c r="S14" i="5"/>
  <c r="S47" i="5" s="1"/>
  <c r="B22" i="1"/>
  <c r="B21" i="1"/>
  <c r="B20" i="1"/>
  <c r="S12" i="5"/>
  <c r="B19" i="1"/>
  <c r="B18" i="1"/>
  <c r="B17" i="1"/>
  <c r="S11" i="5"/>
  <c r="B16" i="1"/>
  <c r="B15" i="1"/>
  <c r="S9" i="5"/>
  <c r="S45" i="5" s="1"/>
  <c r="B14" i="1"/>
  <c r="B13" i="1"/>
  <c r="B12" i="1"/>
  <c r="B11" i="1"/>
  <c r="B10" i="1"/>
  <c r="B9" i="1"/>
  <c r="B8" i="1"/>
  <c r="B7" i="1"/>
  <c r="B6" i="1"/>
  <c r="F78" i="4"/>
  <c r="B5" i="1"/>
  <c r="F8" i="4" l="1"/>
  <c r="I8" i="4"/>
  <c r="H6" i="8" s="1"/>
  <c r="H78" i="4"/>
  <c r="G78" i="4"/>
  <c r="H9" i="2"/>
  <c r="P11" i="1"/>
  <c r="K14" i="4" s="1"/>
  <c r="G46" i="4"/>
  <c r="H46" i="4"/>
  <c r="G44" i="4"/>
  <c r="H44" i="4"/>
  <c r="P11" i="6"/>
  <c r="P13" i="6" s="1"/>
  <c r="S12" i="6" s="1"/>
  <c r="A45" i="8"/>
  <c r="E10" i="4"/>
  <c r="D8" i="8" s="1"/>
  <c r="I10" i="4"/>
  <c r="E18" i="4"/>
  <c r="D16" i="8" s="1"/>
  <c r="I18" i="4"/>
  <c r="E26" i="4"/>
  <c r="D24" i="8" s="1"/>
  <c r="I26" i="4"/>
  <c r="E34" i="4"/>
  <c r="D32" i="8" s="1"/>
  <c r="I34" i="4"/>
  <c r="E38" i="4"/>
  <c r="D36" i="8" s="1"/>
  <c r="I38" i="4"/>
  <c r="H36" i="8" s="1"/>
  <c r="E11" i="4"/>
  <c r="I11" i="4"/>
  <c r="H9" i="8" s="1"/>
  <c r="E15" i="4"/>
  <c r="D13" i="8" s="1"/>
  <c r="I15" i="4"/>
  <c r="H13" i="8" s="1"/>
  <c r="E19" i="4"/>
  <c r="D17" i="8" s="1"/>
  <c r="I19" i="4"/>
  <c r="H17" i="8" s="1"/>
  <c r="E27" i="4"/>
  <c r="D25" i="8" s="1"/>
  <c r="I27" i="4"/>
  <c r="H25" i="8" s="1"/>
  <c r="I16" i="4"/>
  <c r="H14" i="8" s="1"/>
  <c r="I20" i="4"/>
  <c r="E24" i="4"/>
  <c r="D22" i="8" s="1"/>
  <c r="I24" i="4"/>
  <c r="E32" i="4"/>
  <c r="D30" i="8" s="1"/>
  <c r="I32" i="4"/>
  <c r="H30" i="8" s="1"/>
  <c r="E13" i="4"/>
  <c r="D11" i="8" s="1"/>
  <c r="I13" i="4"/>
  <c r="H11" i="8" s="1"/>
  <c r="I17" i="4"/>
  <c r="H15" i="8" s="1"/>
  <c r="E21" i="4"/>
  <c r="D19" i="8" s="1"/>
  <c r="I21" i="4"/>
  <c r="H19" i="8" s="1"/>
  <c r="I25" i="4"/>
  <c r="H23" i="8" s="1"/>
  <c r="E37" i="4"/>
  <c r="D35" i="8" s="1"/>
  <c r="I37" i="4"/>
  <c r="H35" i="8" s="1"/>
  <c r="P19" i="1"/>
  <c r="P21" i="1"/>
  <c r="P32" i="1"/>
  <c r="T24" i="5" s="1"/>
  <c r="P34" i="1"/>
  <c r="P8" i="1"/>
  <c r="P6" i="1"/>
  <c r="P17" i="1"/>
  <c r="P25" i="1"/>
  <c r="P13" i="1"/>
  <c r="P14" i="1"/>
  <c r="P22" i="1"/>
  <c r="P30" i="1"/>
  <c r="P35" i="1"/>
  <c r="K38" i="4" s="1"/>
  <c r="J36" i="8" s="1"/>
  <c r="B46" i="8"/>
  <c r="K46" i="8" s="1"/>
  <c r="B49" i="8"/>
  <c r="K49" i="8" s="1"/>
  <c r="B6" i="8"/>
  <c r="K6" i="8" s="1"/>
  <c r="O6" i="8" s="1"/>
  <c r="B47" i="8"/>
  <c r="K47" i="8" s="1"/>
  <c r="J39" i="8"/>
  <c r="D31" i="4"/>
  <c r="E31" i="4"/>
  <c r="D29" i="8" s="1"/>
  <c r="H33" i="8"/>
  <c r="O33" i="8" s="1"/>
  <c r="E35" i="4"/>
  <c r="E8" i="4"/>
  <c r="D6" i="8" s="1"/>
  <c r="D39" i="8"/>
  <c r="D23" i="8"/>
  <c r="D43" i="8"/>
  <c r="E43" i="8"/>
  <c r="H44" i="8"/>
  <c r="D42" i="8"/>
  <c r="I42" i="8"/>
  <c r="I44" i="8"/>
  <c r="D37" i="8"/>
  <c r="D41" i="8"/>
  <c r="E42" i="8"/>
  <c r="H42" i="8"/>
  <c r="D40" i="8"/>
  <c r="D44" i="8"/>
  <c r="H43" i="8"/>
  <c r="H41" i="8"/>
  <c r="H40" i="8"/>
  <c r="H37" i="8"/>
  <c r="H39" i="8"/>
  <c r="D38" i="8"/>
  <c r="I39" i="8"/>
  <c r="I40" i="8"/>
  <c r="E39" i="8"/>
  <c r="H10" i="8"/>
  <c r="O10" i="8" s="1"/>
  <c r="E12" i="4"/>
  <c r="D10" i="8" s="1"/>
  <c r="E16" i="4"/>
  <c r="D14" i="8" s="1"/>
  <c r="D20" i="4"/>
  <c r="E20" i="4"/>
  <c r="D36" i="4"/>
  <c r="E36" i="4"/>
  <c r="E41" i="8"/>
  <c r="H7" i="8"/>
  <c r="E9" i="4"/>
  <c r="D7" i="8" s="1"/>
  <c r="E17" i="4"/>
  <c r="D15" i="8" s="1"/>
  <c r="H27" i="8"/>
  <c r="E29" i="4"/>
  <c r="D27" i="8" s="1"/>
  <c r="H31" i="8"/>
  <c r="E33" i="4"/>
  <c r="D31" i="8" s="1"/>
  <c r="D23" i="4"/>
  <c r="E23" i="4"/>
  <c r="D21" i="8" s="1"/>
  <c r="D28" i="4"/>
  <c r="E28" i="4"/>
  <c r="D26" i="8" s="1"/>
  <c r="I37" i="8"/>
  <c r="I41" i="8"/>
  <c r="B14" i="4"/>
  <c r="E14" i="4"/>
  <c r="D12" i="8" s="1"/>
  <c r="B22" i="4"/>
  <c r="E22" i="4"/>
  <c r="D20" i="8" s="1"/>
  <c r="B30" i="4"/>
  <c r="E30" i="4"/>
  <c r="D28" i="8" s="1"/>
  <c r="B38" i="4"/>
  <c r="I43" i="8"/>
  <c r="H45" i="4"/>
  <c r="A34" i="8"/>
  <c r="A30" i="8"/>
  <c r="A35" i="8"/>
  <c r="B10" i="2"/>
  <c r="P43" i="1"/>
  <c r="K50" i="4" s="1"/>
  <c r="P41" i="1"/>
  <c r="P33" i="1"/>
  <c r="P20" i="1"/>
  <c r="P18" i="1"/>
  <c r="F14" i="4"/>
  <c r="P9" i="1"/>
  <c r="P7" i="1"/>
  <c r="P42" i="1"/>
  <c r="D12" i="4"/>
  <c r="I6" i="5"/>
  <c r="S7" i="5"/>
  <c r="S44" i="5" s="1"/>
  <c r="P12" i="1"/>
  <c r="K15" i="4" s="1"/>
  <c r="J13" i="8" s="1"/>
  <c r="T22" i="5"/>
  <c r="T51" i="5" s="1"/>
  <c r="T14" i="5"/>
  <c r="T47" i="5" s="1"/>
  <c r="I11" i="5"/>
  <c r="T9" i="5"/>
  <c r="T45" i="5" s="1"/>
  <c r="T12" i="5"/>
  <c r="I8" i="5"/>
  <c r="H10" i="5"/>
  <c r="H14" i="5" s="1"/>
  <c r="S6" i="5"/>
  <c r="P10" i="1"/>
  <c r="K13" i="4" s="1"/>
  <c r="J11" i="8" s="1"/>
  <c r="I12" i="5"/>
  <c r="P23" i="1"/>
  <c r="K26" i="4" s="1"/>
  <c r="P28" i="1"/>
  <c r="K31" i="4" s="1"/>
  <c r="J29" i="8" s="1"/>
  <c r="J25" i="4"/>
  <c r="I23" i="8" s="1"/>
  <c r="A11" i="8"/>
  <c r="A19" i="8"/>
  <c r="I9" i="5"/>
  <c r="P16" i="1"/>
  <c r="T17" i="5"/>
  <c r="T49" i="5" s="1"/>
  <c r="P26" i="1"/>
  <c r="K29" i="4" s="1"/>
  <c r="J27" i="8" s="1"/>
  <c r="P29" i="1"/>
  <c r="P39" i="1"/>
  <c r="F42" i="4"/>
  <c r="E40" i="8" s="1"/>
  <c r="I5" i="2"/>
  <c r="D9" i="2" s="1"/>
  <c r="J10" i="4"/>
  <c r="I8" i="8" s="1"/>
  <c r="J13" i="4"/>
  <c r="I11" i="8" s="1"/>
  <c r="F20" i="4"/>
  <c r="F22" i="4"/>
  <c r="E20" i="8" s="1"/>
  <c r="J32" i="4"/>
  <c r="I30" i="8" s="1"/>
  <c r="A9" i="8"/>
  <c r="A12" i="8"/>
  <c r="A20" i="8"/>
  <c r="A25" i="8"/>
  <c r="O25" i="8"/>
  <c r="A28" i="8"/>
  <c r="A10" i="8"/>
  <c r="A15" i="8"/>
  <c r="A18" i="8"/>
  <c r="A23" i="8"/>
  <c r="A26" i="8"/>
  <c r="K39" i="4"/>
  <c r="J37" i="8" s="1"/>
  <c r="T26" i="5"/>
  <c r="F39" i="4"/>
  <c r="E37" i="8" s="1"/>
  <c r="S26" i="5"/>
  <c r="T8" i="5"/>
  <c r="I13" i="5"/>
  <c r="I6" i="8"/>
  <c r="J18" i="4"/>
  <c r="I16" i="8" s="1"/>
  <c r="J37" i="4"/>
  <c r="I35" i="8" s="1"/>
  <c r="A8" i="8"/>
  <c r="O13" i="8"/>
  <c r="A13" i="8"/>
  <c r="A16" i="8"/>
  <c r="A21" i="8"/>
  <c r="A24" i="8"/>
  <c r="A29" i="8"/>
  <c r="A31" i="8"/>
  <c r="A33" i="8"/>
  <c r="O27" i="8"/>
  <c r="P37" i="1"/>
  <c r="K40" i="4" s="1"/>
  <c r="F40" i="4"/>
  <c r="A48" i="8"/>
  <c r="B48" i="8"/>
  <c r="K48" i="8" s="1"/>
  <c r="P31" i="1"/>
  <c r="P24" i="1"/>
  <c r="K27" i="4" s="1"/>
  <c r="J25" i="8" s="1"/>
  <c r="P15" i="1"/>
  <c r="K18" i="4" s="1"/>
  <c r="J16" i="8" s="1"/>
  <c r="S10" i="5"/>
  <c r="S46" i="5" s="1"/>
  <c r="T25" i="5"/>
  <c r="S25" i="5"/>
  <c r="P27" i="1"/>
  <c r="H43" i="4"/>
  <c r="G43" i="4"/>
  <c r="J33" i="4"/>
  <c r="I31" i="8" s="1"/>
  <c r="F13" i="4"/>
  <c r="E11" i="8" s="1"/>
  <c r="F15" i="4"/>
  <c r="E13" i="8" s="1"/>
  <c r="B9" i="4"/>
  <c r="B11" i="4"/>
  <c r="B13" i="4"/>
  <c r="B17" i="4"/>
  <c r="B19" i="4"/>
  <c r="B21" i="4"/>
  <c r="B25" i="4"/>
  <c r="B27" i="4"/>
  <c r="B29" i="4"/>
  <c r="B33" i="4"/>
  <c r="B35" i="4"/>
  <c r="B37" i="4"/>
  <c r="J27" i="4"/>
  <c r="I25" i="8" s="1"/>
  <c r="J21" i="4"/>
  <c r="I19" i="8" s="1"/>
  <c r="J17" i="4"/>
  <c r="I15" i="8" s="1"/>
  <c r="J15" i="4"/>
  <c r="I13" i="8" s="1"/>
  <c r="F37" i="4"/>
  <c r="E35" i="8" s="1"/>
  <c r="F32" i="4"/>
  <c r="E30" i="8" s="1"/>
  <c r="J29" i="4"/>
  <c r="I27" i="8" s="1"/>
  <c r="J23" i="4"/>
  <c r="I21" i="8" s="1"/>
  <c r="F21" i="4"/>
  <c r="E19" i="8" s="1"/>
  <c r="F17" i="4"/>
  <c r="F9" i="4"/>
  <c r="D9" i="4"/>
  <c r="D13" i="4"/>
  <c r="D15" i="4"/>
  <c r="D17" i="4"/>
  <c r="D21" i="4"/>
  <c r="D29" i="4"/>
  <c r="D33" i="4"/>
  <c r="D37" i="4"/>
  <c r="J38" i="4"/>
  <c r="I36" i="8" s="1"/>
  <c r="F25" i="4"/>
  <c r="E23" i="8" s="1"/>
  <c r="A38" i="8"/>
  <c r="D10" i="4"/>
  <c r="F12" i="4"/>
  <c r="E10" i="8" s="1"/>
  <c r="B12" i="4"/>
  <c r="D18" i="4"/>
  <c r="J20" i="4"/>
  <c r="B20" i="4"/>
  <c r="H21" i="8"/>
  <c r="F23" i="4"/>
  <c r="E21" i="8" s="1"/>
  <c r="F26" i="4"/>
  <c r="E24" i="8" s="1"/>
  <c r="D26" i="4"/>
  <c r="J26" i="4"/>
  <c r="B28" i="4"/>
  <c r="H26" i="8"/>
  <c r="H29" i="8"/>
  <c r="D34" i="4"/>
  <c r="J36" i="4"/>
  <c r="B36" i="4"/>
  <c r="K28" i="4"/>
  <c r="J26" i="8" s="1"/>
  <c r="F36" i="4"/>
  <c r="E34" i="8" s="1"/>
  <c r="J34" i="4"/>
  <c r="I32" i="8" s="1"/>
  <c r="F31" i="4"/>
  <c r="E29" i="8" s="1"/>
  <c r="J12" i="4"/>
  <c r="I10" i="8" s="1"/>
  <c r="D14" i="4"/>
  <c r="F19" i="4"/>
  <c r="E17" i="8" s="1"/>
  <c r="D22" i="4"/>
  <c r="J24" i="4"/>
  <c r="I22" i="8" s="1"/>
  <c r="B24" i="4"/>
  <c r="J30" i="4"/>
  <c r="I28" i="8" s="1"/>
  <c r="D30" i="4"/>
  <c r="B32" i="4"/>
  <c r="D38" i="4"/>
  <c r="J35" i="4"/>
  <c r="I33" i="8" s="1"/>
  <c r="F30" i="4"/>
  <c r="E28" i="8" s="1"/>
  <c r="J28" i="4"/>
  <c r="I26" i="8" s="1"/>
  <c r="F27" i="4"/>
  <c r="E25" i="8" s="1"/>
  <c r="F18" i="4"/>
  <c r="E16" i="8" s="1"/>
  <c r="J11" i="4"/>
  <c r="F10" i="4"/>
  <c r="E8" i="8" s="1"/>
  <c r="B8" i="4"/>
  <c r="J16" i="4"/>
  <c r="I14" i="8" s="1"/>
  <c r="B16" i="4"/>
  <c r="D8" i="4"/>
  <c r="B10" i="4"/>
  <c r="D11" i="4"/>
  <c r="B15" i="4"/>
  <c r="D16" i="4"/>
  <c r="B18" i="4"/>
  <c r="D19" i="4"/>
  <c r="B23" i="4"/>
  <c r="D24" i="4"/>
  <c r="B26" i="4"/>
  <c r="D27" i="4"/>
  <c r="B31" i="4"/>
  <c r="D32" i="4"/>
  <c r="B34" i="4"/>
  <c r="D35" i="4"/>
  <c r="F38" i="4"/>
  <c r="E36" i="8" s="1"/>
  <c r="J31" i="4"/>
  <c r="I29" i="8" s="1"/>
  <c r="F28" i="4"/>
  <c r="E26" i="8" s="1"/>
  <c r="F24" i="4"/>
  <c r="J22" i="4"/>
  <c r="I20" i="8" s="1"/>
  <c r="J19" i="4"/>
  <c r="I17" i="8" s="1"/>
  <c r="F16" i="4"/>
  <c r="E14" i="8" s="1"/>
  <c r="J14" i="4"/>
  <c r="F11" i="4"/>
  <c r="E9" i="8" s="1"/>
  <c r="F35" i="4"/>
  <c r="F33" i="4"/>
  <c r="F29" i="4"/>
  <c r="J9" i="4"/>
  <c r="I7" i="8" s="1"/>
  <c r="A41" i="8"/>
  <c r="P40" i="1"/>
  <c r="E38" i="26"/>
  <c r="E37" i="26"/>
  <c r="T23" i="5"/>
  <c r="F34" i="4"/>
  <c r="E32" i="8" s="1"/>
  <c r="S23" i="5"/>
  <c r="K35" i="4"/>
  <c r="H112" i="1"/>
  <c r="D45" i="8"/>
  <c r="G46" i="8"/>
  <c r="I46" i="8"/>
  <c r="G49" i="8"/>
  <c r="I48" i="8"/>
  <c r="E48" i="8"/>
  <c r="G47" i="8"/>
  <c r="I49" i="8"/>
  <c r="E49" i="8"/>
  <c r="G48" i="8"/>
  <c r="I47" i="8"/>
  <c r="E47" i="8"/>
  <c r="D49" i="8"/>
  <c r="J48" i="8"/>
  <c r="H47" i="8"/>
  <c r="H49" i="8"/>
  <c r="F48" i="8"/>
  <c r="D47" i="8"/>
  <c r="F47" i="8"/>
  <c r="H46" i="8"/>
  <c r="D46" i="8"/>
  <c r="J45" i="8"/>
  <c r="F45" i="8"/>
  <c r="F49" i="8"/>
  <c r="H48" i="8"/>
  <c r="J46" i="8"/>
  <c r="F46" i="8"/>
  <c r="H45" i="8"/>
  <c r="E45" i="8"/>
  <c r="I45" i="8"/>
  <c r="J49" i="8"/>
  <c r="D48" i="8"/>
  <c r="J47" i="8"/>
  <c r="G45" i="8"/>
  <c r="L111" i="1"/>
  <c r="H8" i="4" l="1"/>
  <c r="G8" i="4"/>
  <c r="E9" i="2"/>
  <c r="D9" i="8"/>
  <c r="I9" i="8"/>
  <c r="G9" i="8" s="1"/>
  <c r="L9" i="8" s="1"/>
  <c r="I7" i="5"/>
  <c r="K78" i="4"/>
  <c r="H10" i="2"/>
  <c r="E11" i="6"/>
  <c r="K33" i="4"/>
  <c r="J31" i="8" s="1"/>
  <c r="R14" i="4"/>
  <c r="K17" i="4"/>
  <c r="J15" i="8" s="1"/>
  <c r="K9" i="4"/>
  <c r="K37" i="4"/>
  <c r="J35" i="8" s="1"/>
  <c r="K20" i="4"/>
  <c r="K46" i="4"/>
  <c r="K32" i="4"/>
  <c r="J30" i="8" s="1"/>
  <c r="E44" i="8"/>
  <c r="G44" i="8" s="1"/>
  <c r="L44" i="8" s="1"/>
  <c r="R44" i="4"/>
  <c r="K44" i="4"/>
  <c r="J42" i="8" s="1"/>
  <c r="H38" i="8"/>
  <c r="O38" i="8" s="1"/>
  <c r="E38" i="8"/>
  <c r="I38" i="8"/>
  <c r="I34" i="8"/>
  <c r="D34" i="8"/>
  <c r="D33" i="8"/>
  <c r="E31" i="8"/>
  <c r="G31" i="8" s="1"/>
  <c r="L31" i="8" s="1"/>
  <c r="I18" i="8"/>
  <c r="E18" i="8"/>
  <c r="D18" i="8"/>
  <c r="I24" i="8"/>
  <c r="H24" i="8"/>
  <c r="K25" i="4"/>
  <c r="J23" i="8" s="1"/>
  <c r="K24" i="4"/>
  <c r="J22" i="8" s="1"/>
  <c r="K10" i="4"/>
  <c r="J8" i="8" s="1"/>
  <c r="K22" i="4"/>
  <c r="J20" i="8" s="1"/>
  <c r="K16" i="4"/>
  <c r="J14" i="8" s="1"/>
  <c r="I12" i="8"/>
  <c r="J12" i="8"/>
  <c r="E12" i="8"/>
  <c r="K11" i="4"/>
  <c r="R35" i="4"/>
  <c r="D10" i="2"/>
  <c r="R34" i="4"/>
  <c r="G14" i="8"/>
  <c r="L14" i="8" s="1"/>
  <c r="G41" i="8"/>
  <c r="L41" i="8" s="1"/>
  <c r="G39" i="8"/>
  <c r="L39" i="8" s="1"/>
  <c r="G37" i="8"/>
  <c r="L37" i="8" s="1"/>
  <c r="G40" i="8"/>
  <c r="L40" i="8" s="1"/>
  <c r="G43" i="8"/>
  <c r="L43" i="8" s="1"/>
  <c r="G42" i="8"/>
  <c r="L42" i="8" s="1"/>
  <c r="B11" i="2"/>
  <c r="G26" i="8"/>
  <c r="L26" i="8" s="1"/>
  <c r="G36" i="8"/>
  <c r="L36" i="8" s="1"/>
  <c r="G30" i="8"/>
  <c r="L30" i="8" s="1"/>
  <c r="G25" i="8"/>
  <c r="L25" i="8" s="1"/>
  <c r="G23" i="8"/>
  <c r="L23" i="8" s="1"/>
  <c r="G19" i="8"/>
  <c r="L19" i="8" s="1"/>
  <c r="G29" i="4"/>
  <c r="E27" i="8"/>
  <c r="G27" i="8" s="1"/>
  <c r="L27" i="8" s="1"/>
  <c r="R24" i="4"/>
  <c r="E22" i="8"/>
  <c r="H28" i="8"/>
  <c r="O28" i="8" s="1"/>
  <c r="G17" i="8"/>
  <c r="L17" i="8" s="1"/>
  <c r="G10" i="8"/>
  <c r="L10" i="8" s="1"/>
  <c r="R17" i="4"/>
  <c r="E15" i="8"/>
  <c r="G15" i="8" s="1"/>
  <c r="L15" i="8" s="1"/>
  <c r="R45" i="4"/>
  <c r="K45" i="4"/>
  <c r="H20" i="8"/>
  <c r="G20" i="8" s="1"/>
  <c r="H22" i="8"/>
  <c r="O22" i="8" s="1"/>
  <c r="H16" i="8"/>
  <c r="O16" i="8" s="1"/>
  <c r="G21" i="8"/>
  <c r="L21" i="8" s="1"/>
  <c r="G35" i="4"/>
  <c r="E33" i="8"/>
  <c r="G33" i="8" s="1"/>
  <c r="L33" i="8" s="1"/>
  <c r="H8" i="8"/>
  <c r="G8" i="8" s="1"/>
  <c r="F90" i="4"/>
  <c r="E6" i="8"/>
  <c r="G6" i="8" s="1"/>
  <c r="H12" i="8"/>
  <c r="O12" i="8" s="1"/>
  <c r="G13" i="8"/>
  <c r="L13" i="8" s="1"/>
  <c r="H34" i="8"/>
  <c r="O34" i="8" s="1"/>
  <c r="G29" i="8"/>
  <c r="L29" i="8" s="1"/>
  <c r="H32" i="8"/>
  <c r="G32" i="8" s="1"/>
  <c r="L32" i="8" s="1"/>
  <c r="G9" i="4"/>
  <c r="E7" i="8"/>
  <c r="G7" i="8" s="1"/>
  <c r="L7" i="8" s="1"/>
  <c r="G11" i="8"/>
  <c r="L11" i="8" s="1"/>
  <c r="G35" i="8"/>
  <c r="L35" i="8" s="1"/>
  <c r="H18" i="8"/>
  <c r="R40" i="4"/>
  <c r="K36" i="4"/>
  <c r="J34" i="8" s="1"/>
  <c r="K23" i="4"/>
  <c r="J21" i="8" s="1"/>
  <c r="T13" i="5"/>
  <c r="R23" i="4"/>
  <c r="K21" i="4"/>
  <c r="J19" i="8" s="1"/>
  <c r="R21" i="4"/>
  <c r="K12" i="4"/>
  <c r="J10" i="8" s="1"/>
  <c r="R22" i="4"/>
  <c r="S67" i="5"/>
  <c r="E10" i="2"/>
  <c r="O15" i="8"/>
  <c r="O9" i="8"/>
  <c r="H20" i="4"/>
  <c r="G37" i="4"/>
  <c r="R20" i="4"/>
  <c r="T19" i="5"/>
  <c r="O29" i="8"/>
  <c r="O11" i="8"/>
  <c r="G40" i="4"/>
  <c r="H40" i="4"/>
  <c r="R42" i="4"/>
  <c r="K42" i="4"/>
  <c r="J40" i="8" s="1"/>
  <c r="T6" i="5"/>
  <c r="I10" i="5"/>
  <c r="R13" i="4"/>
  <c r="S30" i="5"/>
  <c r="K34" i="4"/>
  <c r="J32" i="8" s="1"/>
  <c r="K8" i="4"/>
  <c r="R12" i="4"/>
  <c r="T21" i="5"/>
  <c r="R32" i="4"/>
  <c r="T20" i="5"/>
  <c r="T50" i="5" s="1"/>
  <c r="R31" i="4"/>
  <c r="T7" i="5"/>
  <c r="T44" i="5" s="1"/>
  <c r="R15" i="4"/>
  <c r="R18" i="4"/>
  <c r="T10" i="5"/>
  <c r="T46" i="5" s="1"/>
  <c r="T18" i="5"/>
  <c r="R29" i="4"/>
  <c r="T11" i="5"/>
  <c r="R19" i="4"/>
  <c r="K19" i="4"/>
  <c r="J17" i="8" s="1"/>
  <c r="T15" i="5"/>
  <c r="T48" i="5" s="1"/>
  <c r="R26" i="4"/>
  <c r="G20" i="4"/>
  <c r="R38" i="4"/>
  <c r="K30" i="4"/>
  <c r="J28" i="8" s="1"/>
  <c r="O19" i="8"/>
  <c r="T16" i="5"/>
  <c r="R27" i="4"/>
  <c r="H39" i="4"/>
  <c r="R39" i="4"/>
  <c r="G39" i="4"/>
  <c r="H42" i="4"/>
  <c r="G42" i="4"/>
  <c r="R9" i="4"/>
  <c r="R43" i="4"/>
  <c r="K43" i="4"/>
  <c r="J41" i="8" s="1"/>
  <c r="G21" i="4"/>
  <c r="G13" i="4"/>
  <c r="G25" i="4"/>
  <c r="H17" i="4"/>
  <c r="H13" i="4"/>
  <c r="H21" i="4"/>
  <c r="H37" i="4"/>
  <c r="H33" i="4"/>
  <c r="G26" i="4"/>
  <c r="R37" i="4"/>
  <c r="G17" i="4"/>
  <c r="H25" i="4"/>
  <c r="R25" i="4"/>
  <c r="G22" i="4"/>
  <c r="H16" i="4"/>
  <c r="H29" i="4"/>
  <c r="H15" i="4"/>
  <c r="G31" i="4"/>
  <c r="H12" i="4"/>
  <c r="H19" i="4"/>
  <c r="H36" i="4"/>
  <c r="R16" i="4"/>
  <c r="G33" i="4"/>
  <c r="H11" i="4"/>
  <c r="H10" i="4"/>
  <c r="H26" i="4"/>
  <c r="G24" i="4"/>
  <c r="G27" i="4"/>
  <c r="G28" i="4"/>
  <c r="H24" i="4"/>
  <c r="G15" i="4"/>
  <c r="G30" i="4"/>
  <c r="H28" i="4"/>
  <c r="G16" i="4"/>
  <c r="R33" i="4"/>
  <c r="G12" i="4"/>
  <c r="O37" i="8"/>
  <c r="H35" i="4"/>
  <c r="H18" i="4"/>
  <c r="H14" i="4"/>
  <c r="R36" i="4"/>
  <c r="G32" i="4"/>
  <c r="G23" i="4"/>
  <c r="H31" i="4"/>
  <c r="G19" i="4"/>
  <c r="H22" i="4"/>
  <c r="H27" i="4"/>
  <c r="R30" i="4"/>
  <c r="G36" i="4"/>
  <c r="H30" i="4"/>
  <c r="S6" i="8"/>
  <c r="R11" i="4"/>
  <c r="H9" i="4"/>
  <c r="G38" i="4"/>
  <c r="H32" i="4"/>
  <c r="H38" i="4"/>
  <c r="G11" i="4"/>
  <c r="H23" i="4"/>
  <c r="G14" i="4"/>
  <c r="G18" i="4"/>
  <c r="R10" i="4"/>
  <c r="G10" i="4"/>
  <c r="R28" i="4"/>
  <c r="G34" i="4"/>
  <c r="H34" i="4"/>
  <c r="J114" i="1"/>
  <c r="O7" i="8"/>
  <c r="O21" i="8"/>
  <c r="J9" i="8" l="1"/>
  <c r="F9" i="8" s="1"/>
  <c r="I14" i="5"/>
  <c r="R78" i="4"/>
  <c r="H11" i="2"/>
  <c r="R46" i="4"/>
  <c r="R50" i="4"/>
  <c r="J44" i="8"/>
  <c r="F44" i="8" s="1"/>
  <c r="E12" i="6"/>
  <c r="E13" i="6" s="1"/>
  <c r="H12" i="6" s="1"/>
  <c r="J7" i="8"/>
  <c r="F7" i="8" s="1"/>
  <c r="G9" i="2"/>
  <c r="G10" i="2"/>
  <c r="G38" i="8"/>
  <c r="L38" i="8" s="1"/>
  <c r="J38" i="8"/>
  <c r="J33" i="8"/>
  <c r="F33" i="8" s="1"/>
  <c r="G24" i="8"/>
  <c r="L24" i="8" s="1"/>
  <c r="G18" i="8"/>
  <c r="L18" i="8" s="1"/>
  <c r="J18" i="8"/>
  <c r="J24" i="8"/>
  <c r="P6" i="8"/>
  <c r="L6" i="8"/>
  <c r="F14" i="8"/>
  <c r="F37" i="8"/>
  <c r="F41" i="8"/>
  <c r="F39" i="8"/>
  <c r="F42" i="8"/>
  <c r="F40" i="8"/>
  <c r="D11" i="2"/>
  <c r="E11" i="2"/>
  <c r="B12" i="2"/>
  <c r="F26" i="8"/>
  <c r="F23" i="8"/>
  <c r="F17" i="8"/>
  <c r="F21" i="8"/>
  <c r="F36" i="8"/>
  <c r="G12" i="8"/>
  <c r="L12" i="8" s="1"/>
  <c r="G16" i="8"/>
  <c r="G34" i="8"/>
  <c r="L34" i="8" s="1"/>
  <c r="L8" i="8"/>
  <c r="F8" i="8"/>
  <c r="L20" i="8"/>
  <c r="F20" i="8"/>
  <c r="F25" i="8"/>
  <c r="O20" i="8"/>
  <c r="F27" i="8"/>
  <c r="O8" i="8"/>
  <c r="S8" i="8" s="1"/>
  <c r="T8" i="8" s="1"/>
  <c r="F15" i="8"/>
  <c r="G22" i="8"/>
  <c r="F35" i="8"/>
  <c r="F19" i="8"/>
  <c r="F31" i="8"/>
  <c r="G28" i="8"/>
  <c r="L28" i="8" s="1"/>
  <c r="F30" i="8"/>
  <c r="H90" i="4"/>
  <c r="F95" i="4" s="1"/>
  <c r="F29" i="8"/>
  <c r="J6" i="8"/>
  <c r="F6" i="8" s="1"/>
  <c r="K90" i="4"/>
  <c r="O18" i="8"/>
  <c r="O32" i="8"/>
  <c r="J43" i="8"/>
  <c r="F43" i="8" s="1"/>
  <c r="F13" i="8"/>
  <c r="G90" i="4"/>
  <c r="F92" i="4" s="1"/>
  <c r="F32" i="8"/>
  <c r="F10" i="8"/>
  <c r="F11" i="8"/>
  <c r="E46" i="8"/>
  <c r="F240" i="3"/>
  <c r="P9" i="8"/>
  <c r="T30" i="5"/>
  <c r="I40" i="26"/>
  <c r="T67" i="5"/>
  <c r="K4" i="4"/>
  <c r="T6" i="8"/>
  <c r="P7" i="8"/>
  <c r="S7" i="8"/>
  <c r="T7" i="8" s="1"/>
  <c r="S9" i="8"/>
  <c r="T9" i="8" s="1"/>
  <c r="F242" i="3" l="1"/>
  <c r="L11" i="4"/>
  <c r="L57" i="4"/>
  <c r="M57" i="4" s="1"/>
  <c r="N57" i="4" s="1"/>
  <c r="L52" i="4"/>
  <c r="Q52" i="4" s="1"/>
  <c r="L42" i="4"/>
  <c r="Q42" i="4" s="1"/>
  <c r="L79" i="4"/>
  <c r="O79" i="4" s="1"/>
  <c r="L15" i="4"/>
  <c r="O15" i="4" s="1"/>
  <c r="L77" i="4"/>
  <c r="L64" i="4"/>
  <c r="M64" i="4" s="1"/>
  <c r="N64" i="4" s="1"/>
  <c r="L70" i="4"/>
  <c r="L17" i="4"/>
  <c r="Q17" i="4" s="1"/>
  <c r="N15" i="8" s="1"/>
  <c r="L27" i="4"/>
  <c r="Q27" i="4" s="1"/>
  <c r="L69" i="4"/>
  <c r="L60" i="4"/>
  <c r="Q60" i="4" s="1"/>
  <c r="L58" i="4"/>
  <c r="O58" i="4" s="1"/>
  <c r="L87" i="4"/>
  <c r="M87" i="4" s="1"/>
  <c r="P87" i="4" s="1"/>
  <c r="L23" i="4"/>
  <c r="L61" i="4"/>
  <c r="Q61" i="4" s="1"/>
  <c r="L56" i="4"/>
  <c r="Q56" i="4" s="1"/>
  <c r="L50" i="4"/>
  <c r="O50" i="4" s="1"/>
  <c r="L83" i="4"/>
  <c r="M83" i="4" s="1"/>
  <c r="N83" i="4" s="1"/>
  <c r="L19" i="4"/>
  <c r="Q19" i="4" s="1"/>
  <c r="N17" i="8" s="1"/>
  <c r="L20" i="4"/>
  <c r="Q20" i="4" s="1"/>
  <c r="L53" i="4"/>
  <c r="Q53" i="4" s="1"/>
  <c r="L54" i="4"/>
  <c r="Q54" i="4" s="1"/>
  <c r="L32" i="4"/>
  <c r="L59" i="4"/>
  <c r="M59" i="4" s="1"/>
  <c r="N59" i="4" s="1"/>
  <c r="L46" i="4"/>
  <c r="L28" i="4"/>
  <c r="L55" i="4"/>
  <c r="Q55" i="4" s="1"/>
  <c r="L88" i="4"/>
  <c r="M88" i="4" s="1"/>
  <c r="N88" i="4" s="1"/>
  <c r="L65" i="4"/>
  <c r="Q65" i="4" s="1"/>
  <c r="L68" i="4"/>
  <c r="O68" i="4" s="1"/>
  <c r="L25" i="4"/>
  <c r="O25" i="4" s="1"/>
  <c r="L31" i="4"/>
  <c r="O31" i="4" s="1"/>
  <c r="L80" i="4"/>
  <c r="M80" i="4" s="1"/>
  <c r="N80" i="4" s="1"/>
  <c r="L45" i="4"/>
  <c r="L14" i="4"/>
  <c r="L12" i="4"/>
  <c r="L39" i="4"/>
  <c r="Q39" i="4" s="1"/>
  <c r="L86" i="4"/>
  <c r="M86" i="4" s="1"/>
  <c r="N86" i="4" s="1"/>
  <c r="L35" i="4"/>
  <c r="L62" i="4"/>
  <c r="M62" i="4" s="1"/>
  <c r="P62" i="4" s="1"/>
  <c r="L21" i="4"/>
  <c r="L36" i="4"/>
  <c r="O36" i="4" s="1"/>
  <c r="L8" i="4"/>
  <c r="R8" i="4" s="1"/>
  <c r="R4" i="4" s="1"/>
  <c r="L63" i="4"/>
  <c r="M63" i="4" s="1"/>
  <c r="N63" i="4" s="1"/>
  <c r="L82" i="4"/>
  <c r="O82" i="4" s="1"/>
  <c r="L49" i="4"/>
  <c r="M49" i="4" s="1"/>
  <c r="N49" i="4" s="1"/>
  <c r="L48" i="4"/>
  <c r="M48" i="4" s="1"/>
  <c r="N48" i="4" s="1"/>
  <c r="L30" i="4"/>
  <c r="L75" i="4"/>
  <c r="L74" i="4"/>
  <c r="L41" i="4"/>
  <c r="Q41" i="4" s="1"/>
  <c r="L44" i="4"/>
  <c r="L26" i="4"/>
  <c r="O26" i="4" s="1"/>
  <c r="L71" i="4"/>
  <c r="L66" i="4"/>
  <c r="M66" i="4" s="1"/>
  <c r="L29" i="4"/>
  <c r="L40" i="4"/>
  <c r="Q40" i="4" s="1"/>
  <c r="L18" i="4"/>
  <c r="Q18" i="4" s="1"/>
  <c r="N16" i="8" s="1"/>
  <c r="L67" i="4"/>
  <c r="L34" i="4"/>
  <c r="L84" i="4"/>
  <c r="M84" i="4" s="1"/>
  <c r="N84" i="4" s="1"/>
  <c r="L47" i="4"/>
  <c r="M47" i="4" s="1"/>
  <c r="P47" i="4" s="1"/>
  <c r="L13" i="4"/>
  <c r="O13" i="4" s="1"/>
  <c r="L81" i="4"/>
  <c r="M81" i="4" s="1"/>
  <c r="N81" i="4" s="1"/>
  <c r="L9" i="4"/>
  <c r="L73" i="4"/>
  <c r="L38" i="4"/>
  <c r="L24" i="4"/>
  <c r="L51" i="4"/>
  <c r="M51" i="4" s="1"/>
  <c r="P51" i="4" s="1"/>
  <c r="L85" i="4"/>
  <c r="M85" i="4" s="1"/>
  <c r="N85" i="4" s="1"/>
  <c r="L78" i="4"/>
  <c r="L22" i="4"/>
  <c r="Q22" i="4" s="1"/>
  <c r="N20" i="8" s="1"/>
  <c r="L16" i="4"/>
  <c r="Q16" i="4" s="1"/>
  <c r="N14" i="8" s="1"/>
  <c r="L43" i="4"/>
  <c r="Q43" i="4" s="1"/>
  <c r="L76" i="4"/>
  <c r="L37" i="4"/>
  <c r="L10" i="4"/>
  <c r="O10" i="4" s="1"/>
  <c r="L72" i="4"/>
  <c r="L33" i="4"/>
  <c r="H12" i="2"/>
  <c r="O64" i="4"/>
  <c r="G11" i="2"/>
  <c r="F38" i="8"/>
  <c r="P8" i="8"/>
  <c r="F24" i="8"/>
  <c r="F18" i="8"/>
  <c r="B13" i="2"/>
  <c r="D12" i="2"/>
  <c r="E12" i="2"/>
  <c r="F28" i="8"/>
  <c r="F34" i="8"/>
  <c r="F12" i="8"/>
  <c r="L16" i="8"/>
  <c r="F16" i="8"/>
  <c r="L22" i="8"/>
  <c r="F22" i="8"/>
  <c r="H92" i="4"/>
  <c r="S10" i="8"/>
  <c r="T10" i="8" s="1"/>
  <c r="P10" i="8"/>
  <c r="M78" i="4" l="1"/>
  <c r="N78" i="4" s="1"/>
  <c r="Q78" i="4"/>
  <c r="O77" i="4"/>
  <c r="Q77" i="4"/>
  <c r="M76" i="4"/>
  <c r="N76" i="4" s="1"/>
  <c r="Q76" i="4"/>
  <c r="M75" i="4"/>
  <c r="N75" i="4" s="1"/>
  <c r="Q75" i="4"/>
  <c r="O74" i="4"/>
  <c r="Q74" i="4"/>
  <c r="M58" i="4"/>
  <c r="N58" i="4" s="1"/>
  <c r="O83" i="4"/>
  <c r="Q64" i="4"/>
  <c r="M73" i="4"/>
  <c r="N73" i="4" s="1"/>
  <c r="Q73" i="4"/>
  <c r="O72" i="4"/>
  <c r="Q72" i="4"/>
  <c r="M71" i="4"/>
  <c r="P71" i="4" s="1"/>
  <c r="Q71" i="4"/>
  <c r="M70" i="4"/>
  <c r="N70" i="4" s="1"/>
  <c r="Q70" i="4"/>
  <c r="O71" i="4"/>
  <c r="M74" i="4"/>
  <c r="N74" i="4" s="1"/>
  <c r="O81" i="4"/>
  <c r="Q58" i="4"/>
  <c r="O69" i="4"/>
  <c r="Q69" i="4"/>
  <c r="M68" i="4"/>
  <c r="P68" i="4" s="1"/>
  <c r="Q68" i="4"/>
  <c r="P85" i="4"/>
  <c r="N47" i="4"/>
  <c r="P49" i="4"/>
  <c r="P83" i="4"/>
  <c r="M67" i="4"/>
  <c r="P67" i="4" s="1"/>
  <c r="Q67" i="4"/>
  <c r="P86" i="4"/>
  <c r="O73" i="4"/>
  <c r="Q47" i="4"/>
  <c r="M54" i="4"/>
  <c r="P54" i="4" s="1"/>
  <c r="O47" i="4"/>
  <c r="Q49" i="4"/>
  <c r="O86" i="4"/>
  <c r="O49" i="4"/>
  <c r="M69" i="4"/>
  <c r="P69" i="4" s="1"/>
  <c r="O54" i="4"/>
  <c r="O56" i="4"/>
  <c r="M65" i="4"/>
  <c r="P65" i="4" s="1"/>
  <c r="Q66" i="4"/>
  <c r="M56" i="4"/>
  <c r="P56" i="4" s="1"/>
  <c r="P88" i="4"/>
  <c r="O88" i="4"/>
  <c r="O59" i="4"/>
  <c r="Q62" i="4"/>
  <c r="O62" i="4"/>
  <c r="P81" i="4"/>
  <c r="P57" i="4"/>
  <c r="O63" i="4"/>
  <c r="Q57" i="4"/>
  <c r="Q59" i="4"/>
  <c r="Q63" i="4"/>
  <c r="N51" i="4"/>
  <c r="O57" i="4"/>
  <c r="O51" i="4"/>
  <c r="M72" i="4"/>
  <c r="P72" i="4" s="1"/>
  <c r="P84" i="4"/>
  <c r="O78" i="4"/>
  <c r="O32" i="4"/>
  <c r="P48" i="4"/>
  <c r="O85" i="4"/>
  <c r="O52" i="4"/>
  <c r="N87" i="4"/>
  <c r="O66" i="4"/>
  <c r="M55" i="4"/>
  <c r="P55" i="4" s="1"/>
  <c r="O87" i="4"/>
  <c r="O60" i="4"/>
  <c r="O84" i="4"/>
  <c r="M77" i="4"/>
  <c r="P77" i="4" s="1"/>
  <c r="M50" i="4"/>
  <c r="N50" i="4" s="1"/>
  <c r="P80" i="4"/>
  <c r="O48" i="4"/>
  <c r="Q48" i="4"/>
  <c r="O53" i="4"/>
  <c r="Q50" i="4"/>
  <c r="M61" i="4"/>
  <c r="P61" i="4" s="1"/>
  <c r="P66" i="4"/>
  <c r="N66" i="4"/>
  <c r="O61" i="4"/>
  <c r="O76" i="4"/>
  <c r="O55" i="4"/>
  <c r="G17" i="6"/>
  <c r="B23" i="6" s="1"/>
  <c r="M79" i="4"/>
  <c r="P79" i="4" s="1"/>
  <c r="O67" i="4"/>
  <c r="O65" i="4"/>
  <c r="M52" i="4"/>
  <c r="P52" i="4" s="1"/>
  <c r="M60" i="4"/>
  <c r="N60" i="4" s="1"/>
  <c r="M53" i="4"/>
  <c r="O70" i="4"/>
  <c r="O75" i="4"/>
  <c r="Q51" i="4"/>
  <c r="O80" i="4"/>
  <c r="M82" i="4"/>
  <c r="N82" i="4" s="1"/>
  <c r="H13" i="2"/>
  <c r="P63" i="4"/>
  <c r="P59" i="4"/>
  <c r="P64" i="4"/>
  <c r="N62" i="4"/>
  <c r="G12" i="2"/>
  <c r="Q34" i="4"/>
  <c r="N32" i="8" s="1"/>
  <c r="E13" i="2"/>
  <c r="B14" i="2"/>
  <c r="F14" i="2" s="1"/>
  <c r="D13" i="2"/>
  <c r="O8" i="4"/>
  <c r="O42" i="4"/>
  <c r="M34" i="4"/>
  <c r="N34" i="4" s="1"/>
  <c r="M32" i="4"/>
  <c r="N32" i="4" s="1"/>
  <c r="O37" i="4"/>
  <c r="Q32" i="4"/>
  <c r="N30" i="8" s="1"/>
  <c r="L46" i="8"/>
  <c r="Q44" i="4"/>
  <c r="M44" i="4"/>
  <c r="O44" i="4"/>
  <c r="Q45" i="4"/>
  <c r="M45" i="4"/>
  <c r="O45" i="4"/>
  <c r="M46" i="4"/>
  <c r="Q46" i="4"/>
  <c r="O46" i="4"/>
  <c r="U26" i="5"/>
  <c r="N37" i="8"/>
  <c r="R37" i="8"/>
  <c r="N41" i="8"/>
  <c r="R41" i="8"/>
  <c r="U27" i="5"/>
  <c r="R39" i="8"/>
  <c r="N39" i="8"/>
  <c r="R20" i="8"/>
  <c r="N25" i="8"/>
  <c r="R25" i="8"/>
  <c r="N40" i="8"/>
  <c r="R40" i="8"/>
  <c r="Q29" i="4"/>
  <c r="M14" i="4"/>
  <c r="P14" i="4" s="1"/>
  <c r="M37" i="4"/>
  <c r="N37" i="4" s="1"/>
  <c r="M8" i="4"/>
  <c r="N8" i="4" s="1"/>
  <c r="Q25" i="4"/>
  <c r="O43" i="4"/>
  <c r="Q14" i="4"/>
  <c r="N12" i="8" s="1"/>
  <c r="Q37" i="4"/>
  <c r="O14" i="4"/>
  <c r="O29" i="4"/>
  <c r="M43" i="4"/>
  <c r="P43" i="4" s="1"/>
  <c r="O28" i="4"/>
  <c r="M40" i="4"/>
  <c r="P40" i="4" s="1"/>
  <c r="M12" i="4"/>
  <c r="N12" i="4" s="1"/>
  <c r="M38" i="4"/>
  <c r="N38" i="4" s="1"/>
  <c r="O9" i="4"/>
  <c r="M25" i="4"/>
  <c r="N25" i="4" s="1"/>
  <c r="Q11" i="4"/>
  <c r="Q26" i="4"/>
  <c r="M11" i="4"/>
  <c r="P11" i="4" s="1"/>
  <c r="Q8" i="4"/>
  <c r="R38" i="8" s="1"/>
  <c r="M20" i="4"/>
  <c r="P20" i="4" s="1"/>
  <c r="O34" i="4"/>
  <c r="O11" i="4"/>
  <c r="O38" i="4"/>
  <c r="O35" i="4"/>
  <c r="M26" i="4"/>
  <c r="N26" i="4" s="1"/>
  <c r="M9" i="4"/>
  <c r="N9" i="4" s="1"/>
  <c r="Q12" i="4"/>
  <c r="N10" i="8" s="1"/>
  <c r="O20" i="4"/>
  <c r="O12" i="4"/>
  <c r="M28" i="4"/>
  <c r="N28" i="4" s="1"/>
  <c r="Q9" i="4"/>
  <c r="N7" i="8" s="1"/>
  <c r="Q38" i="4"/>
  <c r="M29" i="4"/>
  <c r="P29" i="4" s="1"/>
  <c r="Q28" i="4"/>
  <c r="Q31" i="4"/>
  <c r="M35" i="4"/>
  <c r="N35" i="4" s="1"/>
  <c r="Q35" i="4"/>
  <c r="M31" i="4"/>
  <c r="N31" i="4" s="1"/>
  <c r="O16" i="4"/>
  <c r="O33" i="4"/>
  <c r="M13" i="4"/>
  <c r="N13" i="4" s="1"/>
  <c r="M36" i="4"/>
  <c r="P36" i="4" s="1"/>
  <c r="M10" i="4"/>
  <c r="P10" i="4" s="1"/>
  <c r="O30" i="4"/>
  <c r="Q30" i="4"/>
  <c r="Q10" i="4"/>
  <c r="N8" i="8" s="1"/>
  <c r="O39" i="4"/>
  <c r="M30" i="4"/>
  <c r="N30" i="4" s="1"/>
  <c r="Q21" i="4"/>
  <c r="N19" i="8" s="1"/>
  <c r="M16" i="4"/>
  <c r="N16" i="4" s="1"/>
  <c r="O21" i="4"/>
  <c r="M41" i="4"/>
  <c r="N41" i="4" s="1"/>
  <c r="Q13" i="4"/>
  <c r="N11" i="8" s="1"/>
  <c r="M21" i="4"/>
  <c r="P21" i="4" s="1"/>
  <c r="M33" i="4"/>
  <c r="N33" i="4" s="1"/>
  <c r="O27" i="4"/>
  <c r="O17" i="4"/>
  <c r="U12" i="5"/>
  <c r="U16" i="5"/>
  <c r="Q15" i="4"/>
  <c r="N13" i="8" s="1"/>
  <c r="M23" i="4"/>
  <c r="N23" i="4" s="1"/>
  <c r="M24" i="4"/>
  <c r="P24" i="4" s="1"/>
  <c r="M27" i="4"/>
  <c r="N27" i="4" s="1"/>
  <c r="M39" i="4"/>
  <c r="N39" i="4" s="1"/>
  <c r="M42" i="4"/>
  <c r="P42" i="4" s="1"/>
  <c r="Q33" i="4"/>
  <c r="Q24" i="4"/>
  <c r="M22" i="4"/>
  <c r="N22" i="4" s="1"/>
  <c r="M17" i="4"/>
  <c r="N17" i="4" s="1"/>
  <c r="O19" i="4"/>
  <c r="O23" i="4"/>
  <c r="Q23" i="4"/>
  <c r="N21" i="8" s="1"/>
  <c r="Q36" i="4"/>
  <c r="M15" i="4"/>
  <c r="N15" i="4" s="1"/>
  <c r="M19" i="4"/>
  <c r="N19" i="4" s="1"/>
  <c r="O18" i="4"/>
  <c r="O22" i="4"/>
  <c r="O24" i="4"/>
  <c r="M18" i="4"/>
  <c r="N18" i="4" s="1"/>
  <c r="O41" i="4"/>
  <c r="O40" i="4"/>
  <c r="S11" i="8"/>
  <c r="T11" i="8" s="1"/>
  <c r="P11" i="8"/>
  <c r="P78" i="4" l="1"/>
  <c r="P76" i="4"/>
  <c r="P75" i="4"/>
  <c r="P58" i="4"/>
  <c r="P73" i="4"/>
  <c r="N71" i="4"/>
  <c r="P70" i="4"/>
  <c r="N69" i="4"/>
  <c r="P74" i="4"/>
  <c r="N68" i="4"/>
  <c r="N54" i="4"/>
  <c r="N67" i="4"/>
  <c r="N65" i="4"/>
  <c r="N56" i="4"/>
  <c r="N55" i="4"/>
  <c r="P50" i="4"/>
  <c r="N79" i="4"/>
  <c r="P60" i="4"/>
  <c r="N72" i="4"/>
  <c r="N61" i="4"/>
  <c r="N77" i="4"/>
  <c r="P53" i="4"/>
  <c r="N53" i="4"/>
  <c r="N52" i="4"/>
  <c r="P82" i="4"/>
  <c r="H14" i="2"/>
  <c r="G13" i="2"/>
  <c r="N38" i="8"/>
  <c r="N9" i="8"/>
  <c r="N18" i="8"/>
  <c r="U21" i="5"/>
  <c r="P32" i="4"/>
  <c r="R32" i="8"/>
  <c r="B15" i="2"/>
  <c r="F15" i="2" s="1"/>
  <c r="E14" i="2"/>
  <c r="D14" i="2"/>
  <c r="P34" i="4"/>
  <c r="R30" i="8"/>
  <c r="N14" i="4"/>
  <c r="P8" i="4"/>
  <c r="R43" i="8"/>
  <c r="N43" i="8"/>
  <c r="N46" i="4"/>
  <c r="P46" i="4"/>
  <c r="N44" i="4"/>
  <c r="P44" i="4"/>
  <c r="N44" i="8"/>
  <c r="R44" i="8"/>
  <c r="O90" i="4"/>
  <c r="U6" i="5"/>
  <c r="R6" i="8"/>
  <c r="N6" i="8"/>
  <c r="P45" i="4"/>
  <c r="N45" i="4"/>
  <c r="N42" i="8"/>
  <c r="R42" i="8"/>
  <c r="R17" i="8"/>
  <c r="J10" i="5"/>
  <c r="R11" i="8"/>
  <c r="N28" i="8"/>
  <c r="R28" i="8"/>
  <c r="U17" i="5"/>
  <c r="N26" i="8"/>
  <c r="R26" i="8"/>
  <c r="J12" i="5"/>
  <c r="R18" i="8"/>
  <c r="U47" i="5"/>
  <c r="R23" i="8"/>
  <c r="N23" i="8"/>
  <c r="R21" i="8"/>
  <c r="N22" i="8"/>
  <c r="R22" i="8"/>
  <c r="U8" i="5"/>
  <c r="R14" i="8"/>
  <c r="R31" i="8"/>
  <c r="N31" i="8"/>
  <c r="U44" i="5"/>
  <c r="R13" i="8"/>
  <c r="U25" i="5"/>
  <c r="N36" i="8"/>
  <c r="R36" i="8"/>
  <c r="R10" i="8"/>
  <c r="U48" i="5"/>
  <c r="N24" i="8"/>
  <c r="R24" i="8"/>
  <c r="U24" i="5"/>
  <c r="R35" i="8"/>
  <c r="N35" i="8"/>
  <c r="U18" i="5"/>
  <c r="R27" i="8"/>
  <c r="N27" i="8"/>
  <c r="N34" i="8"/>
  <c r="R34" i="8"/>
  <c r="U46" i="5"/>
  <c r="R16" i="8"/>
  <c r="R15" i="8"/>
  <c r="J13" i="5"/>
  <c r="R19" i="8"/>
  <c r="J7" i="5"/>
  <c r="R8" i="8"/>
  <c r="N33" i="8"/>
  <c r="R33" i="8"/>
  <c r="U50" i="5"/>
  <c r="N29" i="8"/>
  <c r="R29" i="8"/>
  <c r="R7" i="8"/>
  <c r="R9" i="8"/>
  <c r="R12" i="8"/>
  <c r="P37" i="4"/>
  <c r="N21" i="4"/>
  <c r="N29" i="4"/>
  <c r="N40" i="4"/>
  <c r="J6" i="5"/>
  <c r="U49" i="5"/>
  <c r="P28" i="4"/>
  <c r="P25" i="4"/>
  <c r="N43" i="4"/>
  <c r="P9" i="4"/>
  <c r="P12" i="4"/>
  <c r="P26" i="4"/>
  <c r="U9" i="5"/>
  <c r="J11" i="5"/>
  <c r="U14" i="5"/>
  <c r="P22" i="4"/>
  <c r="P35" i="4"/>
  <c r="N11" i="4"/>
  <c r="J8" i="5"/>
  <c r="P38" i="4"/>
  <c r="P41" i="4"/>
  <c r="U20" i="5"/>
  <c r="N20" i="4"/>
  <c r="U15" i="5"/>
  <c r="J9" i="5"/>
  <c r="U23" i="5"/>
  <c r="U13" i="5"/>
  <c r="P17" i="4"/>
  <c r="P33" i="4"/>
  <c r="P30" i="4"/>
  <c r="P31" i="4"/>
  <c r="N24" i="4"/>
  <c r="N36" i="4"/>
  <c r="N10" i="4"/>
  <c r="P23" i="4"/>
  <c r="U10" i="5"/>
  <c r="U45" i="5"/>
  <c r="P27" i="4"/>
  <c r="P13" i="4"/>
  <c r="P16" i="4"/>
  <c r="P15" i="4"/>
  <c r="P39" i="4"/>
  <c r="U19" i="5"/>
  <c r="N42" i="4"/>
  <c r="U51" i="5"/>
  <c r="U7" i="5"/>
  <c r="P19" i="4"/>
  <c r="P18" i="4"/>
  <c r="U22" i="5"/>
  <c r="U11" i="5"/>
  <c r="S12" i="8"/>
  <c r="T12" i="8" s="1"/>
  <c r="P12" i="8"/>
  <c r="H15" i="2" l="1"/>
  <c r="G14" i="2"/>
  <c r="B16" i="2"/>
  <c r="F16" i="2" s="1"/>
  <c r="E15" i="2"/>
  <c r="D15" i="2"/>
  <c r="O91" i="4"/>
  <c r="N90" i="4"/>
  <c r="P90" i="4"/>
  <c r="H16" i="2" l="1"/>
  <c r="G15" i="2"/>
  <c r="E16" i="2"/>
  <c r="B17" i="2"/>
  <c r="F17" i="2" s="1"/>
  <c r="D16" i="2"/>
  <c r="H17" i="2" l="1"/>
  <c r="G16" i="2"/>
  <c r="B18" i="2"/>
  <c r="F18" i="2" s="1"/>
  <c r="D17" i="2"/>
  <c r="E17" i="2"/>
  <c r="B19" i="2" l="1"/>
  <c r="H18" i="2"/>
  <c r="G17" i="2"/>
  <c r="D18" i="2"/>
  <c r="E18" i="2"/>
  <c r="H19" i="2" l="1"/>
  <c r="F19" i="2"/>
  <c r="G18" i="2"/>
  <c r="B20" i="2"/>
  <c r="H20" i="2" l="1"/>
  <c r="F20" i="2"/>
  <c r="E20" i="2"/>
  <c r="B21" i="2"/>
  <c r="D20" i="2"/>
  <c r="G20" i="2" l="1"/>
  <c r="H21" i="2"/>
  <c r="F21" i="2"/>
  <c r="D21" i="2"/>
  <c r="B22" i="2"/>
  <c r="E21" i="2"/>
  <c r="G21" i="2" l="1"/>
  <c r="H22" i="2"/>
  <c r="F22" i="2"/>
  <c r="B23" i="2"/>
  <c r="E22" i="2"/>
  <c r="D22" i="2"/>
  <c r="G22" i="2" l="1"/>
  <c r="H23" i="2"/>
  <c r="F23" i="2"/>
  <c r="B24" i="2"/>
  <c r="E23" i="2"/>
  <c r="D23" i="2"/>
  <c r="G23" i="2" l="1"/>
  <c r="H24" i="2"/>
  <c r="F24" i="2"/>
  <c r="B25" i="2"/>
  <c r="E24" i="2"/>
  <c r="D24" i="2"/>
  <c r="G24" i="2" l="1"/>
  <c r="H25" i="2"/>
  <c r="F25" i="2"/>
  <c r="E25" i="2"/>
  <c r="D25" i="2"/>
  <c r="B26" i="2"/>
  <c r="G25" i="2" l="1"/>
  <c r="H26" i="2"/>
  <c r="F26" i="2"/>
  <c r="D26" i="2"/>
  <c r="B27" i="2"/>
  <c r="E26" i="2"/>
  <c r="H27" i="2" l="1"/>
  <c r="F27" i="2"/>
  <c r="G26" i="2"/>
  <c r="D27" i="2"/>
  <c r="B28" i="2"/>
  <c r="E27" i="2"/>
  <c r="H28" i="2" l="1"/>
  <c r="F28" i="2"/>
  <c r="G27" i="2"/>
  <c r="D28" i="2"/>
  <c r="E28" i="2"/>
  <c r="B29" i="2"/>
  <c r="H29" i="2" l="1"/>
  <c r="F29" i="2"/>
  <c r="B30" i="2"/>
  <c r="D29" i="2"/>
  <c r="G28" i="2"/>
  <c r="E29" i="2"/>
  <c r="H30" i="2" l="1"/>
  <c r="F30" i="2"/>
  <c r="B31" i="2"/>
  <c r="E30" i="2"/>
  <c r="D30" i="2"/>
  <c r="G29" i="2"/>
  <c r="G30" i="2" l="1"/>
  <c r="H31" i="2"/>
  <c r="F31" i="2"/>
  <c r="D31" i="2"/>
  <c r="E31" i="2"/>
  <c r="B32" i="2"/>
  <c r="H32" i="2" l="1"/>
  <c r="F32" i="2"/>
  <c r="B33" i="2"/>
  <c r="D32" i="2"/>
  <c r="E32" i="2"/>
  <c r="G31" i="2"/>
  <c r="G32" i="2" l="1"/>
  <c r="H33" i="2"/>
  <c r="F33" i="2"/>
  <c r="D33" i="2"/>
  <c r="E33" i="2"/>
  <c r="B34" i="2"/>
  <c r="G33" i="2" l="1"/>
  <c r="H34" i="2"/>
  <c r="F34" i="2"/>
  <c r="E34" i="2"/>
  <c r="D34" i="2"/>
  <c r="B35" i="2"/>
  <c r="G34" i="2" l="1"/>
  <c r="H35" i="2"/>
  <c r="F35" i="2"/>
  <c r="D35" i="2"/>
  <c r="B36" i="2"/>
  <c r="E35" i="2"/>
  <c r="G35" i="2" l="1"/>
  <c r="H36" i="2"/>
  <c r="F36" i="2"/>
  <c r="D36" i="2"/>
  <c r="B37" i="2"/>
  <c r="E36" i="2"/>
  <c r="G36" i="2" l="1"/>
  <c r="H37" i="2"/>
  <c r="F37" i="2"/>
  <c r="D37" i="2"/>
  <c r="E37" i="2"/>
  <c r="B38" i="2"/>
  <c r="G37" i="2" l="1"/>
  <c r="H38" i="2"/>
  <c r="F38" i="2"/>
  <c r="B39" i="2"/>
  <c r="D38" i="2"/>
  <c r="E38" i="2"/>
  <c r="G38" i="2" l="1"/>
  <c r="H39" i="2"/>
  <c r="F39" i="2"/>
  <c r="D39" i="2"/>
  <c r="E39" i="2"/>
  <c r="B40" i="2"/>
  <c r="G39" i="2" l="1"/>
  <c r="H40" i="2"/>
  <c r="F40" i="2"/>
  <c r="D40" i="2"/>
  <c r="E40" i="2"/>
  <c r="B41" i="2"/>
  <c r="G40" i="2" l="1"/>
  <c r="H41" i="2"/>
  <c r="F41" i="2"/>
  <c r="B42" i="2"/>
  <c r="D41" i="2"/>
  <c r="E41" i="2"/>
  <c r="G41" i="2" l="1"/>
  <c r="H42" i="2"/>
  <c r="F42" i="2"/>
  <c r="E42" i="2"/>
  <c r="D42" i="2"/>
  <c r="B43" i="2"/>
  <c r="G42" i="2" l="1"/>
  <c r="H43" i="2"/>
  <c r="F43" i="2"/>
  <c r="D43" i="2"/>
  <c r="B44" i="2"/>
  <c r="E43" i="2"/>
  <c r="P13" i="8"/>
  <c r="S13" i="8"/>
  <c r="T13" i="8" s="1"/>
  <c r="G43" i="2" l="1"/>
  <c r="H44" i="2"/>
  <c r="F44" i="2"/>
  <c r="E44" i="2"/>
  <c r="E45" i="2" s="1"/>
  <c r="D44" i="2"/>
  <c r="D45" i="2" s="1"/>
  <c r="P14" i="8"/>
  <c r="P15" i="8"/>
  <c r="S15" i="8"/>
  <c r="T15" i="8" s="1"/>
  <c r="S14" i="8"/>
  <c r="T14" i="8" s="1"/>
  <c r="G44" i="2" l="1"/>
  <c r="G45" i="2" s="1"/>
  <c r="S16" i="8"/>
  <c r="T16" i="8" s="1"/>
  <c r="P16" i="8"/>
  <c r="P17" i="8" l="1"/>
  <c r="S17" i="8"/>
  <c r="T17" i="8" s="1"/>
  <c r="P18" i="8" l="1"/>
  <c r="S18" i="8"/>
  <c r="T18" i="8" s="1"/>
  <c r="P19" i="8" l="1"/>
  <c r="S19" i="8"/>
  <c r="T19" i="8" s="1"/>
  <c r="P20" i="8" l="1"/>
  <c r="S20" i="8"/>
  <c r="T20" i="8" s="1"/>
  <c r="P21" i="8" l="1"/>
  <c r="S21" i="8"/>
  <c r="T21" i="8" s="1"/>
  <c r="S22" i="8" l="1"/>
  <c r="T22" i="8" s="1"/>
  <c r="P22" i="8"/>
  <c r="P23" i="8" l="1"/>
  <c r="S23" i="8"/>
  <c r="T23" i="8" s="1"/>
  <c r="S24" i="8" l="1"/>
  <c r="T24" i="8" s="1"/>
  <c r="P24" i="8"/>
  <c r="S25" i="8" l="1"/>
  <c r="T25" i="8" s="1"/>
  <c r="P25" i="8"/>
  <c r="P26" i="8" l="1"/>
  <c r="S26" i="8"/>
  <c r="T26" i="8" s="1"/>
  <c r="S27" i="8" l="1"/>
  <c r="T27" i="8" s="1"/>
  <c r="P27" i="8"/>
  <c r="S28" i="8" l="1"/>
  <c r="T28" i="8" s="1"/>
  <c r="P28" i="8"/>
  <c r="P29" i="8" l="1"/>
  <c r="S29" i="8"/>
  <c r="T29" i="8" s="1"/>
  <c r="P30" i="8" l="1"/>
  <c r="S30" i="8"/>
  <c r="T30" i="8" s="1"/>
  <c r="S31" i="8" l="1"/>
  <c r="T31" i="8" s="1"/>
  <c r="P31" i="8"/>
  <c r="S32" i="8" l="1"/>
  <c r="T32" i="8" s="1"/>
  <c r="P32" i="8"/>
  <c r="P33" i="8" l="1"/>
  <c r="S33" i="8"/>
  <c r="T33" i="8" s="1"/>
  <c r="P34" i="8" l="1"/>
  <c r="S34" i="8"/>
  <c r="T34" i="8" s="1"/>
  <c r="P35" i="8" l="1"/>
  <c r="T35" i="8"/>
  <c r="P36" i="8" l="1"/>
  <c r="S36" i="8"/>
  <c r="T36" i="8" s="1"/>
  <c r="P37" i="8" l="1"/>
  <c r="S37" i="8"/>
  <c r="T37" i="8" s="1"/>
  <c r="P38" i="8" l="1"/>
  <c r="S38" i="8"/>
  <c r="T38" i="8" s="1"/>
  <c r="O39" i="8"/>
  <c r="P39" i="8" l="1"/>
  <c r="O40" i="8"/>
  <c r="S39" i="8"/>
  <c r="T39" i="8" s="1"/>
  <c r="P40" i="8" l="1"/>
  <c r="O41" i="8"/>
  <c r="O42" i="8" s="1"/>
  <c r="S40" i="8"/>
  <c r="T40" i="8" s="1"/>
  <c r="O43" i="8" l="1"/>
  <c r="P42" i="8"/>
  <c r="S42" i="8"/>
  <c r="T42" i="8" s="1"/>
  <c r="P41" i="8"/>
  <c r="S41" i="8"/>
  <c r="T41" i="8" s="1"/>
  <c r="O44" i="8" l="1"/>
  <c r="S43" i="8"/>
  <c r="T43" i="8" s="1"/>
  <c r="P43" i="8"/>
  <c r="P44" i="8" l="1"/>
  <c r="P46" i="8" s="1"/>
  <c r="S44" i="8"/>
  <c r="T44" i="8" s="1"/>
  <c r="T46"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RR1</author>
  </authors>
  <commentList>
    <comment ref="C4" authorId="0" shapeId="0" xr:uid="{C2DF956E-0C63-48C1-A77A-9DDF39BD4615}">
      <text>
        <r>
          <rPr>
            <b/>
            <sz val="9"/>
            <color indexed="81"/>
            <rFont val="Tahoma"/>
            <family val="2"/>
          </rPr>
          <t>RR1:</t>
        </r>
        <r>
          <rPr>
            <sz val="9"/>
            <color indexed="81"/>
            <rFont val="Tahoma"/>
            <family val="2"/>
          </rPr>
          <t xml:space="preserve">
Isi Bagian Ini</t>
        </r>
      </text>
    </comment>
    <comment ref="D4" authorId="0" shapeId="0" xr:uid="{5166EED5-CBC3-4ED8-84AB-D6BF366E042D}">
      <text>
        <r>
          <rPr>
            <b/>
            <sz val="9"/>
            <color indexed="81"/>
            <rFont val="Tahoma"/>
            <family val="2"/>
          </rPr>
          <t>RR1:</t>
        </r>
        <r>
          <rPr>
            <sz val="9"/>
            <color indexed="81"/>
            <rFont val="Tahoma"/>
            <family val="2"/>
          </rPr>
          <t xml:space="preserve">
Isi Bagian Ini</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dbPr connection="Data Model Connection" command="Model" commandType="1"/>
    <olapPr sendLocale="1" rowDrillCount="1000"/>
  </connection>
</connections>
</file>

<file path=xl/sharedStrings.xml><?xml version="1.0" encoding="utf-8"?>
<sst xmlns="http://schemas.openxmlformats.org/spreadsheetml/2006/main" count="346" uniqueCount="166">
  <si>
    <t>No</t>
  </si>
  <si>
    <t>Tanggal</t>
  </si>
  <si>
    <t>Barang</t>
  </si>
  <si>
    <t>Jumlah Unit</t>
  </si>
  <si>
    <t>Bulan Ke</t>
  </si>
  <si>
    <t>Angsuran Pokok</t>
  </si>
  <si>
    <t>Angsuran perbulan</t>
  </si>
  <si>
    <t>Jumlah</t>
  </si>
  <si>
    <t>Tanggal Tempo</t>
  </si>
  <si>
    <t>Cara Pembayaran</t>
  </si>
  <si>
    <t>Tunai</t>
  </si>
  <si>
    <t>Jumlah Angsuran</t>
  </si>
  <si>
    <t>Potongan</t>
  </si>
  <si>
    <t>Tenor</t>
  </si>
  <si>
    <t>Nama Anggota</t>
  </si>
  <si>
    <t>Kode Anggota</t>
  </si>
  <si>
    <t>Pembayaran ke-</t>
  </si>
  <si>
    <t>Angsuran</t>
  </si>
  <si>
    <t>Cicilan</t>
  </si>
  <si>
    <t>Ket</t>
  </si>
  <si>
    <t>Pokok Kredit</t>
  </si>
  <si>
    <t>Laba</t>
  </si>
  <si>
    <t>Nama Barang</t>
  </si>
  <si>
    <t>:</t>
  </si>
  <si>
    <t>Total</t>
  </si>
  <si>
    <t>Mengetahui</t>
  </si>
  <si>
    <t>Anggota</t>
  </si>
  <si>
    <t>Sisa</t>
  </si>
  <si>
    <t>Pokok</t>
  </si>
  <si>
    <t>Total Kredit</t>
  </si>
  <si>
    <t>%</t>
  </si>
  <si>
    <t>Pembayaran</t>
  </si>
  <si>
    <t>DAFTAR POTONGAN</t>
  </si>
  <si>
    <t>Bulan</t>
  </si>
  <si>
    <t>Jumlah Total</t>
  </si>
  <si>
    <t>Persentase</t>
  </si>
  <si>
    <t>Sri Nurhayati</t>
  </si>
  <si>
    <t>Harga Kredit</t>
  </si>
  <si>
    <t>Angsuran/Bulan</t>
  </si>
  <si>
    <t>Nama barang</t>
  </si>
  <si>
    <t>Bendahara KPRI SEHAT RSJ Prov JABAR</t>
  </si>
  <si>
    <t>Dedi Suhaedi</t>
  </si>
  <si>
    <t>P8</t>
  </si>
  <si>
    <t>P10</t>
  </si>
  <si>
    <r>
      <t>KPRI “SEHAT”</t>
    </r>
    <r>
      <rPr>
        <sz val="9"/>
        <color indexed="8"/>
        <rFont val="Times New Roman"/>
        <family val="1"/>
      </rPr>
      <t xml:space="preserve"> </t>
    </r>
    <r>
      <rPr>
        <b/>
        <sz val="9"/>
        <color indexed="8"/>
        <rFont val="Times New Roman"/>
        <family val="1"/>
      </rPr>
      <t xml:space="preserve"> </t>
    </r>
  </si>
  <si>
    <t>PEGAWAI RS JIWA PROV. JAWA BARAT</t>
  </si>
  <si>
    <t>JL. KOLONEL MASTURI TELP. (022) 2700260 CISARUA-CIMAHI 40551</t>
  </si>
  <si>
    <t>NPWP NO. 01.723.0-421.000</t>
  </si>
  <si>
    <t>BKK. No. ………………….</t>
  </si>
  <si>
    <t>BUKTI PENERIMAAN KAS</t>
  </si>
  <si>
    <t xml:space="preserve">Diterima dari </t>
  </si>
  <si>
    <t>Rp.</t>
  </si>
  <si>
    <t>Jumlah dengan huruf</t>
  </si>
  <si>
    <t>JUMLAH</t>
  </si>
  <si>
    <t>Untuk Pembayaran</t>
  </si>
  <si>
    <t>Mana Suka : 7.600.000,-</t>
  </si>
  <si>
    <t>Dedi Suhaedi, AMK.</t>
  </si>
  <si>
    <t>Mohammad Eka Suhendi,S.E.</t>
  </si>
  <si>
    <t>Bendahara</t>
  </si>
  <si>
    <t>Sub. Bagian Kas</t>
  </si>
  <si>
    <t>Diisi oleh Bag. Pembukuan</t>
  </si>
  <si>
    <t>No. Perk</t>
  </si>
  <si>
    <t>Debet   (Rp.)</t>
  </si>
  <si>
    <t>Kredit   (Rp.)</t>
  </si>
  <si>
    <t>Keterangan</t>
  </si>
  <si>
    <t>Tgl. Pembukuan :</t>
  </si>
  <si>
    <t>Hal. Buku Harian :</t>
  </si>
  <si>
    <t>Pelunasan Pinjaman</t>
  </si>
  <si>
    <t xml:space="preserve">Paraf : </t>
  </si>
  <si>
    <t xml:space="preserve"> </t>
  </si>
  <si>
    <t>BUKTI PENGELUARAN KAS</t>
  </si>
  <si>
    <t>Cisarua</t>
  </si>
  <si>
    <t>Sisa Angsuran :</t>
  </si>
  <si>
    <t>Pembayaran Ke</t>
  </si>
  <si>
    <t>Pembelian</t>
  </si>
  <si>
    <t>P11</t>
  </si>
  <si>
    <t>Dibayar  kepada</t>
  </si>
  <si>
    <t>TUNAI</t>
  </si>
  <si>
    <t>Ketua</t>
  </si>
  <si>
    <t>Penerima</t>
  </si>
  <si>
    <t>Sub Bagian Kas</t>
  </si>
  <si>
    <t>Per</t>
  </si>
  <si>
    <t>Cisarua,</t>
  </si>
  <si>
    <t xml:space="preserve">Angsuran </t>
  </si>
  <si>
    <t>MEI 2019 - MARET 2020</t>
  </si>
  <si>
    <t>Pajak (0,5%)</t>
  </si>
  <si>
    <t>PERHITUNGAN LABA DAN SHU ANGGOTA</t>
  </si>
  <si>
    <t>KREDIT BARANG</t>
  </si>
  <si>
    <t>SHU</t>
  </si>
  <si>
    <t>Perhitungan Per Des 2019</t>
  </si>
  <si>
    <t>Perhitungan Per Des 2020</t>
  </si>
  <si>
    <t>Uang Muka</t>
  </si>
  <si>
    <t>SURAT PERJANJIAN</t>
  </si>
  <si>
    <t>JUAL-BELI</t>
  </si>
  <si>
    <t>Hari</t>
  </si>
  <si>
    <t>Oleh dan antara pihak-pihak :</t>
  </si>
  <si>
    <t>1.</t>
  </si>
  <si>
    <t>Nama</t>
  </si>
  <si>
    <t>2.</t>
  </si>
  <si>
    <t>Dalam hal yang diuraikan di bawah ini bertindak untuk diri sendiri / dalam kedudukannya sebagai Anggota KPRI SEHAT RS Jiwa Provinsi Jawa Barat, bertindak untuk dan atas nama. Untuk selanjutnya disebut: PIHAK KEDUA, disebut juga PEMBELI</t>
  </si>
  <si>
    <t>Dalam hal yang diuraikan di bawah ini bertindak dalam kedudukan selaku Bendahara KPRI SEHAT RS Jiwa Provinsi Jawa Barat. Untuk selanjutnya disebut : PIHAK PERTAMA, disebut juga PENJUAL.</t>
  </si>
  <si>
    <t>Para pihak terlebih dahulu menerangkan hal-hal sebagai berikut:</t>
  </si>
  <si>
    <t>Bahwa, Pembeli telah mengajukan permohonan kepada KPRI SEHAT RS Jiwa Provinsi Jawa Barat untuk membeli barang sebagaimana didefinisilan dalam Perjanjian ini, dan berdasarkan permohonan Pembeli tersebut Penjual menyetujui, dan dengan Perjanjian ini mengikatkan diri untuk membeli, menyediakan, dan selanjutnya menjual barang tersebut kepada Pembeli sesuai dengan ketentuan-ketentuan serta syarat-syarat yang ditetapkan dan diatur dalam perjanjian ini.</t>
  </si>
  <si>
    <t>a.</t>
  </si>
  <si>
    <t>Pembeli untuk dan atas nama Penjual membeli barang dari pemasok, sesuai dengan permohonan dan untuk memenuhi kepentingan Pembeli berdasarkan harga beli Penjual yang telah disepakati bersama oleh Penjual dan Pembeli, dan selanjutnya Penjual menjual dengan harga jual kepada Pembeli yang telah disepakati oleh Penjual dan Pembeli.</t>
  </si>
  <si>
    <t>b.</t>
  </si>
  <si>
    <t>Penyerahan barang tersebut dilakukan langsung oleh Pemasok kepada Pembeli dengan sepengetahuan Penjual.</t>
  </si>
  <si>
    <t>c.</t>
  </si>
  <si>
    <t>Dalam jangka waktu yang disepakati Penjual dan Pembeli, Pembeli membayar harga pokok yaitu beli barang oleh Penjual dari Pemasok ditambah margin keuntungan yang diperoleh Penjual, sehingga karenanya, sebelum Pembeli melunasi pembayaran harga jual kepada Penjual, Pembeli berutang kepada Penjual.</t>
  </si>
  <si>
    <t>Demikianlah, Surat Perjanjian ini dibuat dan ditandatangani oleh Penjual dan Pembeli cukup dalam dua rangkap, yang masing-masing disimpan oleh Penjual dan Pembeli, dan masing-masing berlaku sebagai aslinya</t>
  </si>
  <si>
    <t>Pihak Penjual</t>
  </si>
  <si>
    <t>Pihak Pembeli</t>
  </si>
  <si>
    <t>Perjanjian jual-beli dibuat dan di tandangani pada :</t>
  </si>
  <si>
    <t>Pukul</t>
  </si>
  <si>
    <t>Harga Pokok</t>
  </si>
  <si>
    <t>Harga Jual</t>
  </si>
  <si>
    <t>3.</t>
  </si>
  <si>
    <t>Spesifikasi Barang yang di perjualbelikan</t>
  </si>
  <si>
    <t>KET</t>
  </si>
  <si>
    <t>BUKTI PENERIMAAN UANG MUKA</t>
  </si>
  <si>
    <t>Sebesar</t>
  </si>
  <si>
    <t>Uang Muka Pembelian</t>
  </si>
  <si>
    <t>P21</t>
  </si>
  <si>
    <t>Jangka Waktu</t>
  </si>
  <si>
    <t>P24</t>
  </si>
  <si>
    <t>P26</t>
  </si>
  <si>
    <t>DAFTAR POTONGAN IBK</t>
  </si>
  <si>
    <t>Oktober 2019</t>
  </si>
  <si>
    <t>Sisa Pelunasan</t>
  </si>
  <si>
    <t xml:space="preserve">                                                                                                                                                                                                                                                                                                                                                                                                                                                                                                                                                                                                                                                                                                                                                            </t>
  </si>
  <si>
    <t>Margin</t>
  </si>
  <si>
    <t>Jasa Masuk</t>
  </si>
  <si>
    <t>Ttd</t>
  </si>
  <si>
    <t>Tf BJB Tgl.................</t>
  </si>
  <si>
    <t>Manasuka :  153.000,-</t>
  </si>
  <si>
    <t xml:space="preserve">  </t>
  </si>
  <si>
    <t>Berdasarkan ketentuan , pembelian barang oleh Penjual dari pemasok dan penjualan barang tersebut oleh Penjual kepada Pembeli berlangsung menurut ketentuan-ketentuan sebagai berikut:</t>
  </si>
  <si>
    <t>Pembayaran tiap bulan</t>
  </si>
  <si>
    <t>Keuntungan</t>
  </si>
  <si>
    <t xml:space="preserve">               </t>
  </si>
  <si>
    <t>Bulan Lalu</t>
  </si>
  <si>
    <t>TTD</t>
  </si>
  <si>
    <t>Januari 2020 - Desember 2020</t>
  </si>
  <si>
    <t>0139</t>
  </si>
  <si>
    <t>Nur Ahmadi</t>
  </si>
  <si>
    <t>Nomor Anggota</t>
  </si>
  <si>
    <t>Nomor Anggota :</t>
  </si>
  <si>
    <t>Bendahara KPRI SEHAT</t>
  </si>
  <si>
    <t>Anggota KPRI SEHAT</t>
  </si>
  <si>
    <t>Biaya ADM</t>
  </si>
  <si>
    <t>0119</t>
  </si>
  <si>
    <t>Harga Jual Koperasi</t>
  </si>
  <si>
    <t>Total Angsuran (Bulanan)</t>
  </si>
  <si>
    <t>Tahun 2022</t>
  </si>
  <si>
    <t>Harga Pokok Pembelian</t>
  </si>
  <si>
    <t>Ongkos Kirim</t>
  </si>
  <si>
    <t>A</t>
  </si>
  <si>
    <t>Samsudin</t>
  </si>
  <si>
    <t>Total Pembiayaan</t>
  </si>
  <si>
    <t>Pokok Pembiayaan</t>
  </si>
  <si>
    <t>No. ………………….</t>
  </si>
  <si>
    <t>DATA PENGAMBIL DANA PEMBIAYAAN</t>
  </si>
  <si>
    <t>RINCIAN ANGSURAN ANGGOTA</t>
  </si>
  <si>
    <t>PEMBAYARAN PEMBIAYAAN</t>
  </si>
  <si>
    <t>DATA LAPORAN PEMBIAYAAN</t>
  </si>
  <si>
    <t>Laba Masuk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</si>
</sst>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2" formatCode="_(&quot;Rp&quot;* #,##0_);_(&quot;Rp&quot;* \(#,##0\);_(&quot;Rp&quot;* &quot;-&quot;_);_(@_)"/>
    <numFmt numFmtId="41" formatCode="_(* #,##0_);_(* \(#,##0\);_(* &quot;-&quot;_);_(@_)"/>
    <numFmt numFmtId="44" formatCode="_(&quot;Rp&quot;* #,##0.00_);_(&quot;Rp&quot;* \(#,##0.00\);_(&quot;Rp&quot;* &quot;-&quot;??_);_(@_)"/>
    <numFmt numFmtId="43" formatCode="_(* #,##0.00_);_(* \(#,##0.00\);_(* &quot;-&quot;??_);_(@_)"/>
    <numFmt numFmtId="164" formatCode="_-&quot;Rp&quot;* #,##0_-;\-&quot;Rp&quot;* #,##0_-;_-&quot;Rp&quot;* &quot;-&quot;_-;_-@_-"/>
    <numFmt numFmtId="165" formatCode="_-* #,##0_-;\-* #,##0_-;_-* &quot;-&quot;_-;_-@_-"/>
    <numFmt numFmtId="166" formatCode="_-* #,##0.00_-;\-* #,##0.00_-;_-* &quot;-&quot;??_-;_-@_-"/>
    <numFmt numFmtId="167" formatCode="#\ &quot; bulan&quot;"/>
    <numFmt numFmtId="168" formatCode="[$-421]dd\ mmmm\ yyyy;@"/>
    <numFmt numFmtId="169" formatCode="#\ &quot; unit &quot;"/>
    <numFmt numFmtId="170" formatCode="_(* #,##0_);_(* \(#,##0\);_(* &quot;-&quot;??_);_(@_)"/>
    <numFmt numFmtId="171" formatCode="#\ &quot; kali&quot;"/>
    <numFmt numFmtId="172" formatCode="#\ &quot; Unit&quot;"/>
    <numFmt numFmtId="173" formatCode="dddd"/>
    <numFmt numFmtId="174" formatCode="[$-F800]dddd\,\ mmmm\ dd\,\ yyyy"/>
    <numFmt numFmtId="175" formatCode="dd/mm/yyyy;@"/>
    <numFmt numFmtId="176" formatCode="0.0%"/>
  </numFmts>
  <fonts count="67">
    <font>
      <sz val="11"/>
      <color theme="1"/>
      <name val="Calibri"/>
      <family val="2"/>
      <charset val="1"/>
      <scheme val="minor"/>
    </font>
    <font>
      <sz val="11"/>
      <color theme="1"/>
      <name val="Times New Roman"/>
      <family val="1"/>
    </font>
    <font>
      <b/>
      <sz val="11"/>
      <color theme="1"/>
      <name val="Times New Roman"/>
      <family val="1"/>
    </font>
    <font>
      <b/>
      <sz val="12"/>
      <color theme="1"/>
      <name val="Times New Roman"/>
      <family val="1"/>
    </font>
    <font>
      <b/>
      <sz val="14"/>
      <color theme="1"/>
      <name val="Times New Roman"/>
      <family val="1"/>
    </font>
    <font>
      <b/>
      <sz val="16"/>
      <color theme="1"/>
      <name val="Times New Roman"/>
      <family val="1"/>
    </font>
    <font>
      <b/>
      <sz val="11"/>
      <color theme="1"/>
      <name val="Calibri"/>
      <family val="2"/>
      <scheme val="minor"/>
    </font>
    <font>
      <sz val="11"/>
      <color theme="0"/>
      <name val="Times New Roman"/>
      <family val="1"/>
    </font>
    <font>
      <sz val="11"/>
      <name val="Times New Roman"/>
      <family val="1"/>
    </font>
    <font>
      <b/>
      <sz val="10"/>
      <color theme="1"/>
      <name val="Times New Roman"/>
      <family val="1"/>
    </font>
    <font>
      <b/>
      <i/>
      <sz val="11"/>
      <color rgb="FFFF0000"/>
      <name val="Times New Roman"/>
      <family val="1"/>
    </font>
    <font>
      <b/>
      <sz val="12"/>
      <color theme="1"/>
      <name val="Calibri"/>
      <family val="2"/>
      <scheme val="minor"/>
    </font>
    <font>
      <sz val="11"/>
      <color theme="1"/>
      <name val="Calibri"/>
      <family val="2"/>
      <charset val="1"/>
      <scheme val="minor"/>
    </font>
    <font>
      <i/>
      <sz val="9"/>
      <color theme="1"/>
      <name val="Arial"/>
      <family val="2"/>
    </font>
    <font>
      <b/>
      <sz val="9"/>
      <color theme="1"/>
      <name val="Kidprint"/>
    </font>
    <font>
      <sz val="9"/>
      <color indexed="8"/>
      <name val="Times New Roman"/>
      <family val="1"/>
    </font>
    <font>
      <b/>
      <sz val="9"/>
      <color indexed="8"/>
      <name val="Times New Roman"/>
      <family val="1"/>
    </font>
    <font>
      <b/>
      <sz val="9"/>
      <color theme="1"/>
      <name val="Times New Roman"/>
      <family val="1"/>
    </font>
    <font>
      <b/>
      <sz val="8"/>
      <color theme="1"/>
      <name val="Times New Roman"/>
      <family val="1"/>
    </font>
    <font>
      <sz val="9"/>
      <color theme="1"/>
      <name val="Arial"/>
      <family val="2"/>
    </font>
    <font>
      <sz val="9"/>
      <color theme="1"/>
      <name val="Arial Narrow"/>
      <family val="2"/>
    </font>
    <font>
      <b/>
      <u/>
      <sz val="9"/>
      <color theme="1"/>
      <name val="Arial Narrow"/>
      <family val="2"/>
    </font>
    <font>
      <i/>
      <sz val="9"/>
      <color theme="1"/>
      <name val="Arial Narrow"/>
      <family val="2"/>
    </font>
    <font>
      <b/>
      <sz val="9"/>
      <color theme="1"/>
      <name val="Arial Narrow"/>
      <family val="2"/>
    </font>
    <font>
      <sz val="11"/>
      <color theme="1"/>
      <name val="Calibri"/>
      <family val="2"/>
      <scheme val="minor"/>
    </font>
    <font>
      <i/>
      <u/>
      <sz val="9"/>
      <color theme="1"/>
      <name val="Arial Narrow"/>
      <family val="2"/>
    </font>
    <font>
      <b/>
      <i/>
      <sz val="9"/>
      <color theme="1"/>
      <name val="Arial Narrow"/>
      <family val="2"/>
    </font>
    <font>
      <i/>
      <sz val="9"/>
      <name val="Calibri"/>
      <family val="2"/>
      <scheme val="minor"/>
    </font>
    <font>
      <i/>
      <sz val="9"/>
      <color theme="0"/>
      <name val="Calibri"/>
      <family val="2"/>
      <scheme val="minor"/>
    </font>
    <font>
      <i/>
      <sz val="9"/>
      <name val="Arial Narrow"/>
      <family val="2"/>
    </font>
    <font>
      <i/>
      <sz val="9"/>
      <color theme="1"/>
      <name val="Calibri"/>
      <family val="2"/>
      <scheme val="minor"/>
    </font>
    <font>
      <i/>
      <sz val="9"/>
      <color theme="0"/>
      <name val="Arial Narrow"/>
      <family val="2"/>
    </font>
    <font>
      <i/>
      <u/>
      <sz val="9"/>
      <name val="Arial Narrow"/>
      <family val="2"/>
    </font>
    <font>
      <i/>
      <sz val="7"/>
      <name val="Arial Narrow"/>
      <family val="2"/>
    </font>
    <font>
      <i/>
      <sz val="7"/>
      <color theme="1"/>
      <name val="Arial Narrow"/>
      <family val="2"/>
    </font>
    <font>
      <sz val="7"/>
      <color theme="1"/>
      <name val="Arial Narrow"/>
      <family val="2"/>
    </font>
    <font>
      <sz val="9"/>
      <color theme="1"/>
      <name val="Calibri"/>
      <family val="2"/>
      <scheme val="minor"/>
    </font>
    <font>
      <b/>
      <i/>
      <sz val="9"/>
      <color theme="1"/>
      <name val="Calibri"/>
      <family val="2"/>
      <charset val="1"/>
      <scheme val="minor"/>
    </font>
    <font>
      <b/>
      <i/>
      <sz val="11"/>
      <color theme="9" tint="-0.249977111117893"/>
      <name val="Times New Roman"/>
      <family val="1"/>
    </font>
    <font>
      <b/>
      <sz val="9"/>
      <color indexed="81"/>
      <name val="Tahoma"/>
      <family val="2"/>
    </font>
    <font>
      <b/>
      <i/>
      <sz val="11"/>
      <color theme="1"/>
      <name val="Times New Roman"/>
      <family val="1"/>
    </font>
    <font>
      <b/>
      <sz val="8"/>
      <color rgb="FFFF0000"/>
      <name val="Times New Roman"/>
      <family val="1"/>
    </font>
    <font>
      <b/>
      <i/>
      <sz val="12"/>
      <color rgb="FFFF0000"/>
      <name val="Times New Roman"/>
      <family val="1"/>
    </font>
    <font>
      <sz val="10"/>
      <color theme="1"/>
      <name val="Times New Roman"/>
      <family val="1"/>
    </font>
    <font>
      <sz val="14"/>
      <color theme="1"/>
      <name val="Times New Roman"/>
      <family val="1"/>
    </font>
    <font>
      <sz val="11"/>
      <color rgb="FFFF0000"/>
      <name val="Times New Roman"/>
      <family val="1"/>
    </font>
    <font>
      <b/>
      <i/>
      <sz val="11"/>
      <color theme="0" tint="-0.499984740745262"/>
      <name val="Times New Roman"/>
      <family val="1"/>
    </font>
    <font>
      <b/>
      <i/>
      <sz val="16"/>
      <color theme="0" tint="-0.499984740745262"/>
      <name val="Times New Roman"/>
      <family val="1"/>
    </font>
    <font>
      <sz val="11"/>
      <color theme="0"/>
      <name val="Calibri"/>
      <family val="2"/>
      <scheme val="minor"/>
    </font>
    <font>
      <u/>
      <sz val="11"/>
      <color theme="10"/>
      <name val="Calibri"/>
      <family val="2"/>
      <scheme val="minor"/>
    </font>
    <font>
      <sz val="17"/>
      <color theme="0"/>
      <name val="Calibri"/>
      <family val="2"/>
      <scheme val="minor"/>
    </font>
    <font>
      <sz val="11"/>
      <color rgb="FF0B744D"/>
      <name val="Calibri"/>
      <family val="2"/>
      <scheme val="minor"/>
    </font>
    <font>
      <sz val="72"/>
      <color theme="0"/>
      <name val="Cambria"/>
      <family val="2"/>
      <scheme val="major"/>
    </font>
    <font>
      <sz val="11"/>
      <color theme="1"/>
      <name val="Calibri"/>
      <family val="2"/>
    </font>
    <font>
      <u/>
      <sz val="11"/>
      <color theme="10"/>
      <name val="Calibri"/>
      <family val="2"/>
    </font>
    <font>
      <i/>
      <sz val="8"/>
      <color theme="1"/>
      <name val="Arial Narrow"/>
      <family val="2"/>
    </font>
    <font>
      <sz val="9"/>
      <color theme="1"/>
      <name val="Times New Roman"/>
      <family val="1"/>
    </font>
    <font>
      <b/>
      <sz val="8"/>
      <name val="Times New Roman"/>
      <family val="1"/>
    </font>
    <font>
      <b/>
      <i/>
      <sz val="10"/>
      <color rgb="FFFF0000"/>
      <name val="Times New Roman"/>
      <family val="1"/>
    </font>
    <font>
      <sz val="11"/>
      <color theme="0"/>
      <name val="Calibri"/>
      <family val="2"/>
      <charset val="1"/>
      <scheme val="minor"/>
    </font>
    <font>
      <i/>
      <sz val="7"/>
      <color theme="0"/>
      <name val="Arial Narrow"/>
      <family val="2"/>
    </font>
    <font>
      <sz val="9"/>
      <name val="Arial Narrow"/>
      <family val="2"/>
    </font>
    <font>
      <sz val="7"/>
      <name val="Arial Narrow"/>
      <family val="2"/>
    </font>
    <font>
      <sz val="8"/>
      <color theme="1"/>
      <name val="Arial Narrow"/>
      <family val="2"/>
    </font>
    <font>
      <sz val="9"/>
      <color theme="0"/>
      <name val="Arial Narrow"/>
      <family val="2"/>
    </font>
    <font>
      <b/>
      <sz val="11"/>
      <name val="Times New Roman"/>
      <family val="1"/>
    </font>
    <font>
      <sz val="9"/>
      <color indexed="81"/>
      <name val="Tahoma"/>
      <family val="2"/>
    </font>
  </fonts>
  <fills count="1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theme="5" tint="0.59999389629810485"/>
        <bgColor indexed="65"/>
      </patternFill>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9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FF0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double">
        <color indexed="64"/>
      </bottom>
      <diagonal/>
    </border>
    <border>
      <left/>
      <right/>
      <top style="double">
        <color indexed="64"/>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s>
  <cellStyleXfs count="26">
    <xf numFmtId="0" fontId="0" fillId="0" borderId="0"/>
    <xf numFmtId="166" fontId="12" fillId="0" borderId="0" applyFont="0" applyFill="0" applyBorder="0" applyAlignment="0" applyProtection="0"/>
    <xf numFmtId="165" fontId="12" fillId="0" borderId="0" applyFont="0" applyFill="0" applyBorder="0" applyAlignment="0" applyProtection="0"/>
    <xf numFmtId="43" fontId="24" fillId="0" borderId="0" applyFont="0" applyFill="0" applyBorder="0" applyAlignment="0" applyProtection="0"/>
    <xf numFmtId="0" fontId="24" fillId="0" borderId="0"/>
    <xf numFmtId="0" fontId="49" fillId="0" borderId="0" applyNumberFormat="0" applyFill="0" applyBorder="0" applyAlignment="0" applyProtection="0"/>
    <xf numFmtId="0" fontId="24" fillId="6" borderId="0" applyNumberFormat="0" applyBorder="0" applyAlignment="0" applyProtection="0"/>
    <xf numFmtId="0" fontId="50" fillId="7" borderId="0" applyNumberFormat="0" applyProtection="0">
      <alignment horizontal="left" wrapText="1" indent="4"/>
    </xf>
    <xf numFmtId="0" fontId="51" fillId="7" borderId="0" applyNumberFormat="0" applyProtection="0">
      <alignment horizontal="left" wrapText="1" indent="4"/>
    </xf>
    <xf numFmtId="0" fontId="52" fillId="7" borderId="0" applyNumberFormat="0" applyBorder="0" applyProtection="0">
      <alignment horizontal="left" indent="1"/>
    </xf>
    <xf numFmtId="0" fontId="24" fillId="8" borderId="0"/>
    <xf numFmtId="0" fontId="24" fillId="8" borderId="0"/>
    <xf numFmtId="0" fontId="24" fillId="8" borderId="0"/>
    <xf numFmtId="0" fontId="48" fillId="9" borderId="0" applyNumberFormat="0" applyBorder="0" applyProtection="0"/>
    <xf numFmtId="0" fontId="24" fillId="0" borderId="0"/>
    <xf numFmtId="0" fontId="24" fillId="0" borderId="0"/>
    <xf numFmtId="0" fontId="24" fillId="8" borderId="41"/>
    <xf numFmtId="0" fontId="24" fillId="8" borderId="41"/>
    <xf numFmtId="0" fontId="24" fillId="8" borderId="41"/>
    <xf numFmtId="0" fontId="51" fillId="0" borderId="0" applyFill="0" applyBorder="0">
      <alignment wrapText="1"/>
    </xf>
    <xf numFmtId="0" fontId="24" fillId="10" borderId="40"/>
    <xf numFmtId="0" fontId="24" fillId="10" borderId="40"/>
    <xf numFmtId="0" fontId="24" fillId="10" borderId="40"/>
    <xf numFmtId="0" fontId="48" fillId="0" borderId="0"/>
    <xf numFmtId="0" fontId="53" fillId="0" borderId="0"/>
    <xf numFmtId="0" fontId="54" fillId="0" borderId="0" applyNumberFormat="0" applyFill="0" applyBorder="0" applyAlignment="0" applyProtection="0"/>
  </cellStyleXfs>
  <cellXfs count="474">
    <xf numFmtId="0" fontId="0" fillId="0" borderId="0" xfId="0"/>
    <xf numFmtId="0" fontId="1" fillId="0" borderId="0" xfId="0" applyFont="1"/>
    <xf numFmtId="0" fontId="2" fillId="0" borderId="0" xfId="0" applyFont="1"/>
    <xf numFmtId="0" fontId="2" fillId="2" borderId="1" xfId="0" applyFont="1" applyFill="1" applyBorder="1" applyAlignment="1">
      <alignment horizontal="center" vertical="center"/>
    </xf>
    <xf numFmtId="0" fontId="1" fillId="0" borderId="1" xfId="0" applyFont="1" applyBorder="1"/>
    <xf numFmtId="42" fontId="1" fillId="0" borderId="1" xfId="0" applyNumberFormat="1" applyFont="1" applyBorder="1"/>
    <xf numFmtId="9" fontId="2" fillId="0" borderId="0" xfId="0" applyNumberFormat="1" applyFont="1"/>
    <xf numFmtId="0" fontId="1" fillId="0" borderId="0" xfId="0" applyFont="1" applyAlignment="1">
      <alignment horizont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xf numFmtId="0" fontId="1" fillId="0" borderId="0" xfId="0" applyFont="1" applyAlignment="1">
      <alignment vertical="center"/>
    </xf>
    <xf numFmtId="0" fontId="7" fillId="0" borderId="0" xfId="0" applyFont="1" applyAlignment="1">
      <alignment horizontal="center" vertical="center"/>
    </xf>
    <xf numFmtId="0" fontId="1" fillId="0" borderId="8" xfId="0" applyFont="1" applyBorder="1" applyAlignment="1">
      <alignment horizontal="center" vertical="center"/>
    </xf>
    <xf numFmtId="0" fontId="1" fillId="0" borderId="10" xfId="0" applyFont="1" applyBorder="1"/>
    <xf numFmtId="42" fontId="1" fillId="0" borderId="1" xfId="0" applyNumberFormat="1" applyFont="1" applyBorder="1" applyAlignment="1">
      <alignment horizontal="center" vertical="center"/>
    </xf>
    <xf numFmtId="0" fontId="1" fillId="0" borderId="0" xfId="0" applyFont="1" applyProtection="1"/>
    <xf numFmtId="0" fontId="2" fillId="0" borderId="0" xfId="0" applyFont="1" applyAlignment="1" applyProtection="1">
      <alignment horizontal="center" vertical="center"/>
    </xf>
    <xf numFmtId="0" fontId="1" fillId="0" borderId="1" xfId="0" applyFont="1" applyBorder="1" applyAlignment="1" applyProtection="1">
      <alignment horizontal="left"/>
    </xf>
    <xf numFmtId="0" fontId="1" fillId="0" borderId="1" xfId="0" applyFont="1" applyBorder="1" applyAlignment="1" applyProtection="1">
      <alignment horizontal="left" vertical="center"/>
    </xf>
    <xf numFmtId="0" fontId="1" fillId="0" borderId="1" xfId="0" applyFont="1" applyBorder="1" applyAlignment="1" applyProtection="1">
      <alignment horizontal="center"/>
    </xf>
    <xf numFmtId="42" fontId="1" fillId="0" borderId="1" xfId="0" applyNumberFormat="1" applyFont="1" applyBorder="1" applyAlignment="1" applyProtection="1">
      <alignment horizontal="left"/>
    </xf>
    <xf numFmtId="9" fontId="1" fillId="0" borderId="1" xfId="0" applyNumberFormat="1" applyFont="1" applyBorder="1" applyAlignment="1" applyProtection="1">
      <alignment horizontal="center" vertical="center"/>
    </xf>
    <xf numFmtId="0" fontId="1" fillId="0" borderId="0" xfId="0" applyFont="1" applyAlignment="1" applyProtection="1">
      <alignment horizontal="center" vertical="center"/>
    </xf>
    <xf numFmtId="0" fontId="1" fillId="0" borderId="0" xfId="0" applyFont="1" applyAlignment="1" applyProtection="1">
      <alignment horizontal="left"/>
    </xf>
    <xf numFmtId="14" fontId="1" fillId="0" borderId="0" xfId="0" applyNumberFormat="1" applyFont="1" applyProtection="1"/>
    <xf numFmtId="0" fontId="1" fillId="0" borderId="0" xfId="0" applyFont="1" applyAlignment="1" applyProtection="1">
      <alignment horizontal="left" vertical="center"/>
    </xf>
    <xf numFmtId="0" fontId="1" fillId="0" borderId="0" xfId="0" applyFont="1" applyAlignment="1" applyProtection="1">
      <alignment horizontal="center"/>
    </xf>
    <xf numFmtId="42" fontId="1" fillId="0" borderId="0" xfId="0" applyNumberFormat="1" applyFont="1" applyAlignment="1" applyProtection="1">
      <alignment horizontal="left"/>
    </xf>
    <xf numFmtId="42" fontId="1" fillId="0" borderId="0" xfId="0" applyNumberFormat="1" applyFont="1" applyProtection="1"/>
    <xf numFmtId="9" fontId="1" fillId="0" borderId="0" xfId="0" applyNumberFormat="1" applyFont="1" applyAlignment="1" applyProtection="1">
      <alignment horizontal="center" vertical="center"/>
    </xf>
    <xf numFmtId="0" fontId="5" fillId="0" borderId="0" xfId="0" applyFont="1" applyAlignment="1" applyProtection="1">
      <alignment horizontal="center" vertical="center"/>
    </xf>
    <xf numFmtId="0" fontId="1" fillId="0" borderId="1" xfId="0" applyNumberFormat="1" applyFont="1" applyBorder="1" applyAlignment="1" applyProtection="1">
      <alignment horizontal="center" vertical="center"/>
    </xf>
    <xf numFmtId="14" fontId="1" fillId="0" borderId="1" xfId="0" applyNumberFormat="1" applyFont="1" applyBorder="1" applyAlignment="1" applyProtection="1">
      <alignment horizontal="center"/>
    </xf>
    <xf numFmtId="14" fontId="1" fillId="0" borderId="1" xfId="0" applyNumberFormat="1" applyFont="1" applyBorder="1" applyAlignment="1" applyProtection="1">
      <alignment horizontal="center" vertical="center"/>
    </xf>
    <xf numFmtId="0" fontId="1" fillId="0" borderId="1" xfId="0" applyFont="1" applyBorder="1" applyAlignment="1">
      <alignment horizontal="left" vertical="center"/>
    </xf>
    <xf numFmtId="0" fontId="1" fillId="0" borderId="11" xfId="0" applyFont="1" applyBorder="1" applyAlignment="1">
      <alignment horizontal="center" vertical="center"/>
    </xf>
    <xf numFmtId="0" fontId="2" fillId="2" borderId="3"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wrapText="1"/>
    </xf>
    <xf numFmtId="14" fontId="1" fillId="0" borderId="13" xfId="0" applyNumberFormat="1" applyFont="1" applyBorder="1"/>
    <xf numFmtId="0" fontId="2" fillId="2" borderId="3" xfId="0" applyFont="1" applyFill="1" applyBorder="1" applyAlignment="1" applyProtection="1">
      <alignment horizontal="center" vertical="center"/>
    </xf>
    <xf numFmtId="0" fontId="2" fillId="2" borderId="16" xfId="0" applyFont="1" applyFill="1" applyBorder="1" applyAlignment="1" applyProtection="1">
      <alignment horizontal="center" vertical="center" wrapText="1"/>
    </xf>
    <xf numFmtId="0" fontId="3" fillId="2" borderId="16" xfId="0" applyFont="1" applyFill="1" applyBorder="1" applyAlignment="1" applyProtection="1">
      <alignment horizontal="center" vertical="center" wrapText="1"/>
    </xf>
    <xf numFmtId="14" fontId="2" fillId="2" borderId="16" xfId="0" applyNumberFormat="1"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42" fontId="2" fillId="2" borderId="16" xfId="0" applyNumberFormat="1" applyFont="1" applyFill="1" applyBorder="1" applyAlignment="1" applyProtection="1">
      <alignment horizontal="center" vertical="center"/>
    </xf>
    <xf numFmtId="9" fontId="2" fillId="2" borderId="16" xfId="0" applyNumberFormat="1" applyFont="1" applyFill="1" applyBorder="1" applyAlignment="1" applyProtection="1">
      <alignment horizontal="center" vertical="center" wrapText="1"/>
    </xf>
    <xf numFmtId="42" fontId="3" fillId="2" borderId="17" xfId="0" applyNumberFormat="1" applyFont="1" applyFill="1" applyBorder="1" applyAlignment="1" applyProtection="1">
      <alignment horizontal="center" vertical="center" wrapText="1"/>
    </xf>
    <xf numFmtId="0" fontId="1" fillId="0" borderId="8" xfId="0" applyFont="1" applyBorder="1" applyAlignment="1" applyProtection="1">
      <alignment horizontal="center" vertical="center"/>
    </xf>
    <xf numFmtId="42" fontId="1" fillId="0" borderId="10" xfId="0" applyNumberFormat="1" applyFont="1" applyBorder="1" applyProtection="1"/>
    <xf numFmtId="0" fontId="2" fillId="0" borderId="0" xfId="0" applyFont="1" applyAlignment="1">
      <alignment horizontal="left" vertical="center"/>
    </xf>
    <xf numFmtId="0" fontId="2" fillId="0" borderId="0" xfId="0" applyFont="1" applyAlignment="1">
      <alignment horizontal="center"/>
    </xf>
    <xf numFmtId="168" fontId="8" fillId="0" borderId="1" xfId="0" applyNumberFormat="1" applyFont="1" applyBorder="1" applyAlignment="1">
      <alignment horizontal="left" vertical="center"/>
    </xf>
    <xf numFmtId="0" fontId="1" fillId="0" borderId="0" xfId="0" applyFont="1" applyAlignment="1">
      <alignment horizontal="center"/>
    </xf>
    <xf numFmtId="0" fontId="3" fillId="2" borderId="26" xfId="0" applyFont="1" applyFill="1" applyBorder="1" applyAlignment="1">
      <alignment horizontal="center" vertical="center" wrapText="1"/>
    </xf>
    <xf numFmtId="164" fontId="1" fillId="0" borderId="1" xfId="0" applyNumberFormat="1" applyFont="1" applyBorder="1"/>
    <xf numFmtId="165" fontId="1" fillId="0" borderId="1" xfId="0" applyNumberFormat="1" applyFont="1" applyBorder="1"/>
    <xf numFmtId="164" fontId="1" fillId="0" borderId="10" xfId="0" applyNumberFormat="1" applyFont="1" applyBorder="1" applyAlignment="1">
      <alignment horizontal="center" vertical="center"/>
    </xf>
    <xf numFmtId="9" fontId="1" fillId="0" borderId="1" xfId="0" applyNumberFormat="1" applyFont="1" applyBorder="1" applyAlignment="1">
      <alignment horizontal="center"/>
    </xf>
    <xf numFmtId="42" fontId="10" fillId="0" borderId="1" xfId="0" applyNumberFormat="1" applyFont="1" applyBorder="1" applyAlignment="1">
      <alignment horizontal="center" vertical="center"/>
    </xf>
    <xf numFmtId="0" fontId="2" fillId="0" borderId="1" xfId="0" applyFont="1" applyBorder="1" applyAlignment="1">
      <alignment horizontal="center"/>
    </xf>
    <xf numFmtId="0" fontId="0" fillId="0" borderId="0" xfId="0" applyAlignment="1">
      <alignment horizontal="center" vertical="center"/>
    </xf>
    <xf numFmtId="0" fontId="11" fillId="0" borderId="1" xfId="0" applyFont="1" applyBorder="1" applyAlignment="1">
      <alignment horizontal="center" vertical="center"/>
    </xf>
    <xf numFmtId="9" fontId="2" fillId="0" borderId="0" xfId="0" applyNumberFormat="1" applyFont="1" applyAlignment="1">
      <alignment horizontal="center"/>
    </xf>
    <xf numFmtId="0" fontId="1" fillId="0" borderId="30" xfId="0" applyFont="1" applyBorder="1"/>
    <xf numFmtId="0" fontId="1" fillId="0" borderId="31" xfId="0" applyFont="1" applyBorder="1"/>
    <xf numFmtId="0" fontId="1" fillId="0" borderId="33" xfId="0" applyFont="1" applyBorder="1"/>
    <xf numFmtId="9" fontId="2" fillId="0" borderId="2"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42" fontId="0" fillId="0" borderId="0" xfId="0" applyNumberFormat="1"/>
    <xf numFmtId="0" fontId="1" fillId="4" borderId="0" xfId="0" applyFont="1" applyFill="1" applyAlignment="1">
      <alignment horizontal="center" vertical="center"/>
    </xf>
    <xf numFmtId="0" fontId="1" fillId="4" borderId="0" xfId="0" applyFont="1" applyFill="1"/>
    <xf numFmtId="0" fontId="13" fillId="0" borderId="0" xfId="0" applyFont="1"/>
    <xf numFmtId="0" fontId="13" fillId="0" borderId="35" xfId="0" applyFont="1" applyBorder="1"/>
    <xf numFmtId="0" fontId="19" fillId="0" borderId="36" xfId="0" applyFont="1" applyBorder="1"/>
    <xf numFmtId="0" fontId="18" fillId="0" borderId="36" xfId="0" applyFont="1" applyBorder="1" applyAlignment="1">
      <alignment horizontal="center" vertical="center"/>
    </xf>
    <xf numFmtId="0" fontId="22" fillId="0" borderId="0" xfId="0" applyFont="1" applyAlignment="1">
      <alignment vertical="center"/>
    </xf>
    <xf numFmtId="0" fontId="22" fillId="0" borderId="0" xfId="0" applyFont="1" applyAlignment="1">
      <alignment horizontal="right" vertical="center"/>
    </xf>
    <xf numFmtId="0" fontId="22" fillId="0" borderId="37" xfId="0" applyFont="1" applyBorder="1" applyAlignment="1">
      <alignment vertical="center"/>
    </xf>
    <xf numFmtId="0" fontId="22" fillId="0" borderId="37" xfId="0" applyFont="1" applyBorder="1" applyAlignment="1">
      <alignment horizontal="right" vertical="center"/>
    </xf>
    <xf numFmtId="0" fontId="22" fillId="0" borderId="0" xfId="0" applyFont="1" applyBorder="1" applyAlignment="1">
      <alignment vertical="center"/>
    </xf>
    <xf numFmtId="0" fontId="22" fillId="0" borderId="0" xfId="0" applyFont="1" applyBorder="1" applyAlignment="1">
      <alignment horizontal="right" vertical="center"/>
    </xf>
    <xf numFmtId="0" fontId="22" fillId="0" borderId="28" xfId="0" applyFont="1" applyBorder="1" applyAlignment="1">
      <alignment vertical="center"/>
    </xf>
    <xf numFmtId="0" fontId="22" fillId="0" borderId="38" xfId="0" applyFont="1" applyBorder="1" applyAlignment="1">
      <alignment vertical="center"/>
    </xf>
    <xf numFmtId="0" fontId="22" fillId="0" borderId="38" xfId="0" applyFont="1" applyBorder="1" applyAlignment="1">
      <alignment horizontal="right" vertical="center"/>
    </xf>
    <xf numFmtId="0" fontId="22" fillId="0" borderId="29" xfId="0" applyFont="1" applyBorder="1" applyAlignment="1">
      <alignment vertical="center"/>
    </xf>
    <xf numFmtId="170" fontId="22" fillId="0" borderId="0" xfId="3" applyNumberFormat="1" applyFont="1" applyAlignment="1">
      <alignment vertical="center"/>
    </xf>
    <xf numFmtId="0" fontId="22" fillId="0" borderId="30" xfId="0" applyFont="1" applyBorder="1" applyAlignment="1">
      <alignment vertical="center"/>
    </xf>
    <xf numFmtId="0" fontId="22" fillId="0" borderId="31" xfId="0" applyFont="1" applyBorder="1" applyAlignment="1">
      <alignment vertical="center"/>
    </xf>
    <xf numFmtId="170" fontId="26" fillId="0" borderId="39" xfId="3" applyNumberFormat="1" applyFont="1" applyBorder="1" applyAlignment="1">
      <alignment vertical="center"/>
    </xf>
    <xf numFmtId="0" fontId="22" fillId="0" borderId="26" xfId="0" applyFont="1" applyBorder="1" applyAlignment="1">
      <alignment vertical="center"/>
    </xf>
    <xf numFmtId="0" fontId="22" fillId="0" borderId="18" xfId="0" applyFont="1" applyBorder="1" applyAlignment="1">
      <alignment vertical="center"/>
    </xf>
    <xf numFmtId="0" fontId="27" fillId="0" borderId="37" xfId="0" applyFont="1" applyBorder="1"/>
    <xf numFmtId="0" fontId="28" fillId="0" borderId="34" xfId="0" applyFont="1" applyBorder="1"/>
    <xf numFmtId="0" fontId="29" fillId="0" borderId="34" xfId="0" applyFont="1" applyBorder="1" applyAlignment="1">
      <alignment vertical="center"/>
    </xf>
    <xf numFmtId="170" fontId="22" fillId="0" borderId="37" xfId="1" applyNumberFormat="1" applyFont="1" applyBorder="1" applyAlignment="1">
      <alignment horizontal="right" vertical="center"/>
    </xf>
    <xf numFmtId="0" fontId="22" fillId="0" borderId="34" xfId="0" applyFont="1" applyBorder="1" applyAlignment="1">
      <alignment vertical="center"/>
    </xf>
    <xf numFmtId="170" fontId="22" fillId="0" borderId="34" xfId="3" applyNumberFormat="1" applyFont="1" applyBorder="1" applyAlignment="1">
      <alignment horizontal="right" vertical="center"/>
    </xf>
    <xf numFmtId="170" fontId="29" fillId="0" borderId="34" xfId="3" applyNumberFormat="1" applyFont="1" applyBorder="1" applyAlignment="1">
      <alignment horizontal="right" vertical="center"/>
    </xf>
    <xf numFmtId="170" fontId="22" fillId="0" borderId="0" xfId="0" applyNumberFormat="1" applyFont="1" applyAlignment="1">
      <alignment vertical="center"/>
    </xf>
    <xf numFmtId="0" fontId="30" fillId="0" borderId="38" xfId="0" applyFont="1" applyBorder="1"/>
    <xf numFmtId="0" fontId="31" fillId="0" borderId="0" xfId="0" applyFont="1"/>
    <xf numFmtId="41" fontId="22" fillId="0" borderId="0" xfId="0" applyNumberFormat="1" applyFont="1" applyAlignment="1">
      <alignment vertical="center"/>
    </xf>
    <xf numFmtId="0" fontId="29" fillId="0" borderId="32" xfId="0" applyFont="1" applyBorder="1" applyAlignment="1">
      <alignment vertical="center"/>
    </xf>
    <xf numFmtId="0" fontId="25" fillId="0" borderId="0" xfId="0" applyFont="1" applyAlignment="1"/>
    <xf numFmtId="0" fontId="22" fillId="0" borderId="0" xfId="0" applyFont="1"/>
    <xf numFmtId="0" fontId="33" fillId="0" borderId="37" xfId="0" applyFont="1" applyBorder="1" applyAlignment="1">
      <alignment vertical="center"/>
    </xf>
    <xf numFmtId="0" fontId="34" fillId="0" borderId="0" xfId="0" applyFont="1"/>
    <xf numFmtId="0" fontId="34" fillId="0" borderId="1" xfId="0" applyFont="1" applyBorder="1" applyAlignment="1">
      <alignment horizontal="center" vertical="center"/>
    </xf>
    <xf numFmtId="0" fontId="34" fillId="0" borderId="27" xfId="0" applyFont="1" applyBorder="1" applyAlignment="1">
      <alignment vertical="center"/>
    </xf>
    <xf numFmtId="0" fontId="34" fillId="0" borderId="19" xfId="0" applyFont="1" applyBorder="1" applyAlignment="1">
      <alignment vertical="center"/>
    </xf>
    <xf numFmtId="0" fontId="34" fillId="0" borderId="27" xfId="0" applyFont="1" applyBorder="1" applyAlignment="1">
      <alignment horizontal="center" vertical="center"/>
    </xf>
    <xf numFmtId="0" fontId="34" fillId="0" borderId="34" xfId="0" applyFont="1" applyBorder="1" applyAlignment="1">
      <alignment horizontal="center" vertical="center"/>
    </xf>
    <xf numFmtId="0" fontId="34" fillId="0" borderId="19" xfId="0" applyFont="1" applyBorder="1" applyAlignment="1">
      <alignment horizontal="center" vertical="center"/>
    </xf>
    <xf numFmtId="0" fontId="34" fillId="0" borderId="32" xfId="0" applyFont="1" applyBorder="1" applyAlignment="1">
      <alignment vertical="center"/>
    </xf>
    <xf numFmtId="0" fontId="34" fillId="0" borderId="28" xfId="0" applyFont="1" applyBorder="1" applyAlignment="1">
      <alignment vertical="center"/>
    </xf>
    <xf numFmtId="0" fontId="34" fillId="0" borderId="29" xfId="0" applyFont="1" applyBorder="1" applyAlignment="1">
      <alignment vertical="center"/>
    </xf>
    <xf numFmtId="0" fontId="34" fillId="0" borderId="38" xfId="0" applyFont="1" applyBorder="1" applyAlignment="1">
      <alignment vertical="center"/>
    </xf>
    <xf numFmtId="0" fontId="34" fillId="0" borderId="28" xfId="0" applyFont="1" applyBorder="1" applyAlignment="1">
      <alignment horizontal="right" vertical="center"/>
    </xf>
    <xf numFmtId="0" fontId="34" fillId="0" borderId="29" xfId="0" applyFont="1" applyBorder="1"/>
    <xf numFmtId="0" fontId="34" fillId="0" borderId="33" xfId="0" applyFont="1" applyBorder="1" applyAlignment="1">
      <alignment vertical="center"/>
    </xf>
    <xf numFmtId="0" fontId="34" fillId="0" borderId="30" xfId="0" applyFont="1" applyBorder="1" applyAlignment="1">
      <alignment vertical="center"/>
    </xf>
    <xf numFmtId="0" fontId="34" fillId="0" borderId="31" xfId="0" applyFont="1" applyBorder="1" applyAlignment="1">
      <alignment vertical="center"/>
    </xf>
    <xf numFmtId="0" fontId="34" fillId="0" borderId="0" xfId="0" applyFont="1" applyBorder="1" applyAlignment="1">
      <alignment vertical="center"/>
    </xf>
    <xf numFmtId="0" fontId="34" fillId="0" borderId="30" xfId="0" applyFont="1" applyBorder="1" applyAlignment="1">
      <alignment horizontal="left" vertical="center"/>
    </xf>
    <xf numFmtId="0" fontId="34" fillId="0" borderId="31" xfId="0" applyFont="1" applyBorder="1"/>
    <xf numFmtId="0" fontId="34" fillId="0" borderId="30" xfId="0" applyFont="1" applyBorder="1" applyAlignment="1">
      <alignment horizontal="right" vertical="center"/>
    </xf>
    <xf numFmtId="0" fontId="34" fillId="0" borderId="26" xfId="0" applyFont="1" applyBorder="1" applyAlignment="1">
      <alignment vertical="center"/>
    </xf>
    <xf numFmtId="0" fontId="34" fillId="0" borderId="18" xfId="0" applyFont="1" applyBorder="1" applyAlignment="1">
      <alignment vertical="center"/>
    </xf>
    <xf numFmtId="0" fontId="34" fillId="0" borderId="37" xfId="0" applyFont="1" applyBorder="1" applyAlignment="1">
      <alignment vertical="center"/>
    </xf>
    <xf numFmtId="0" fontId="34" fillId="0" borderId="26" xfId="0" applyFont="1" applyBorder="1" applyAlignment="1">
      <alignment horizontal="right" vertical="center"/>
    </xf>
    <xf numFmtId="0" fontId="30" fillId="0" borderId="0" xfId="0" applyFont="1"/>
    <xf numFmtId="0" fontId="36" fillId="0" borderId="0" xfId="0" applyFont="1"/>
    <xf numFmtId="165" fontId="36" fillId="0" borderId="0" xfId="2" applyFont="1"/>
    <xf numFmtId="0" fontId="30" fillId="0" borderId="0" xfId="0" applyFont="1" applyAlignment="1">
      <alignment vertical="center"/>
    </xf>
    <xf numFmtId="0" fontId="36" fillId="0" borderId="0" xfId="0" applyFont="1" applyAlignment="1">
      <alignment vertical="center"/>
    </xf>
    <xf numFmtId="0" fontId="20" fillId="0" borderId="0" xfId="0" applyFont="1" applyBorder="1" applyAlignment="1">
      <alignment vertical="center"/>
    </xf>
    <xf numFmtId="165" fontId="36" fillId="0" borderId="0" xfId="2" applyFont="1" applyAlignment="1">
      <alignment vertical="center"/>
    </xf>
    <xf numFmtId="0" fontId="20" fillId="0" borderId="0" xfId="0" applyFont="1"/>
    <xf numFmtId="165" fontId="20" fillId="0" borderId="0" xfId="2" applyFont="1"/>
    <xf numFmtId="0" fontId="20" fillId="0" borderId="0" xfId="0" applyFont="1" applyBorder="1"/>
    <xf numFmtId="170" fontId="20" fillId="0" borderId="0" xfId="3" applyNumberFormat="1" applyFont="1" applyBorder="1" applyAlignment="1">
      <alignment vertical="center"/>
    </xf>
    <xf numFmtId="0" fontId="36" fillId="0" borderId="0" xfId="0" applyFont="1" applyAlignment="1">
      <alignment horizontal="right"/>
    </xf>
    <xf numFmtId="164" fontId="26" fillId="0" borderId="2" xfId="0" applyNumberFormat="1" applyFont="1" applyBorder="1" applyAlignment="1">
      <alignment horizontal="center" vertical="center"/>
    </xf>
    <xf numFmtId="168" fontId="22" fillId="0" borderId="38" xfId="0" applyNumberFormat="1" applyFont="1" applyBorder="1" applyAlignment="1">
      <alignment horizontal="left" vertical="center"/>
    </xf>
    <xf numFmtId="0" fontId="7" fillId="0" borderId="0" xfId="0" applyFont="1"/>
    <xf numFmtId="0" fontId="20" fillId="0" borderId="0" xfId="0" applyFont="1" applyAlignment="1">
      <alignment vertical="center"/>
    </xf>
    <xf numFmtId="14" fontId="1" fillId="0" borderId="1" xfId="0" applyNumberFormat="1" applyFont="1" applyBorder="1" applyAlignment="1">
      <alignment horizontal="center" vertical="center"/>
    </xf>
    <xf numFmtId="14" fontId="1" fillId="0" borderId="13" xfId="0" applyNumberFormat="1" applyFont="1" applyBorder="1" applyAlignment="1">
      <alignment horizontal="center" vertical="center"/>
    </xf>
    <xf numFmtId="0" fontId="3" fillId="0" borderId="0" xfId="0" applyFont="1" applyAlignment="1">
      <alignment vertical="center"/>
    </xf>
    <xf numFmtId="0" fontId="5" fillId="0" borderId="0" xfId="0" applyFont="1" applyAlignment="1">
      <alignment vertical="center"/>
    </xf>
    <xf numFmtId="168" fontId="1" fillId="0" borderId="0" xfId="0" applyNumberFormat="1" applyFont="1" applyAlignment="1">
      <alignment horizontal="left"/>
    </xf>
    <xf numFmtId="169" fontId="6" fillId="0" borderId="0" xfId="0" applyNumberFormat="1" applyFont="1" applyAlignment="1">
      <alignment horizontal="center" vertical="center"/>
    </xf>
    <xf numFmtId="164" fontId="38" fillId="0" borderId="27" xfId="0" applyNumberFormat="1" applyFont="1" applyBorder="1" applyAlignment="1">
      <alignment horizontal="center" vertical="center"/>
    </xf>
    <xf numFmtId="0" fontId="1" fillId="0" borderId="0" xfId="0" applyFont="1" applyAlignment="1">
      <alignment horizontal="right" vertical="center"/>
    </xf>
    <xf numFmtId="0" fontId="11" fillId="0" borderId="1" xfId="0" applyFont="1" applyBorder="1" applyAlignment="1">
      <alignment horizontal="center" vertical="center"/>
    </xf>
    <xf numFmtId="0" fontId="0" fillId="0" borderId="19" xfId="0" applyBorder="1" applyAlignment="1">
      <alignment horizontal="center" vertical="center"/>
    </xf>
    <xf numFmtId="0" fontId="3" fillId="0" borderId="0" xfId="0" applyFont="1" applyAlignment="1">
      <alignment horizontal="center" vertical="center"/>
    </xf>
    <xf numFmtId="0" fontId="3" fillId="2" borderId="2" xfId="0" applyFont="1" applyFill="1" applyBorder="1" applyAlignment="1">
      <alignment horizontal="center" vertical="center" wrapText="1"/>
    </xf>
    <xf numFmtId="22" fontId="3" fillId="0" borderId="0" xfId="0" applyNumberFormat="1" applyFont="1" applyAlignment="1">
      <alignment horizontal="left" vertical="center"/>
    </xf>
    <xf numFmtId="0" fontId="3" fillId="0" borderId="0" xfId="0" applyFont="1" applyAlignment="1">
      <alignment horizontal="left" vertical="center"/>
    </xf>
    <xf numFmtId="0" fontId="3" fillId="2" borderId="1" xfId="0" applyFont="1" applyFill="1" applyBorder="1" applyAlignment="1">
      <alignment horizontal="center" vertical="center" wrapText="1"/>
    </xf>
    <xf numFmtId="42" fontId="1" fillId="5" borderId="1" xfId="0" applyNumberFormat="1" applyFont="1" applyFill="1" applyBorder="1" applyProtection="1"/>
    <xf numFmtId="0" fontId="1" fillId="0" borderId="0" xfId="0" applyFont="1" applyBorder="1" applyProtection="1"/>
    <xf numFmtId="42" fontId="40" fillId="0" borderId="1" xfId="0" applyNumberFormat="1" applyFont="1" applyBorder="1" applyAlignment="1">
      <alignment horizontal="center" vertical="center"/>
    </xf>
    <xf numFmtId="42" fontId="1" fillId="0" borderId="0" xfId="0" applyNumberFormat="1" applyFont="1" applyBorder="1" applyAlignment="1" applyProtection="1"/>
    <xf numFmtId="42" fontId="1" fillId="0" borderId="1" xfId="0" applyNumberFormat="1" applyFont="1" applyBorder="1" applyAlignment="1" applyProtection="1"/>
    <xf numFmtId="164" fontId="9" fillId="0" borderId="0" xfId="0" applyNumberFormat="1" applyFont="1" applyAlignment="1"/>
    <xf numFmtId="42" fontId="3" fillId="0" borderId="0" xfId="0" applyNumberFormat="1" applyFont="1" applyAlignment="1">
      <alignment horizontal="center" vertical="center"/>
    </xf>
    <xf numFmtId="164" fontId="41" fillId="0" borderId="0" xfId="0" applyNumberFormat="1" applyFont="1" applyAlignment="1"/>
    <xf numFmtId="42" fontId="41" fillId="0" borderId="0" xfId="0" applyNumberFormat="1" applyFont="1" applyAlignment="1">
      <alignment horizontal="center" vertical="center"/>
    </xf>
    <xf numFmtId="0" fontId="42" fillId="0" borderId="0" xfId="0" applyFont="1"/>
    <xf numFmtId="42" fontId="42" fillId="0" borderId="0" xfId="0" applyNumberFormat="1" applyFont="1"/>
    <xf numFmtId="42" fontId="2" fillId="0" borderId="1" xfId="0" applyNumberFormat="1" applyFont="1" applyBorder="1"/>
    <xf numFmtId="165" fontId="2" fillId="0" borderId="1" xfId="0" applyNumberFormat="1" applyFont="1" applyBorder="1"/>
    <xf numFmtId="0" fontId="3" fillId="2" borderId="1" xfId="0" applyFont="1" applyFill="1" applyBorder="1" applyAlignment="1">
      <alignment horizontal="center" vertical="center" wrapText="1"/>
    </xf>
    <xf numFmtId="42" fontId="1" fillId="4" borderId="0" xfId="0" applyNumberFormat="1" applyFont="1" applyFill="1"/>
    <xf numFmtId="0" fontId="43" fillId="0" borderId="0" xfId="0" applyFont="1" applyProtection="1"/>
    <xf numFmtId="0" fontId="1" fillId="0" borderId="0" xfId="0" applyFont="1" applyBorder="1"/>
    <xf numFmtId="0" fontId="1" fillId="0" borderId="0" xfId="0" applyFont="1" applyBorder="1" applyAlignment="1">
      <alignment horizontal="center" vertical="center"/>
    </xf>
    <xf numFmtId="14" fontId="1" fillId="0" borderId="0" xfId="0" applyNumberFormat="1" applyFont="1" applyBorder="1" applyAlignment="1">
      <alignment horizontal="center" vertical="center"/>
    </xf>
    <xf numFmtId="0" fontId="1" fillId="0" borderId="0" xfId="0" applyFont="1" applyBorder="1" applyAlignment="1">
      <alignment horizontal="left" vertical="center"/>
    </xf>
    <xf numFmtId="164" fontId="1" fillId="0" borderId="0" xfId="0" applyNumberFormat="1" applyFont="1" applyBorder="1"/>
    <xf numFmtId="42" fontId="1" fillId="0" borderId="0" xfId="0" applyNumberFormat="1" applyFont="1" applyBorder="1"/>
    <xf numFmtId="0" fontId="2" fillId="0" borderId="0" xfId="0" applyFont="1" applyBorder="1" applyAlignment="1">
      <alignment horizontal="center"/>
    </xf>
    <xf numFmtId="9" fontId="1" fillId="0" borderId="0" xfId="0" applyNumberFormat="1" applyFont="1" applyBorder="1" applyAlignment="1">
      <alignment horizontal="center"/>
    </xf>
    <xf numFmtId="42" fontId="10" fillId="0" borderId="0" xfId="0" applyNumberFormat="1" applyFont="1" applyBorder="1" applyAlignment="1">
      <alignment horizontal="center" vertical="center"/>
    </xf>
    <xf numFmtId="17" fontId="3" fillId="2" borderId="1" xfId="0" applyNumberFormat="1" applyFont="1" applyFill="1" applyBorder="1" applyAlignment="1">
      <alignment horizontal="center" vertical="center" wrapText="1"/>
    </xf>
    <xf numFmtId="0" fontId="1" fillId="0" borderId="0" xfId="0" applyNumberFormat="1" applyFont="1" applyBorder="1" applyAlignment="1">
      <alignment horizontal="center" vertical="center"/>
    </xf>
    <xf numFmtId="17" fontId="42" fillId="2" borderId="1" xfId="0" applyNumberFormat="1" applyFont="1" applyFill="1" applyBorder="1" applyAlignment="1">
      <alignment horizontal="center" vertical="center" wrapText="1"/>
    </xf>
    <xf numFmtId="42" fontId="1" fillId="0" borderId="0" xfId="0" applyNumberFormat="1" applyFont="1" applyBorder="1" applyAlignment="1">
      <alignment horizontal="center" vertical="center"/>
    </xf>
    <xf numFmtId="42" fontId="3" fillId="2"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xf>
    <xf numFmtId="0" fontId="1" fillId="0" borderId="35" xfId="0" applyFont="1" applyBorder="1" applyAlignment="1">
      <alignment horizontal="center" vertical="center"/>
    </xf>
    <xf numFmtId="14" fontId="1" fillId="0" borderId="35" xfId="0" applyNumberFormat="1" applyFont="1" applyBorder="1" applyAlignment="1">
      <alignment horizontal="center" vertical="center"/>
    </xf>
    <xf numFmtId="0" fontId="1" fillId="0" borderId="35" xfId="0" applyFont="1" applyBorder="1"/>
    <xf numFmtId="42" fontId="1" fillId="0" borderId="35" xfId="0" applyNumberFormat="1" applyFont="1" applyBorder="1"/>
    <xf numFmtId="0" fontId="2" fillId="0" borderId="35" xfId="0" applyFont="1" applyBorder="1" applyAlignment="1">
      <alignment horizontal="center"/>
    </xf>
    <xf numFmtId="9" fontId="1" fillId="0" borderId="35" xfId="0" applyNumberFormat="1" applyFont="1" applyBorder="1" applyAlignment="1">
      <alignment horizontal="center"/>
    </xf>
    <xf numFmtId="42" fontId="10" fillId="0" borderId="35" xfId="0" applyNumberFormat="1" applyFont="1" applyBorder="1" applyAlignment="1">
      <alignment horizontal="center" vertical="center"/>
    </xf>
    <xf numFmtId="0" fontId="1" fillId="0" borderId="35" xfId="0" applyNumberFormat="1" applyFont="1" applyBorder="1" applyAlignment="1">
      <alignment horizontal="center" vertical="center"/>
    </xf>
    <xf numFmtId="42" fontId="1" fillId="0" borderId="35" xfId="0" applyNumberFormat="1" applyFont="1" applyBorder="1" applyAlignment="1">
      <alignment horizontal="center" vertical="center"/>
    </xf>
    <xf numFmtId="164" fontId="40" fillId="0" borderId="35" xfId="0" applyNumberFormat="1" applyFont="1" applyBorder="1"/>
    <xf numFmtId="42" fontId="40" fillId="0" borderId="35" xfId="0" applyNumberFormat="1" applyFont="1" applyBorder="1" applyAlignment="1">
      <alignment horizontal="center" vertical="center"/>
    </xf>
    <xf numFmtId="0" fontId="5" fillId="0" borderId="0" xfId="0" applyFont="1" applyAlignment="1" applyProtection="1">
      <alignment horizontal="center" vertical="center"/>
    </xf>
    <xf numFmtId="0" fontId="46" fillId="0" borderId="0" xfId="0" applyFont="1" applyProtection="1"/>
    <xf numFmtId="0" fontId="47" fillId="0" borderId="0" xfId="0" applyFont="1" applyAlignment="1" applyProtection="1">
      <alignment horizontal="center" vertical="center"/>
    </xf>
    <xf numFmtId="42" fontId="46" fillId="0" borderId="0" xfId="0" applyNumberFormat="1" applyFont="1" applyProtection="1"/>
    <xf numFmtId="173" fontId="1" fillId="0" borderId="0" xfId="0" applyNumberFormat="1" applyFont="1" applyAlignment="1">
      <alignment horizontal="left"/>
    </xf>
    <xf numFmtId="21" fontId="1" fillId="0" borderId="0" xfId="0" applyNumberFormat="1" applyFont="1" applyAlignment="1">
      <alignment horizontal="left"/>
    </xf>
    <xf numFmtId="0" fontId="1" fillId="0" borderId="0" xfId="0" applyFont="1" applyAlignment="1">
      <alignment vertical="top"/>
    </xf>
    <xf numFmtId="0" fontId="2" fillId="0" borderId="0" xfId="0" applyFont="1" applyAlignment="1">
      <alignment vertical="center"/>
    </xf>
    <xf numFmtId="0" fontId="2" fillId="0" borderId="0" xfId="0" applyFont="1" applyAlignment="1">
      <alignment horizontal="right" vertical="center"/>
    </xf>
    <xf numFmtId="167" fontId="1" fillId="0" borderId="0" xfId="0" applyNumberFormat="1" applyFont="1" applyAlignment="1">
      <alignment horizontal="left" vertical="top"/>
    </xf>
    <xf numFmtId="0" fontId="0" fillId="0" borderId="1" xfId="0" applyBorder="1" applyAlignment="1">
      <alignment horizontal="center" vertical="center"/>
    </xf>
    <xf numFmtId="0" fontId="1" fillId="0" borderId="0" xfId="0" applyFont="1" applyAlignment="1">
      <alignment horizontal="center"/>
    </xf>
    <xf numFmtId="0" fontId="11" fillId="0" borderId="0" xfId="0" applyFont="1" applyAlignment="1">
      <alignment horizontal="center"/>
    </xf>
    <xf numFmtId="42" fontId="40" fillId="0" borderId="0" xfId="0" applyNumberFormat="1" applyFont="1" applyBorder="1" applyAlignment="1">
      <alignment horizontal="center" vertical="center"/>
    </xf>
    <xf numFmtId="0" fontId="0" fillId="0" borderId="18" xfId="0" applyBorder="1" applyAlignment="1">
      <alignment horizontal="center" vertical="center"/>
    </xf>
    <xf numFmtId="42" fontId="1" fillId="0" borderId="2" xfId="0" applyNumberFormat="1" applyFont="1" applyBorder="1" applyAlignment="1">
      <alignment horizontal="center" vertical="center"/>
    </xf>
    <xf numFmtId="42" fontId="40" fillId="0" borderId="2" xfId="0" applyNumberFormat="1" applyFont="1" applyBorder="1" applyAlignment="1">
      <alignment horizontal="center" vertical="center"/>
    </xf>
    <xf numFmtId="22" fontId="3" fillId="0" borderId="0" xfId="0" applyNumberFormat="1" applyFont="1" applyAlignment="1">
      <alignment horizontal="left" vertical="center"/>
    </xf>
    <xf numFmtId="175" fontId="1" fillId="0" borderId="1" xfId="0" applyNumberFormat="1" applyFont="1" applyBorder="1" applyAlignment="1">
      <alignment horizontal="center" vertical="center"/>
    </xf>
    <xf numFmtId="0" fontId="30" fillId="0" borderId="18" xfId="0" applyFont="1" applyBorder="1"/>
    <xf numFmtId="0" fontId="34" fillId="0" borderId="28" xfId="0" applyFont="1" applyBorder="1" applyAlignment="1">
      <alignment horizontal="center" vertical="center"/>
    </xf>
    <xf numFmtId="168" fontId="55" fillId="0" borderId="38" xfId="0" applyNumberFormat="1" applyFont="1" applyBorder="1" applyAlignment="1">
      <alignment horizontal="left" vertical="center"/>
    </xf>
    <xf numFmtId="42" fontId="56" fillId="0" borderId="0" xfId="0" applyNumberFormat="1" applyFont="1" applyAlignment="1" applyProtection="1">
      <alignment horizontal="left"/>
    </xf>
    <xf numFmtId="164" fontId="57" fillId="0" borderId="1" xfId="0" applyNumberFormat="1" applyFont="1" applyBorder="1" applyAlignment="1">
      <alignment horizontal="center" vertical="center"/>
    </xf>
    <xf numFmtId="37" fontId="57" fillId="0" borderId="1" xfId="0" applyNumberFormat="1" applyFont="1" applyBorder="1" applyAlignment="1">
      <alignment horizontal="center" vertical="center"/>
    </xf>
    <xf numFmtId="0" fontId="1" fillId="0" borderId="0" xfId="0" applyFont="1" applyAlignment="1">
      <alignment horizontal="left" vertical="top"/>
    </xf>
    <xf numFmtId="164" fontId="9" fillId="0" borderId="1" xfId="0" applyNumberFormat="1" applyFont="1" applyBorder="1"/>
    <xf numFmtId="42" fontId="9" fillId="0" borderId="1" xfId="0" applyNumberFormat="1" applyFont="1" applyBorder="1"/>
    <xf numFmtId="42" fontId="58" fillId="0" borderId="1" xfId="0" applyNumberFormat="1" applyFont="1" applyBorder="1"/>
    <xf numFmtId="42" fontId="1" fillId="0" borderId="0" xfId="0" applyNumberFormat="1" applyFont="1" applyBorder="1" applyProtection="1"/>
    <xf numFmtId="0" fontId="1" fillId="0" borderId="0" xfId="0" applyFont="1" applyBorder="1" applyAlignment="1" applyProtection="1">
      <alignment horizontal="center" vertical="center"/>
    </xf>
    <xf numFmtId="9" fontId="1" fillId="0" borderId="0" xfId="0" applyNumberFormat="1" applyFont="1" applyBorder="1" applyAlignment="1" applyProtection="1">
      <alignment horizontal="center" vertical="center"/>
    </xf>
    <xf numFmtId="0" fontId="1" fillId="0" borderId="0" xfId="0" applyFont="1" applyAlignment="1">
      <alignment horizontal="center"/>
    </xf>
    <xf numFmtId="0" fontId="0" fillId="0" borderId="27" xfId="0" applyBorder="1" applyAlignment="1">
      <alignment horizontal="center"/>
    </xf>
    <xf numFmtId="0" fontId="0" fillId="0" borderId="19" xfId="0" applyBorder="1" applyAlignment="1">
      <alignment horizontal="center"/>
    </xf>
    <xf numFmtId="0" fontId="11" fillId="0" borderId="1" xfId="0" applyFont="1" applyBorder="1" applyAlignment="1">
      <alignment horizontal="center" vertical="center"/>
    </xf>
    <xf numFmtId="0" fontId="1" fillId="11" borderId="1" xfId="0" applyFont="1" applyFill="1" applyBorder="1" applyAlignment="1">
      <alignment horizontal="center" vertical="center"/>
    </xf>
    <xf numFmtId="0" fontId="1" fillId="11" borderId="1" xfId="0" applyFont="1" applyFill="1" applyBorder="1" applyAlignment="1">
      <alignment horizontal="left" vertical="center"/>
    </xf>
    <xf numFmtId="42" fontId="1" fillId="11" borderId="1" xfId="0" applyNumberFormat="1" applyFont="1" applyFill="1" applyBorder="1" applyAlignment="1">
      <alignment horizontal="center" vertical="center"/>
    </xf>
    <xf numFmtId="0" fontId="0" fillId="11" borderId="1" xfId="0" applyFill="1" applyBorder="1"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left" vertical="center"/>
    </xf>
    <xf numFmtId="42" fontId="1" fillId="4" borderId="1" xfId="0" applyNumberFormat="1" applyFont="1" applyFill="1" applyBorder="1" applyAlignment="1">
      <alignment horizontal="center" vertical="center"/>
    </xf>
    <xf numFmtId="42"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1" fillId="12" borderId="1" xfId="0" applyFont="1" applyFill="1" applyBorder="1" applyAlignment="1">
      <alignment horizontal="center" vertical="center"/>
    </xf>
    <xf numFmtId="0" fontId="1" fillId="12" borderId="1" xfId="0" applyFont="1" applyFill="1" applyBorder="1" applyAlignment="1">
      <alignment horizontal="left" vertical="center"/>
    </xf>
    <xf numFmtId="42" fontId="1" fillId="12" borderId="1" xfId="0" applyNumberFormat="1" applyFont="1" applyFill="1" applyBorder="1" applyAlignment="1">
      <alignment horizontal="center" vertical="center"/>
    </xf>
    <xf numFmtId="0" fontId="0" fillId="12" borderId="1" xfId="0" applyFill="1" applyBorder="1" applyAlignment="1">
      <alignment horizontal="center" vertical="center"/>
    </xf>
    <xf numFmtId="42" fontId="2" fillId="0" borderId="2" xfId="0" applyNumberFormat="1" applyFont="1" applyBorder="1" applyAlignment="1">
      <alignment horizontal="center" vertical="center"/>
    </xf>
    <xf numFmtId="42" fontId="1" fillId="0" borderId="0" xfId="0" applyNumberFormat="1" applyFont="1"/>
    <xf numFmtId="1" fontId="1" fillId="4"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0" fontId="7" fillId="13" borderId="1" xfId="0" applyNumberFormat="1" applyFont="1" applyFill="1" applyBorder="1" applyAlignment="1">
      <alignment horizontal="center" vertical="center"/>
    </xf>
    <xf numFmtId="42" fontId="43" fillId="0" borderId="0" xfId="2" applyNumberFormat="1" applyFont="1" applyAlignment="1" applyProtection="1">
      <alignment horizontal="left"/>
    </xf>
    <xf numFmtId="0" fontId="1" fillId="0" borderId="0" xfId="0" applyFont="1" applyAlignment="1">
      <alignment horizontal="center"/>
    </xf>
    <xf numFmtId="0" fontId="2" fillId="0" borderId="0" xfId="0" applyFont="1" applyAlignment="1">
      <alignment horizontal="center" vertical="center"/>
    </xf>
    <xf numFmtId="0" fontId="59" fillId="13" borderId="1" xfId="0" applyFont="1" applyFill="1" applyBorder="1" applyAlignment="1">
      <alignment horizontal="center" vertical="center"/>
    </xf>
    <xf numFmtId="0" fontId="6" fillId="0" borderId="0" xfId="0" applyFont="1" applyAlignment="1">
      <alignment vertical="center"/>
    </xf>
    <xf numFmtId="167" fontId="6" fillId="0" borderId="0" xfId="0" applyNumberFormat="1" applyFont="1" applyAlignment="1">
      <alignment vertical="center"/>
    </xf>
    <xf numFmtId="42" fontId="2" fillId="0" borderId="0" xfId="0" applyNumberFormat="1" applyFont="1" applyAlignment="1">
      <alignment vertical="center"/>
    </xf>
    <xf numFmtId="42" fontId="1" fillId="0" borderId="1" xfId="0" applyNumberFormat="1" applyFont="1" applyBorder="1" applyAlignment="1">
      <alignment vertical="center"/>
    </xf>
    <xf numFmtId="0" fontId="1" fillId="0" borderId="10" xfId="0" applyFont="1" applyBorder="1" applyAlignment="1">
      <alignment horizontal="center" vertical="center"/>
    </xf>
    <xf numFmtId="0" fontId="1" fillId="0" borderId="10" xfId="0" applyFont="1" applyBorder="1" applyAlignment="1">
      <alignment vertical="center"/>
    </xf>
    <xf numFmtId="42" fontId="1" fillId="0" borderId="13" xfId="0" applyNumberFormat="1" applyFont="1" applyBorder="1" applyAlignment="1">
      <alignment vertical="center"/>
    </xf>
    <xf numFmtId="0" fontId="1" fillId="0" borderId="12" xfId="0" applyFont="1" applyBorder="1" applyAlignment="1">
      <alignment vertical="center"/>
    </xf>
    <xf numFmtId="42" fontId="7" fillId="0" borderId="25" xfId="0" applyNumberFormat="1" applyFont="1" applyBorder="1" applyAlignment="1">
      <alignment vertical="center"/>
    </xf>
    <xf numFmtId="0" fontId="7" fillId="0" borderId="25" xfId="0" applyFont="1" applyBorder="1" applyAlignment="1">
      <alignment vertical="center"/>
    </xf>
    <xf numFmtId="164" fontId="1" fillId="0" borderId="0" xfId="0" applyNumberFormat="1" applyFont="1"/>
    <xf numFmtId="164" fontId="2" fillId="0" borderId="0" xfId="0" applyNumberFormat="1" applyFont="1"/>
    <xf numFmtId="164" fontId="38"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1" fillId="0" borderId="1" xfId="0" applyFont="1" applyBorder="1" applyAlignment="1">
      <alignment horizontal="center"/>
    </xf>
    <xf numFmtId="0" fontId="60" fillId="0" borderId="28" xfId="0" applyFont="1" applyBorder="1" applyAlignment="1">
      <alignment horizontal="right" vertical="center"/>
    </xf>
    <xf numFmtId="0" fontId="60" fillId="0" borderId="30" xfId="0" applyFont="1" applyBorder="1" applyAlignment="1">
      <alignment horizontal="left" vertical="center"/>
    </xf>
    <xf numFmtId="0" fontId="60" fillId="0" borderId="26" xfId="0" applyFont="1" applyBorder="1" applyAlignment="1">
      <alignment horizontal="right" vertical="center"/>
    </xf>
    <xf numFmtId="165" fontId="1" fillId="0" borderId="0" xfId="2" applyFont="1"/>
    <xf numFmtId="165" fontId="2" fillId="0" borderId="0" xfId="0" applyNumberFormat="1" applyFont="1"/>
    <xf numFmtId="9" fontId="2" fillId="0" borderId="0" xfId="0" applyNumberFormat="1" applyFont="1" applyAlignment="1">
      <alignment horizontal="right"/>
    </xf>
    <xf numFmtId="0" fontId="20" fillId="0" borderId="0" xfId="0" applyFont="1" applyAlignment="1">
      <alignment horizontal="right" vertical="center"/>
    </xf>
    <xf numFmtId="0" fontId="23" fillId="0" borderId="37" xfId="0" applyFont="1" applyBorder="1" applyAlignment="1">
      <alignment vertical="center"/>
    </xf>
    <xf numFmtId="0" fontId="20" fillId="0" borderId="37" xfId="0" applyFont="1" applyBorder="1" applyAlignment="1">
      <alignment vertical="center"/>
    </xf>
    <xf numFmtId="0" fontId="20" fillId="0" borderId="28" xfId="0" applyFont="1" applyBorder="1" applyAlignment="1">
      <alignment vertical="center"/>
    </xf>
    <xf numFmtId="0" fontId="20" fillId="0" borderId="38" xfId="0" applyFont="1" applyBorder="1" applyAlignment="1">
      <alignment vertical="center"/>
    </xf>
    <xf numFmtId="0" fontId="20" fillId="0" borderId="29" xfId="0" applyFont="1" applyBorder="1" applyAlignment="1">
      <alignment vertical="center"/>
    </xf>
    <xf numFmtId="43" fontId="20" fillId="0" borderId="0" xfId="3" applyNumberFormat="1" applyFont="1" applyAlignment="1">
      <alignment vertical="center"/>
    </xf>
    <xf numFmtId="0" fontId="20" fillId="0" borderId="30" xfId="0" applyFont="1" applyBorder="1" applyAlignment="1">
      <alignment vertical="center"/>
    </xf>
    <xf numFmtId="43" fontId="23" fillId="0" borderId="39" xfId="3" applyNumberFormat="1" applyFont="1" applyBorder="1" applyAlignment="1">
      <alignment vertical="center"/>
    </xf>
    <xf numFmtId="0" fontId="20" fillId="0" borderId="26" xfId="0" applyFont="1" applyBorder="1" applyAlignment="1">
      <alignment vertical="center"/>
    </xf>
    <xf numFmtId="0" fontId="36" fillId="0" borderId="37" xfId="0" applyFont="1" applyBorder="1"/>
    <xf numFmtId="0" fontId="36" fillId="0" borderId="18" xfId="0" applyFont="1" applyBorder="1"/>
    <xf numFmtId="172" fontId="23" fillId="0" borderId="37" xfId="0" applyNumberFormat="1" applyFont="1" applyBorder="1" applyAlignment="1">
      <alignment horizontal="left" vertical="center"/>
    </xf>
    <xf numFmtId="44" fontId="20" fillId="0" borderId="37" xfId="0" applyNumberFormat="1" applyFont="1" applyBorder="1" applyAlignment="1">
      <alignment horizontal="left" vertical="center"/>
    </xf>
    <xf numFmtId="0" fontId="20" fillId="0" borderId="34" xfId="0" applyFont="1" applyBorder="1" applyAlignment="1">
      <alignment vertical="center"/>
    </xf>
    <xf numFmtId="0" fontId="20" fillId="0" borderId="34" xfId="0" applyFont="1" applyBorder="1" applyAlignment="1">
      <alignment horizontal="right" vertical="center"/>
    </xf>
    <xf numFmtId="42" fontId="20" fillId="0" borderId="37" xfId="0" applyNumberFormat="1" applyFont="1" applyBorder="1" applyAlignment="1">
      <alignment vertical="center"/>
    </xf>
    <xf numFmtId="44" fontId="20" fillId="0" borderId="37" xfId="0" applyNumberFormat="1" applyFont="1" applyBorder="1" applyAlignment="1">
      <alignment vertical="center"/>
    </xf>
    <xf numFmtId="0" fontId="19" fillId="0" borderId="0" xfId="0" applyFont="1"/>
    <xf numFmtId="0" fontId="19" fillId="0" borderId="35" xfId="0" applyFont="1" applyBorder="1"/>
    <xf numFmtId="0" fontId="20" fillId="0" borderId="31" xfId="0" applyFont="1" applyBorder="1" applyAlignment="1">
      <alignment vertical="center"/>
    </xf>
    <xf numFmtId="0" fontId="20" fillId="0" borderId="18" xfId="0" applyFont="1" applyBorder="1" applyAlignment="1">
      <alignment vertical="center"/>
    </xf>
    <xf numFmtId="170" fontId="20" fillId="0" borderId="0" xfId="0" applyNumberFormat="1" applyFont="1" applyAlignment="1">
      <alignment vertical="center"/>
    </xf>
    <xf numFmtId="170" fontId="20" fillId="0" borderId="34" xfId="3" applyNumberFormat="1" applyFont="1" applyBorder="1" applyAlignment="1">
      <alignment vertical="center"/>
    </xf>
    <xf numFmtId="44" fontId="20" fillId="0" borderId="34" xfId="3" applyNumberFormat="1" applyFont="1" applyBorder="1" applyAlignment="1">
      <alignment vertical="center"/>
    </xf>
    <xf numFmtId="168" fontId="22" fillId="0" borderId="38" xfId="0" applyNumberFormat="1" applyFont="1" applyBorder="1" applyAlignment="1">
      <alignment horizontal="right" vertical="center"/>
    </xf>
    <xf numFmtId="0" fontId="35" fillId="0" borderId="0" xfId="0" applyFont="1"/>
    <xf numFmtId="0" fontId="35" fillId="0" borderId="27" xfId="0" applyFont="1" applyBorder="1" applyAlignment="1">
      <alignment horizontal="left" vertical="center"/>
    </xf>
    <xf numFmtId="0" fontId="35" fillId="0" borderId="28" xfId="0" applyFont="1" applyBorder="1" applyAlignment="1">
      <alignment vertical="center"/>
    </xf>
    <xf numFmtId="0" fontId="35" fillId="0" borderId="38" xfId="0" applyFont="1" applyBorder="1" applyAlignment="1">
      <alignment vertical="center"/>
    </xf>
    <xf numFmtId="0" fontId="35" fillId="0" borderId="29" xfId="0" applyFont="1" applyBorder="1" applyAlignment="1">
      <alignment vertical="center"/>
    </xf>
    <xf numFmtId="0" fontId="62" fillId="0" borderId="28" xfId="0" applyFont="1" applyBorder="1" applyAlignment="1">
      <alignment horizontal="center" vertical="center"/>
    </xf>
    <xf numFmtId="0" fontId="62" fillId="0" borderId="38" xfId="0" applyFont="1" applyBorder="1" applyAlignment="1">
      <alignment horizontal="center" vertical="center"/>
    </xf>
    <xf numFmtId="0" fontId="62" fillId="0" borderId="29" xfId="0" applyFont="1" applyBorder="1"/>
    <xf numFmtId="0" fontId="35" fillId="0" borderId="30" xfId="0" applyFont="1" applyBorder="1" applyAlignment="1">
      <alignment vertical="center"/>
    </xf>
    <xf numFmtId="0" fontId="35" fillId="0" borderId="0" xfId="0" applyFont="1" applyBorder="1" applyAlignment="1">
      <alignment vertical="center"/>
    </xf>
    <xf numFmtId="0" fontId="35" fillId="0" borderId="31" xfId="0" applyFont="1" applyBorder="1" applyAlignment="1">
      <alignment vertical="center"/>
    </xf>
    <xf numFmtId="0" fontId="62" fillId="0" borderId="30" xfId="0" applyFont="1" applyBorder="1" applyAlignment="1">
      <alignment horizontal="center" vertical="center"/>
    </xf>
    <xf numFmtId="0" fontId="62" fillId="0" borderId="0" xfId="0" applyFont="1" applyBorder="1" applyAlignment="1">
      <alignment horizontal="center" vertical="center"/>
    </xf>
    <xf numFmtId="0" fontId="62" fillId="0" borderId="31" xfId="0" applyFont="1" applyBorder="1"/>
    <xf numFmtId="0" fontId="35" fillId="0" borderId="37" xfId="0" applyFont="1" applyBorder="1" applyAlignment="1">
      <alignment vertical="center"/>
    </xf>
    <xf numFmtId="0" fontId="35" fillId="0" borderId="18" xfId="0" applyFont="1" applyBorder="1" applyAlignment="1">
      <alignment vertical="center"/>
    </xf>
    <xf numFmtId="0" fontId="62" fillId="0" borderId="26" xfId="0" applyFont="1" applyBorder="1" applyAlignment="1">
      <alignment horizontal="center" vertical="center"/>
    </xf>
    <xf numFmtId="0" fontId="62" fillId="0" borderId="37" xfId="0" applyFont="1" applyBorder="1" applyAlignment="1">
      <alignment horizontal="center" vertical="center"/>
    </xf>
    <xf numFmtId="0" fontId="62" fillId="0" borderId="18" xfId="0" applyFont="1" applyBorder="1"/>
    <xf numFmtId="0" fontId="2" fillId="0" borderId="0" xfId="0" applyFont="1" applyBorder="1" applyAlignment="1" applyProtection="1">
      <alignment horizontal="center" vertical="center"/>
    </xf>
    <xf numFmtId="0" fontId="1" fillId="0" borderId="0" xfId="0" applyFont="1" applyBorder="1" applyAlignment="1" applyProtection="1">
      <alignment horizontal="left"/>
    </xf>
    <xf numFmtId="14" fontId="1" fillId="0" borderId="0" xfId="0" applyNumberFormat="1" applyFont="1" applyBorder="1" applyAlignment="1" applyProtection="1">
      <alignment horizontal="center"/>
    </xf>
    <xf numFmtId="0" fontId="1" fillId="0" borderId="0" xfId="0" applyFont="1" applyBorder="1" applyAlignment="1" applyProtection="1">
      <alignment horizontal="left" vertical="center"/>
    </xf>
    <xf numFmtId="0" fontId="1" fillId="0" borderId="0" xfId="0" applyFont="1" applyBorder="1" applyAlignment="1" applyProtection="1">
      <alignment horizontal="center"/>
    </xf>
    <xf numFmtId="42" fontId="1" fillId="0" borderId="0" xfId="0" applyNumberFormat="1" applyFont="1" applyBorder="1" applyAlignment="1" applyProtection="1">
      <alignment horizontal="left"/>
    </xf>
    <xf numFmtId="42" fontId="1" fillId="5" borderId="0" xfId="0" applyNumberFormat="1" applyFont="1" applyFill="1" applyBorder="1" applyProtection="1"/>
    <xf numFmtId="0" fontId="1" fillId="0" borderId="1" xfId="0" applyNumberFormat="1" applyFont="1" applyBorder="1" applyAlignment="1">
      <alignment horizontal="center"/>
    </xf>
    <xf numFmtId="49" fontId="2" fillId="0" borderId="1" xfId="0" applyNumberFormat="1" applyFont="1" applyBorder="1" applyAlignment="1" applyProtection="1">
      <alignment horizontal="center" vertical="center"/>
    </xf>
    <xf numFmtId="49" fontId="23" fillId="3" borderId="37" xfId="0" applyNumberFormat="1" applyFont="1" applyFill="1" applyBorder="1" applyAlignment="1">
      <alignment vertical="center"/>
    </xf>
    <xf numFmtId="49" fontId="2" fillId="3" borderId="1" xfId="0" applyNumberFormat="1" applyFont="1" applyFill="1" applyBorder="1" applyAlignment="1">
      <alignment horizontal="center" vertical="center"/>
    </xf>
    <xf numFmtId="0" fontId="2" fillId="0" borderId="1" xfId="0" applyFont="1" applyBorder="1"/>
    <xf numFmtId="49" fontId="1" fillId="0" borderId="1" xfId="0" applyNumberFormat="1" applyFont="1" applyBorder="1" applyAlignment="1">
      <alignment horizontal="center" vertical="center"/>
    </xf>
    <xf numFmtId="49" fontId="1" fillId="0" borderId="13" xfId="0" applyNumberFormat="1" applyFont="1" applyBorder="1" applyAlignment="1">
      <alignment horizontal="center"/>
    </xf>
    <xf numFmtId="49" fontId="1" fillId="12" borderId="1" xfId="0" applyNumberFormat="1" applyFont="1" applyFill="1" applyBorder="1" applyAlignment="1">
      <alignment horizontal="center" vertical="center"/>
    </xf>
    <xf numFmtId="49" fontId="1" fillId="11" borderId="1" xfId="0" applyNumberFormat="1" applyFont="1" applyFill="1" applyBorder="1" applyAlignment="1">
      <alignment horizontal="center" vertical="center"/>
    </xf>
    <xf numFmtId="174" fontId="43" fillId="0" borderId="0" xfId="0" applyNumberFormat="1" applyFont="1" applyAlignment="1">
      <alignment horizontal="left" vertical="center"/>
    </xf>
    <xf numFmtId="165" fontId="22" fillId="0" borderId="34" xfId="2" applyFont="1" applyBorder="1" applyAlignment="1">
      <alignment vertical="center"/>
    </xf>
    <xf numFmtId="0" fontId="28" fillId="0" borderId="37" xfId="0" applyFont="1" applyBorder="1"/>
    <xf numFmtId="0" fontId="64" fillId="0" borderId="34" xfId="0" applyFont="1" applyBorder="1" applyAlignment="1">
      <alignment horizontal="right" vertical="center"/>
    </xf>
    <xf numFmtId="0" fontId="31" fillId="0" borderId="34" xfId="0" applyFont="1" applyBorder="1" applyAlignment="1">
      <alignment vertical="center"/>
    </xf>
    <xf numFmtId="165" fontId="31" fillId="0" borderId="34" xfId="2" applyFont="1" applyBorder="1" applyAlignment="1">
      <alignment vertic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23" fillId="3" borderId="37" xfId="0" applyNumberFormat="1" applyFont="1" applyFill="1" applyBorder="1" applyAlignment="1">
      <alignment horizontal="center" vertical="center"/>
    </xf>
    <xf numFmtId="170" fontId="34" fillId="0" borderId="0" xfId="0" applyNumberFormat="1" applyFont="1" applyBorder="1" applyAlignment="1">
      <alignment vertical="center"/>
    </xf>
    <xf numFmtId="44" fontId="1" fillId="0" borderId="0" xfId="0" applyNumberFormat="1" applyFont="1" applyAlignment="1">
      <alignment horizontal="left" vertical="top"/>
    </xf>
    <xf numFmtId="176" fontId="1" fillId="0" borderId="1" xfId="0" applyNumberFormat="1" applyFont="1" applyBorder="1" applyAlignment="1" applyProtection="1">
      <alignment horizontal="center" vertical="center"/>
    </xf>
    <xf numFmtId="0" fontId="5" fillId="0" borderId="0" xfId="0" applyFont="1" applyAlignment="1" applyProtection="1">
      <alignment horizontal="center" vertical="center"/>
    </xf>
    <xf numFmtId="0" fontId="5" fillId="0" borderId="0" xfId="0" applyFont="1" applyAlignment="1" applyProtection="1">
      <alignment horizontal="center" vertical="center"/>
    </xf>
    <xf numFmtId="14" fontId="1" fillId="0" borderId="27" xfId="0" applyNumberFormat="1" applyFont="1" applyBorder="1" applyAlignment="1" applyProtection="1">
      <alignment horizontal="center" vertical="center"/>
    </xf>
    <xf numFmtId="14" fontId="1" fillId="0" borderId="34" xfId="0" applyNumberFormat="1" applyFont="1" applyBorder="1" applyAlignment="1" applyProtection="1">
      <alignment horizontal="center" vertical="center"/>
    </xf>
    <xf numFmtId="14" fontId="1" fillId="0" borderId="19" xfId="0" applyNumberFormat="1" applyFont="1" applyBorder="1" applyAlignment="1" applyProtection="1">
      <alignment horizontal="center" vertical="center"/>
    </xf>
    <xf numFmtId="0" fontId="35" fillId="0" borderId="33" xfId="0" applyFont="1" applyBorder="1" applyAlignment="1">
      <alignment horizontal="left" vertical="top"/>
    </xf>
    <xf numFmtId="0" fontId="35" fillId="0" borderId="2" xfId="0" applyFont="1" applyBorder="1" applyAlignment="1">
      <alignment horizontal="left" vertical="top"/>
    </xf>
    <xf numFmtId="171" fontId="22" fillId="0" borderId="34" xfId="0" applyNumberFormat="1" applyFont="1" applyBorder="1" applyAlignment="1">
      <alignment horizontal="left" vertical="center"/>
    </xf>
    <xf numFmtId="0" fontId="25" fillId="0" borderId="30" xfId="0" applyFont="1" applyBorder="1" applyAlignment="1">
      <alignment horizontal="center"/>
    </xf>
    <xf numFmtId="0" fontId="25" fillId="0" borderId="0" xfId="0" applyFont="1" applyBorder="1" applyAlignment="1">
      <alignment horizontal="center"/>
    </xf>
    <xf numFmtId="0" fontId="32" fillId="0" borderId="0" xfId="0" applyFont="1" applyAlignment="1">
      <alignment horizontal="center"/>
    </xf>
    <xf numFmtId="0" fontId="34" fillId="0" borderId="37" xfId="0" applyFont="1" applyBorder="1" applyAlignment="1">
      <alignment horizontal="center" vertical="center"/>
    </xf>
    <xf numFmtId="0" fontId="21" fillId="0" borderId="0" xfId="0" applyFont="1" applyAlignment="1">
      <alignment horizontal="center" vertical="center"/>
    </xf>
    <xf numFmtId="0" fontId="23" fillId="0" borderId="37" xfId="0" applyFont="1" applyBorder="1" applyAlignment="1">
      <alignment horizontal="left" vertical="center"/>
    </xf>
    <xf numFmtId="0" fontId="25" fillId="0" borderId="0" xfId="0" applyFont="1" applyBorder="1" applyAlignment="1">
      <alignment horizontal="center" vertical="center"/>
    </xf>
    <xf numFmtId="0" fontId="37" fillId="0" borderId="0" xfId="0" applyFont="1" applyBorder="1" applyAlignment="1">
      <alignment horizontal="left" vertical="top" wrapText="1"/>
    </xf>
    <xf numFmtId="0" fontId="26" fillId="0" borderId="0" xfId="0" applyFont="1" applyBorder="1" applyAlignment="1">
      <alignment horizontal="left" vertical="top" wrapText="1"/>
    </xf>
    <xf numFmtId="0" fontId="26" fillId="0" borderId="34" xfId="0" applyFont="1" applyBorder="1" applyAlignment="1">
      <alignment horizontal="left" vertical="center"/>
    </xf>
    <xf numFmtId="0" fontId="14" fillId="0" borderId="0" xfId="0"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vertical="center"/>
    </xf>
    <xf numFmtId="0" fontId="18" fillId="0" borderId="35" xfId="0" applyFont="1" applyBorder="1" applyAlignment="1">
      <alignment horizontal="center" vertical="center"/>
    </xf>
    <xf numFmtId="0" fontId="20" fillId="0" borderId="0" xfId="0" applyFont="1" applyBorder="1" applyAlignment="1">
      <alignment horizontal="right" vertical="center"/>
    </xf>
    <xf numFmtId="0" fontId="35" fillId="0" borderId="34" xfId="0" applyFont="1" applyBorder="1" applyAlignment="1">
      <alignment horizontal="center" vertical="center"/>
    </xf>
    <xf numFmtId="0" fontId="35" fillId="0" borderId="19" xfId="0" applyFont="1" applyBorder="1" applyAlignment="1">
      <alignment horizontal="center" vertical="center"/>
    </xf>
    <xf numFmtId="0" fontId="35" fillId="0" borderId="27" xfId="0" applyFont="1" applyBorder="1" applyAlignment="1">
      <alignment horizontal="center" vertical="center"/>
    </xf>
    <xf numFmtId="0" fontId="62" fillId="0" borderId="27" xfId="0" applyFont="1" applyBorder="1" applyAlignment="1">
      <alignment horizontal="center" vertical="center"/>
    </xf>
    <xf numFmtId="0" fontId="62" fillId="0" borderId="34" xfId="0" applyFont="1" applyBorder="1" applyAlignment="1">
      <alignment horizontal="center" vertical="center"/>
    </xf>
    <xf numFmtId="0" fontId="62" fillId="0" borderId="19" xfId="0" applyFont="1" applyBorder="1" applyAlignment="1">
      <alignment horizontal="center" vertical="center"/>
    </xf>
    <xf numFmtId="0" fontId="35" fillId="0" borderId="30" xfId="0" applyFont="1" applyBorder="1" applyAlignment="1">
      <alignment horizontal="left" vertical="top"/>
    </xf>
    <xf numFmtId="0" fontId="35" fillId="0" borderId="26" xfId="0" applyFont="1" applyBorder="1" applyAlignment="1">
      <alignment horizontal="left" vertical="top"/>
    </xf>
    <xf numFmtId="0" fontId="63" fillId="0" borderId="30" xfId="0" applyFont="1" applyBorder="1" applyAlignment="1">
      <alignment horizontal="center" vertical="center"/>
    </xf>
    <xf numFmtId="0" fontId="63" fillId="0" borderId="0" xfId="0" applyFont="1" applyBorder="1" applyAlignment="1">
      <alignment horizontal="center" vertical="center"/>
    </xf>
    <xf numFmtId="0" fontId="63" fillId="0" borderId="31" xfId="0" applyFont="1" applyBorder="1" applyAlignment="1">
      <alignment horizontal="center" vertical="center"/>
    </xf>
    <xf numFmtId="0" fontId="63" fillId="0" borderId="26" xfId="0" applyFont="1" applyBorder="1" applyAlignment="1">
      <alignment horizontal="center" vertical="center"/>
    </xf>
    <xf numFmtId="0" fontId="63" fillId="0" borderId="37" xfId="0" applyFont="1" applyBorder="1" applyAlignment="1">
      <alignment horizontal="center" vertical="center"/>
    </xf>
    <xf numFmtId="0" fontId="63" fillId="0" borderId="18" xfId="0" applyFont="1" applyBorder="1" applyAlignment="1">
      <alignment horizontal="center" vertical="center"/>
    </xf>
    <xf numFmtId="0" fontId="23" fillId="0" borderId="0" xfId="0" applyFont="1" applyAlignment="1">
      <alignment horizontal="center" vertical="center"/>
    </xf>
    <xf numFmtId="0" fontId="20" fillId="0" borderId="0" xfId="0" applyFont="1" applyAlignment="1">
      <alignment horizontal="center"/>
    </xf>
    <xf numFmtId="0" fontId="35" fillId="0" borderId="37" xfId="0" applyFont="1" applyBorder="1" applyAlignment="1">
      <alignment horizontal="center" vertical="center"/>
    </xf>
    <xf numFmtId="0" fontId="20" fillId="0" borderId="0" xfId="0" applyFont="1" applyBorder="1" applyAlignment="1">
      <alignment horizontal="center" vertical="center"/>
    </xf>
    <xf numFmtId="0" fontId="20" fillId="0" borderId="31" xfId="0" applyFont="1" applyBorder="1" applyAlignment="1">
      <alignment horizontal="center" vertical="center"/>
    </xf>
    <xf numFmtId="0" fontId="61" fillId="0" borderId="0" xfId="0" applyFont="1" applyAlignment="1">
      <alignment horizontal="center"/>
    </xf>
    <xf numFmtId="44" fontId="1" fillId="0" borderId="0" xfId="0" applyNumberFormat="1" applyFont="1" applyAlignment="1">
      <alignment horizontal="center"/>
    </xf>
    <xf numFmtId="0" fontId="1" fillId="0" borderId="0" xfId="0" applyFont="1" applyAlignment="1">
      <alignment horizontal="left" wrapText="1"/>
    </xf>
    <xf numFmtId="0" fontId="4" fillId="0" borderId="0" xfId="0" applyFont="1" applyAlignment="1">
      <alignment horizontal="center"/>
    </xf>
    <xf numFmtId="0" fontId="1"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horizontal="center" vertical="center"/>
    </xf>
    <xf numFmtId="0" fontId="7" fillId="0" borderId="25" xfId="0" applyFont="1" applyBorder="1" applyAlignment="1">
      <alignment horizontal="center" vertical="center"/>
    </xf>
    <xf numFmtId="0" fontId="7" fillId="4" borderId="0" xfId="0" applyFont="1" applyFill="1" applyAlignment="1">
      <alignment horizontal="center"/>
    </xf>
    <xf numFmtId="0" fontId="4" fillId="0" borderId="0" xfId="0" applyFont="1" applyAlignment="1">
      <alignment horizontal="center" vertical="center"/>
    </xf>
    <xf numFmtId="0" fontId="2" fillId="2" borderId="4"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1" fillId="0" borderId="23" xfId="0" applyFont="1" applyBorder="1" applyAlignment="1">
      <alignment horizontal="center" vertical="center"/>
    </xf>
    <xf numFmtId="0" fontId="1" fillId="0" borderId="19" xfId="0" applyFont="1" applyBorder="1" applyAlignment="1">
      <alignment horizontal="center" vertical="center"/>
    </xf>
    <xf numFmtId="0" fontId="1" fillId="0" borderId="0" xfId="0" applyFont="1" applyAlignment="1">
      <alignment horizontal="left" vertical="center"/>
    </xf>
    <xf numFmtId="0" fontId="1" fillId="0" borderId="24" xfId="0" applyNumberFormat="1" applyFont="1" applyBorder="1" applyAlignment="1">
      <alignment horizontal="center" vertical="center"/>
    </xf>
    <xf numFmtId="0" fontId="1" fillId="0" borderId="20" xfId="0" applyNumberFormat="1" applyFont="1" applyBorder="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7" fillId="0" borderId="0" xfId="0" applyFont="1" applyAlignment="1">
      <alignment horizontal="center" vertical="center"/>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3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37" xfId="0" applyFont="1" applyFill="1" applyBorder="1" applyAlignment="1">
      <alignment horizontal="center" vertical="center" wrapText="1"/>
    </xf>
    <xf numFmtId="9" fontId="2" fillId="0" borderId="26" xfId="0" applyNumberFormat="1" applyFont="1" applyBorder="1" applyAlignment="1">
      <alignment horizontal="center"/>
    </xf>
    <xf numFmtId="9" fontId="2" fillId="0" borderId="18" xfId="0" applyNumberFormat="1" applyFont="1" applyBorder="1" applyAlignment="1">
      <alignment horizontal="center"/>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8" xfId="0" applyFont="1" applyFill="1" applyBorder="1" applyAlignment="1">
      <alignment horizontal="center" vertical="center" wrapText="1"/>
    </xf>
    <xf numFmtId="22" fontId="3" fillId="0" borderId="0" xfId="0" applyNumberFormat="1" applyFont="1" applyAlignment="1">
      <alignment horizontal="left" vertical="center"/>
    </xf>
    <xf numFmtId="0" fontId="3" fillId="0" borderId="0" xfId="0" applyFont="1" applyAlignment="1">
      <alignment horizontal="left" vertical="center"/>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32" xfId="0" applyFont="1" applyFill="1" applyBorder="1" applyAlignment="1">
      <alignment horizontal="center" vertical="center" wrapText="1"/>
    </xf>
    <xf numFmtId="0" fontId="44" fillId="0" borderId="0" xfId="0" applyFont="1" applyBorder="1" applyAlignment="1">
      <alignment horizontal="center" vertical="center"/>
    </xf>
    <xf numFmtId="0" fontId="1" fillId="0" borderId="0" xfId="0" applyFont="1" applyBorder="1" applyAlignment="1">
      <alignment horizontal="center" vertical="center"/>
    </xf>
    <xf numFmtId="14" fontId="3" fillId="2" borderId="1" xfId="0" applyNumberFormat="1" applyFont="1" applyFill="1" applyBorder="1" applyAlignment="1">
      <alignment horizontal="center" vertical="center" wrapText="1"/>
    </xf>
    <xf numFmtId="0" fontId="0" fillId="0" borderId="27" xfId="0" applyBorder="1" applyAlignment="1">
      <alignment horizontal="center"/>
    </xf>
    <xf numFmtId="0" fontId="0" fillId="0" borderId="19" xfId="0" applyBorder="1" applyAlignment="1">
      <alignment horizontal="center"/>
    </xf>
    <xf numFmtId="0" fontId="0" fillId="0" borderId="34" xfId="0" applyBorder="1" applyAlignment="1">
      <alignment horizontal="center"/>
    </xf>
    <xf numFmtId="0" fontId="0" fillId="4" borderId="27" xfId="0" applyFill="1" applyBorder="1" applyAlignment="1">
      <alignment horizontal="center"/>
    </xf>
    <xf numFmtId="0" fontId="0" fillId="4" borderId="19" xfId="0" applyFill="1" applyBorder="1" applyAlignment="1">
      <alignment horizontal="center"/>
    </xf>
    <xf numFmtId="0" fontId="11" fillId="0" borderId="0" xfId="0" applyFont="1" applyAlignment="1">
      <alignment horizontal="center"/>
    </xf>
    <xf numFmtId="167" fontId="0" fillId="0" borderId="0" xfId="0" quotePrefix="1" applyNumberFormat="1" applyAlignment="1">
      <alignment horizontal="left" vertical="center"/>
    </xf>
    <xf numFmtId="167" fontId="0" fillId="0" borderId="0" xfId="0" applyNumberFormat="1" applyAlignment="1">
      <alignment horizontal="left" vertical="center"/>
    </xf>
    <xf numFmtId="0" fontId="11" fillId="0" borderId="1" xfId="0" applyFont="1" applyBorder="1" applyAlignment="1">
      <alignment horizontal="center" vertical="center"/>
    </xf>
    <xf numFmtId="0" fontId="0" fillId="12" borderId="27" xfId="0" applyFill="1" applyBorder="1" applyAlignment="1">
      <alignment horizontal="center"/>
    </xf>
    <xf numFmtId="0" fontId="0" fillId="12" borderId="19" xfId="0" applyFill="1" applyBorder="1" applyAlignment="1">
      <alignment horizontal="center"/>
    </xf>
    <xf numFmtId="0" fontId="0" fillId="11" borderId="27" xfId="0" applyFill="1" applyBorder="1" applyAlignment="1">
      <alignment horizontal="center"/>
    </xf>
    <xf numFmtId="0" fontId="0" fillId="11" borderId="19" xfId="0" applyFill="1" applyBorder="1" applyAlignment="1">
      <alignment horizontal="center"/>
    </xf>
    <xf numFmtId="42" fontId="2" fillId="2" borderId="16" xfId="0" applyNumberFormat="1" applyFont="1" applyFill="1" applyBorder="1" applyAlignment="1" applyProtection="1">
      <alignment horizontal="center" vertical="center" wrapText="1"/>
    </xf>
    <xf numFmtId="42" fontId="1" fillId="0" borderId="1" xfId="0" applyNumberFormat="1" applyFont="1" applyBorder="1" applyAlignment="1" applyProtection="1">
      <alignment horizontal="center" vertical="center"/>
    </xf>
    <xf numFmtId="42" fontId="1" fillId="0" borderId="0" xfId="0" applyNumberFormat="1" applyFont="1" applyBorder="1" applyAlignment="1" applyProtection="1">
      <alignment horizontal="center" vertical="center"/>
    </xf>
    <xf numFmtId="42" fontId="1" fillId="0" borderId="0" xfId="0" applyNumberFormat="1" applyFont="1" applyAlignment="1" applyProtection="1">
      <alignment horizontal="center" vertical="center"/>
    </xf>
    <xf numFmtId="42" fontId="56" fillId="0" borderId="0" xfId="0" applyNumberFormat="1" applyFont="1" applyAlignment="1" applyProtection="1">
      <alignment horizontal="center" vertical="center"/>
    </xf>
    <xf numFmtId="176" fontId="1" fillId="0" borderId="1" xfId="0" applyNumberFormat="1" applyFont="1" applyBorder="1" applyAlignment="1">
      <alignment horizontal="center"/>
    </xf>
    <xf numFmtId="0" fontId="45" fillId="0" borderId="0" xfId="0" applyFont="1"/>
    <xf numFmtId="0" fontId="65" fillId="0" borderId="0" xfId="0" applyFont="1" applyAlignment="1">
      <alignment vertical="center"/>
    </xf>
    <xf numFmtId="176" fontId="65" fillId="0" borderId="0" xfId="0" applyNumberFormat="1" applyFont="1" applyAlignment="1">
      <alignment vertical="center"/>
    </xf>
    <xf numFmtId="174" fontId="1" fillId="0" borderId="0" xfId="0" applyNumberFormat="1" applyFont="1" applyAlignment="1">
      <alignment horizontal="left"/>
    </xf>
  </cellXfs>
  <cellStyles count="26">
    <cellStyle name="40% - Accent2 2" xfId="6" xr:uid="{00000000-0005-0000-0000-000000000000}"/>
    <cellStyle name="Comma" xfId="1" builtinId="3"/>
    <cellStyle name="Comma [0]" xfId="2" builtinId="6"/>
    <cellStyle name="Comma 2" xfId="3" xr:uid="{00000000-0005-0000-0000-000003000000}"/>
    <cellStyle name="GrayCell" xfId="10" xr:uid="{00000000-0005-0000-0000-000004000000}"/>
    <cellStyle name="GrayCell 2" xfId="11" xr:uid="{00000000-0005-0000-0000-000005000000}"/>
    <cellStyle name="GrayCell 2 2" xfId="12" xr:uid="{00000000-0005-0000-0000-000006000000}"/>
    <cellStyle name="Heading 1 2" xfId="7" xr:uid="{00000000-0005-0000-0000-000007000000}"/>
    <cellStyle name="Heading 2 2" xfId="8" xr:uid="{00000000-0005-0000-0000-000008000000}"/>
    <cellStyle name="Heading 3 2" xfId="13" xr:uid="{00000000-0005-0000-0000-000009000000}"/>
    <cellStyle name="Hyperlink 2" xfId="5" xr:uid="{00000000-0005-0000-0000-00000A000000}"/>
    <cellStyle name="Hyperlink 3" xfId="25" xr:uid="{00000000-0005-0000-0000-00000B000000}"/>
    <cellStyle name="Normal" xfId="0" builtinId="0"/>
    <cellStyle name="Normal 2" xfId="4" xr:uid="{00000000-0005-0000-0000-00000D000000}"/>
    <cellStyle name="Normal 2 2" xfId="14" xr:uid="{00000000-0005-0000-0000-00000E000000}"/>
    <cellStyle name="Normal 3" xfId="15" xr:uid="{00000000-0005-0000-0000-00000F000000}"/>
    <cellStyle name="Normal 4" xfId="24" xr:uid="{00000000-0005-0000-0000-000010000000}"/>
    <cellStyle name="OrangeBorder" xfId="16" xr:uid="{00000000-0005-0000-0000-000011000000}"/>
    <cellStyle name="OrangeBorder 2" xfId="17" xr:uid="{00000000-0005-0000-0000-000012000000}"/>
    <cellStyle name="OrangeBorder 3" xfId="18" xr:uid="{00000000-0005-0000-0000-000013000000}"/>
    <cellStyle name="Start Text" xfId="19" xr:uid="{00000000-0005-0000-0000-000014000000}"/>
    <cellStyle name="Title 2" xfId="9" xr:uid="{00000000-0005-0000-0000-000015000000}"/>
    <cellStyle name="YellowCell" xfId="20" xr:uid="{00000000-0005-0000-0000-000016000000}"/>
    <cellStyle name="YellowCell 2" xfId="21" xr:uid="{00000000-0005-0000-0000-000017000000}"/>
    <cellStyle name="YellowCell 2 2" xfId="22" xr:uid="{00000000-0005-0000-0000-000018000000}"/>
    <cellStyle name="z A Column text" xfId="23" xr:uid="{00000000-0005-0000-0000-000019000000}"/>
  </cellStyles>
  <dxfs count="6">
    <dxf>
      <fill>
        <patternFill>
          <bgColor rgb="FFF8F8F8"/>
        </patternFill>
      </fill>
    </dxf>
    <dxf>
      <font>
        <b val="0"/>
        <i val="0"/>
        <color auto="1"/>
      </font>
      <fill>
        <patternFill>
          <bgColor rgb="FFFFFFFF"/>
        </patternFill>
      </fill>
      <border>
        <top style="thin">
          <color rgb="FF338F99"/>
        </top>
        <bottom style="thin">
          <color rgb="FF338F99"/>
        </bottom>
      </border>
    </dxf>
    <dxf>
      <border>
        <right style="thin">
          <color rgb="FF338F99"/>
        </right>
        <top style="thin">
          <color rgb="FF338F99"/>
        </top>
        <bottom style="thin">
          <color rgb="FF338F99"/>
        </bottom>
        <vertical style="thin">
          <color rgb="FF338F99"/>
        </vertical>
        <horizontal style="thin">
          <color rgb="FF338F99"/>
        </horizontal>
      </border>
    </dxf>
    <dxf>
      <font>
        <b val="0"/>
        <i val="0"/>
        <color rgb="FF338F99"/>
      </font>
      <fill>
        <patternFill>
          <bgColor rgb="FFF8F8F8"/>
        </patternFill>
      </fill>
      <border>
        <top style="thin">
          <color rgb="FF338F99"/>
        </top>
        <bottom style="thin">
          <color rgb="FF338F99"/>
        </bottom>
        <vertical/>
        <horizontal/>
      </border>
    </dxf>
    <dxf>
      <border>
        <top style="thin">
          <color rgb="FF338F99"/>
        </top>
        <bottom style="thin">
          <color rgb="FF338F99"/>
        </bottom>
        <vertical style="thin">
          <color rgb="FF338F99"/>
        </vertical>
        <horizontal style="thin">
          <color rgb="FF338F99"/>
        </horizontal>
      </border>
    </dxf>
    <dxf>
      <border>
        <left/>
        <right/>
        <top/>
        <bottom/>
      </border>
    </dxf>
  </dxfs>
  <tableStyles count="2" defaultTableStyle="TableStyleMedium2" defaultPivotStyle="PivotStyleLight16">
    <tableStyle name="Slicer Style 1" pivot="0" table="0" count="5" xr9:uid="{00000000-0011-0000-FFFF-FFFF00000000}">
      <tableStyleElement type="wholeTable" dxfId="5"/>
    </tableStyle>
    <tableStyle name="Table Style 1" pivot="0" count="5" xr9:uid="{00000000-0011-0000-FFFF-FFFF01000000}">
      <tableStyleElement type="wholeTable" dxfId="4"/>
      <tableStyleElement type="headerRow" dxfId="3"/>
      <tableStyleElement type="firstColumn" dxfId="2"/>
      <tableStyleElement type="firstRowStripe" dxfId="1"/>
      <tableStyleElement type="secondRowStripe" dxfId="0"/>
    </tableStyle>
  </tableStyles>
  <extLst>
    <ext xmlns:x14="http://schemas.microsoft.com/office/spreadsheetml/2009/9/main" uri="{46F421CA-312F-682f-3DD2-61675219B42D}">
      <x14:dxfs count="4">
        <dxf>
          <font>
            <color theme="0"/>
          </font>
          <fill>
            <patternFill>
              <bgColor theme="6"/>
            </patternFill>
          </fill>
          <border>
            <left style="thin">
              <color auto="1"/>
            </left>
            <right style="thin">
              <color auto="1"/>
            </right>
            <top style="thin">
              <color auto="1"/>
            </top>
            <bottom style="thin">
              <color auto="1"/>
            </bottom>
          </border>
        </dxf>
        <dxf>
          <font>
            <color theme="6"/>
          </font>
          <fill>
            <patternFill>
              <bgColor rgb="FFF8F8F8"/>
            </patternFill>
          </fill>
          <border>
            <left style="thin">
              <color auto="1"/>
            </left>
            <right style="thin">
              <color auto="1"/>
            </right>
            <top style="thin">
              <color auto="1"/>
            </top>
            <bottom style="thin">
              <color auto="1"/>
            </bottom>
          </border>
        </dxf>
        <dxf>
          <font>
            <color theme="0"/>
          </font>
          <fill>
            <patternFill>
              <bgColor rgb="FF338F99"/>
            </patternFill>
          </fill>
          <border>
            <left style="thin">
              <color auto="1"/>
            </left>
            <right style="thin">
              <color auto="1"/>
            </right>
            <top style="thin">
              <color auto="1"/>
            </top>
            <bottom style="thin">
              <color auto="1"/>
            </bottom>
          </border>
        </dxf>
        <dxf>
          <font>
            <color rgb="FF338F99"/>
          </font>
          <fill>
            <patternFill>
              <bgColor rgb="FFF8F8F8"/>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266700</xdr:colOff>
      <xdr:row>0</xdr:row>
      <xdr:rowOff>28575</xdr:rowOff>
    </xdr:from>
    <xdr:to>
      <xdr:col>1</xdr:col>
      <xdr:colOff>952500</xdr:colOff>
      <xdr:row>3</xdr:row>
      <xdr:rowOff>123825</xdr:rowOff>
    </xdr:to>
    <xdr:pic>
      <xdr:nvPicPr>
        <xdr:cNvPr id="24" name="Picture 1" descr="KOPERASI-1">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342900" y="28575"/>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266700</xdr:colOff>
      <xdr:row>0</xdr:row>
      <xdr:rowOff>28575</xdr:rowOff>
    </xdr:from>
    <xdr:to>
      <xdr:col>1</xdr:col>
      <xdr:colOff>952500</xdr:colOff>
      <xdr:row>3</xdr:row>
      <xdr:rowOff>123825</xdr:rowOff>
    </xdr:to>
    <xdr:pic>
      <xdr:nvPicPr>
        <xdr:cNvPr id="25" name="Picture 1" descr="KOPERASI-1">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342900" y="28575"/>
          <a:ext cx="68580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295275</xdr:colOff>
      <xdr:row>0</xdr:row>
      <xdr:rowOff>38100</xdr:rowOff>
    </xdr:from>
    <xdr:to>
      <xdr:col>12</xdr:col>
      <xdr:colOff>981075</xdr:colOff>
      <xdr:row>3</xdr:row>
      <xdr:rowOff>133350</xdr:rowOff>
    </xdr:to>
    <xdr:pic>
      <xdr:nvPicPr>
        <xdr:cNvPr id="13" name="Picture 2" descr="KOPERASI-1">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6934200" y="38100"/>
          <a:ext cx="6858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266700</xdr:colOff>
      <xdr:row>32</xdr:row>
      <xdr:rowOff>28575</xdr:rowOff>
    </xdr:from>
    <xdr:to>
      <xdr:col>1</xdr:col>
      <xdr:colOff>952500</xdr:colOff>
      <xdr:row>35</xdr:row>
      <xdr:rowOff>123825</xdr:rowOff>
    </xdr:to>
    <xdr:pic>
      <xdr:nvPicPr>
        <xdr:cNvPr id="5" name="Picture 1" descr="KOPERASI-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342900" y="28575"/>
          <a:ext cx="6858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266700</xdr:colOff>
      <xdr:row>32</xdr:row>
      <xdr:rowOff>28575</xdr:rowOff>
    </xdr:from>
    <xdr:to>
      <xdr:col>1</xdr:col>
      <xdr:colOff>952500</xdr:colOff>
      <xdr:row>35</xdr:row>
      <xdr:rowOff>123825</xdr:rowOff>
    </xdr:to>
    <xdr:pic>
      <xdr:nvPicPr>
        <xdr:cNvPr id="6" name="Picture 1" descr="KOPERASI-1">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342900" y="28575"/>
          <a:ext cx="6858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1095375</xdr:colOff>
      <xdr:row>18</xdr:row>
      <xdr:rowOff>7938</xdr:rowOff>
    </xdr:from>
    <xdr:to>
      <xdr:col>15</xdr:col>
      <xdr:colOff>205154</xdr:colOff>
      <xdr:row>23</xdr:row>
      <xdr:rowOff>21981</xdr:rowOff>
    </xdr:to>
    <xdr:pic>
      <xdr:nvPicPr>
        <xdr:cNvPr id="9" name="Picture 8">
          <a:extLst>
            <a:ext uri="{FF2B5EF4-FFF2-40B4-BE49-F238E27FC236}">
              <a16:creationId xmlns:a16="http://schemas.microsoft.com/office/drawing/2014/main" id="{00000000-0008-0000-0100-000009000000}"/>
            </a:ext>
          </a:extLst>
        </xdr:cNvPr>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7799510" y="2337900"/>
          <a:ext cx="685067" cy="746735"/>
        </a:xfrm>
        <a:prstGeom prst="rect">
          <a:avLst/>
        </a:prstGeom>
      </xdr:spPr>
    </xdr:pic>
    <xdr:clientData/>
  </xdr:twoCellAnchor>
  <xdr:twoCellAnchor editAs="oneCell">
    <xdr:from>
      <xdr:col>1</xdr:col>
      <xdr:colOff>1189160</xdr:colOff>
      <xdr:row>18</xdr:row>
      <xdr:rowOff>42375</xdr:rowOff>
    </xdr:from>
    <xdr:to>
      <xdr:col>4</xdr:col>
      <xdr:colOff>298939</xdr:colOff>
      <xdr:row>23</xdr:row>
      <xdr:rowOff>56418</xdr:rowOff>
    </xdr:to>
    <xdr:pic>
      <xdr:nvPicPr>
        <xdr:cNvPr id="10" name="Picture 9">
          <a:extLst>
            <a:ext uri="{FF2B5EF4-FFF2-40B4-BE49-F238E27FC236}">
              <a16:creationId xmlns:a16="http://schemas.microsoft.com/office/drawing/2014/main" id="{029AAAA6-8B72-4827-8729-A29E706DFD90}"/>
            </a:ext>
          </a:extLst>
        </xdr:cNvPr>
        <xdr:cNvPicPr/>
      </xdr:nvPicPr>
      <xdr:blipFill>
        <a:blip xmlns:r="http://schemas.openxmlformats.org/officeDocument/2006/relationships" r:embed="rId4" cstate="print">
          <a:extLst>
            <a:ext uri="{BEBA8EAE-BF5A-486C-A8C5-ECC9F3942E4B}">
              <a14:imgProps xmlns:a14="http://schemas.microsoft.com/office/drawing/2010/main">
                <a14:imgLayer r:embed="rId3">
                  <a14:imgEffect>
                    <a14:backgroundRemoval t="10000" b="90000" l="10000" r="90000">
                      <a14:foregroundMark x1="11409" y1="35252" x2="79866" y2="20144"/>
                      <a14:foregroundMark x1="79866" y1="20144" x2="81879" y2="87050"/>
                      <a14:foregroundMark x1="81879" y1="87050" x2="13423" y2="69784"/>
                      <a14:foregroundMark x1="13423" y1="69784" x2="17450" y2="75540"/>
                    </a14:backgroundRemoval>
                  </a14:imgEffect>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1265360" y="2356950"/>
          <a:ext cx="681404" cy="7284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47</xdr:row>
      <xdr:rowOff>171451</xdr:rowOff>
    </xdr:from>
    <xdr:to>
      <xdr:col>1</xdr:col>
      <xdr:colOff>666750</xdr:colOff>
      <xdr:row>51</xdr:row>
      <xdr:rowOff>66675</xdr:rowOff>
    </xdr:to>
    <xdr:pic>
      <xdr:nvPicPr>
        <xdr:cNvPr id="2" name="Picture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95250" y="9115426"/>
          <a:ext cx="685800" cy="6572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www.belajaroffice.com/" TargetMode="Externa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Y124"/>
  <sheetViews>
    <sheetView showGridLines="0" zoomScale="90" zoomScaleNormal="90" workbookViewId="0">
      <pane ySplit="4" topLeftCell="A5" activePane="bottomLeft" state="frozen"/>
      <selection pane="bottomLeft" activeCell="P4" sqref="P4"/>
    </sheetView>
  </sheetViews>
  <sheetFormatPr defaultRowHeight="15"/>
  <cols>
    <col min="1" max="1" width="1.85546875" style="16" customWidth="1"/>
    <col min="2" max="2" width="3.7109375" style="23" bestFit="1" customWidth="1"/>
    <col min="3" max="3" width="8.85546875" style="17" bestFit="1" customWidth="1"/>
    <col min="4" max="4" width="18.28515625" style="24" customWidth="1"/>
    <col min="5" max="5" width="10.85546875" style="25" bestFit="1" customWidth="1"/>
    <col min="6" max="6" width="25.7109375" style="26" bestFit="1" customWidth="1"/>
    <col min="7" max="7" width="8.7109375" style="27" customWidth="1"/>
    <col min="8" max="8" width="14.140625" style="28" bestFit="1" customWidth="1"/>
    <col min="9" max="9" width="10.42578125" style="28" bestFit="1" customWidth="1"/>
    <col min="10" max="10" width="13.5703125" style="28" customWidth="1"/>
    <col min="11" max="11" width="13.5703125" style="467" customWidth="1"/>
    <col min="12" max="12" width="15.42578125" style="29" bestFit="1" customWidth="1"/>
    <col min="13" max="14" width="13.85546875" style="23" customWidth="1"/>
    <col min="15" max="15" width="8.28515625" style="30" bestFit="1" customWidth="1"/>
    <col min="16" max="16" width="13.7109375" style="29" bestFit="1" customWidth="1"/>
    <col min="17" max="17" width="8.140625" style="16" customWidth="1"/>
    <col min="18" max="18" width="16.7109375" style="209" bestFit="1" customWidth="1"/>
    <col min="19" max="19" width="14.85546875" style="209" bestFit="1" customWidth="1"/>
    <col min="20" max="20" width="13" style="209" bestFit="1" customWidth="1"/>
    <col min="21" max="21" width="18" style="209" bestFit="1" customWidth="1"/>
    <col min="22" max="22" width="18" style="209" customWidth="1"/>
    <col min="23" max="23" width="14.28515625" style="209" bestFit="1" customWidth="1"/>
    <col min="24" max="24" width="10.5703125" style="179" customWidth="1"/>
    <col min="25" max="25" width="10.28515625" style="179" bestFit="1" customWidth="1"/>
    <col min="26" max="16384" width="9.140625" style="16"/>
  </cols>
  <sheetData>
    <row r="1" spans="2:25" ht="20.25">
      <c r="B1" s="360" t="s">
        <v>161</v>
      </c>
      <c r="C1" s="360"/>
      <c r="D1" s="360"/>
      <c r="E1" s="360"/>
      <c r="F1" s="360"/>
      <c r="G1" s="360"/>
      <c r="H1" s="360"/>
      <c r="I1" s="360"/>
      <c r="J1" s="360"/>
      <c r="K1" s="360"/>
      <c r="L1" s="360"/>
      <c r="M1" s="360"/>
      <c r="N1" s="360"/>
      <c r="O1" s="360"/>
      <c r="P1" s="360"/>
      <c r="R1" s="207"/>
      <c r="S1" s="207"/>
      <c r="T1" s="207"/>
      <c r="U1" s="207"/>
      <c r="V1" s="207"/>
      <c r="W1" s="207"/>
    </row>
    <row r="2" spans="2:25" ht="20.25">
      <c r="B2" s="360" t="s">
        <v>153</v>
      </c>
      <c r="C2" s="360"/>
      <c r="D2" s="360"/>
      <c r="E2" s="360"/>
      <c r="F2" s="360"/>
      <c r="G2" s="360"/>
      <c r="H2" s="360"/>
      <c r="I2" s="360"/>
      <c r="J2" s="360"/>
      <c r="K2" s="360"/>
      <c r="L2" s="360"/>
      <c r="M2" s="360"/>
      <c r="N2" s="360"/>
      <c r="O2" s="360"/>
      <c r="P2" s="360"/>
      <c r="R2" s="207"/>
      <c r="S2" s="207"/>
      <c r="T2" s="207"/>
      <c r="U2" s="207"/>
      <c r="V2" s="207"/>
      <c r="W2" s="207"/>
    </row>
    <row r="3" spans="2:25" ht="9" customHeight="1" thickBot="1">
      <c r="B3" s="31"/>
      <c r="C3" s="31"/>
      <c r="D3" s="31"/>
      <c r="E3" s="31"/>
      <c r="F3" s="31"/>
      <c r="G3" s="31"/>
      <c r="H3" s="31"/>
      <c r="I3" s="359"/>
      <c r="J3" s="206"/>
      <c r="K3" s="359"/>
      <c r="L3" s="31"/>
      <c r="M3" s="31"/>
      <c r="N3" s="359"/>
      <c r="O3" s="31"/>
      <c r="P3" s="31"/>
      <c r="R3" s="208"/>
      <c r="S3" s="208"/>
      <c r="T3" s="208"/>
      <c r="U3" s="208"/>
      <c r="V3" s="208"/>
      <c r="W3" s="208"/>
    </row>
    <row r="4" spans="2:25" ht="45.75" customHeight="1">
      <c r="B4" s="41" t="s">
        <v>0</v>
      </c>
      <c r="C4" s="42" t="s">
        <v>145</v>
      </c>
      <c r="D4" s="43" t="s">
        <v>14</v>
      </c>
      <c r="E4" s="44" t="s">
        <v>1</v>
      </c>
      <c r="F4" s="45" t="s">
        <v>2</v>
      </c>
      <c r="G4" s="43" t="s">
        <v>3</v>
      </c>
      <c r="H4" s="464" t="s">
        <v>154</v>
      </c>
      <c r="I4" s="464" t="s">
        <v>155</v>
      </c>
      <c r="J4" s="46" t="s">
        <v>91</v>
      </c>
      <c r="K4" s="46" t="s">
        <v>138</v>
      </c>
      <c r="L4" s="464" t="s">
        <v>151</v>
      </c>
      <c r="M4" s="43" t="s">
        <v>130</v>
      </c>
      <c r="N4" s="43" t="s">
        <v>159</v>
      </c>
      <c r="O4" s="47" t="s">
        <v>13</v>
      </c>
      <c r="P4" s="48" t="s">
        <v>152</v>
      </c>
      <c r="R4" s="16"/>
      <c r="S4" s="16"/>
      <c r="T4" s="16"/>
      <c r="U4" s="16"/>
      <c r="V4" s="16"/>
      <c r="W4" s="16"/>
      <c r="X4" s="16"/>
      <c r="Y4" s="16"/>
    </row>
    <row r="5" spans="2:25">
      <c r="B5" s="49">
        <f>IF(C5="","",ROW()-4)</f>
        <v>1</v>
      </c>
      <c r="C5" s="338" t="s">
        <v>150</v>
      </c>
      <c r="D5" s="18" t="s">
        <v>26</v>
      </c>
      <c r="E5" s="33">
        <v>44593</v>
      </c>
      <c r="F5" s="19" t="s">
        <v>156</v>
      </c>
      <c r="G5" s="20"/>
      <c r="H5" s="21">
        <v>1000000</v>
      </c>
      <c r="I5" s="21">
        <v>0</v>
      </c>
      <c r="J5" s="21">
        <v>500000</v>
      </c>
      <c r="K5" s="358">
        <v>0.22500000000000001</v>
      </c>
      <c r="L5" s="164">
        <f>IF(ISBLANK(D5)," ",(H5+I5-J5)+(H5-J5)*K5)</f>
        <v>612500</v>
      </c>
      <c r="M5" s="465">
        <f>IF(ISBLANK(D5)," ",(((H5-J5)+I5)*0.225))</f>
        <v>112500</v>
      </c>
      <c r="N5" s="465">
        <f>IFERROR(H5-J5," ")</f>
        <v>500000</v>
      </c>
      <c r="O5" s="32">
        <v>3</v>
      </c>
      <c r="P5" s="50">
        <f>IFERROR((L5/O5)," ")</f>
        <v>204166.66666666666</v>
      </c>
      <c r="R5" s="16"/>
      <c r="S5" s="16"/>
      <c r="T5" s="16"/>
      <c r="U5" s="16"/>
      <c r="V5" s="16"/>
      <c r="W5" s="16"/>
      <c r="X5" s="16"/>
      <c r="Y5" s="16"/>
    </row>
    <row r="6" spans="2:25">
      <c r="B6" s="49" t="str">
        <f t="shared" ref="B6:B40" si="0">IF(C6="","",ROW()-4)</f>
        <v/>
      </c>
      <c r="C6" s="338"/>
      <c r="D6" s="18"/>
      <c r="E6" s="34"/>
      <c r="F6" s="19"/>
      <c r="G6" s="20"/>
      <c r="H6" s="21"/>
      <c r="I6" s="21"/>
      <c r="J6" s="21"/>
      <c r="K6" s="465"/>
      <c r="L6" s="164" t="str">
        <f t="shared" ref="L6:L69" si="1">IF(ISBLANK(D6)," ",(H6+I6-J6)+(H6-J6)*0.225)</f>
        <v xml:space="preserve"> </v>
      </c>
      <c r="M6" s="465" t="str">
        <f>IF(ISBLANK(D6)," ",(((H6-J6)+I6)*0.225))</f>
        <v xml:space="preserve"> </v>
      </c>
      <c r="N6" s="465"/>
      <c r="O6" s="358" t="str">
        <f>IF(ISBLANK(H6)," ",1%*M6)</f>
        <v xml:space="preserve"> </v>
      </c>
      <c r="P6" s="50" t="str">
        <f>IFERROR((L6+(L6*O6))/M6," ")</f>
        <v xml:space="preserve"> </v>
      </c>
      <c r="R6" s="16"/>
      <c r="S6" s="16"/>
      <c r="T6" s="16"/>
      <c r="U6" s="16"/>
      <c r="V6" s="16"/>
      <c r="W6" s="16"/>
      <c r="X6" s="16"/>
      <c r="Y6" s="16"/>
    </row>
    <row r="7" spans="2:25">
      <c r="B7" s="49" t="str">
        <f t="shared" si="0"/>
        <v/>
      </c>
      <c r="C7" s="338"/>
      <c r="D7" s="18"/>
      <c r="E7" s="34"/>
      <c r="F7" s="19"/>
      <c r="G7" s="20"/>
      <c r="H7" s="21"/>
      <c r="I7" s="21"/>
      <c r="J7" s="21"/>
      <c r="K7" s="465"/>
      <c r="L7" s="164" t="str">
        <f t="shared" si="1"/>
        <v xml:space="preserve"> </v>
      </c>
      <c r="M7" s="465" t="str">
        <f>IF(ISBLANK(D7)," ",(((H7-J7)+I7)*0.225))</f>
        <v xml:space="preserve"> </v>
      </c>
      <c r="N7" s="465"/>
      <c r="O7" s="22"/>
      <c r="P7" s="50" t="str">
        <f>IFERROR((L7+(L7*O7))/M7," ")</f>
        <v xml:space="preserve"> </v>
      </c>
      <c r="R7" s="16"/>
      <c r="S7" s="16"/>
      <c r="T7" s="16"/>
      <c r="U7" s="16"/>
      <c r="V7" s="16"/>
      <c r="W7" s="16"/>
      <c r="X7" s="16"/>
      <c r="Y7" s="16"/>
    </row>
    <row r="8" spans="2:25">
      <c r="B8" s="49" t="str">
        <f t="shared" si="0"/>
        <v/>
      </c>
      <c r="C8" s="338"/>
      <c r="D8" s="18"/>
      <c r="E8" s="34"/>
      <c r="F8" s="19"/>
      <c r="G8" s="20"/>
      <c r="H8" s="21"/>
      <c r="I8" s="21"/>
      <c r="J8" s="21"/>
      <c r="K8" s="465"/>
      <c r="L8" s="164" t="str">
        <f t="shared" si="1"/>
        <v xml:space="preserve"> </v>
      </c>
      <c r="M8" s="465" t="str">
        <f>IF(ISBLANK(D8)," ",(((H8-J8)+I8)*0.225))</f>
        <v xml:space="preserve"> </v>
      </c>
      <c r="N8" s="465"/>
      <c r="O8" s="22"/>
      <c r="P8" s="50" t="str">
        <f>IFERROR((L8+(L8*O8))/M8," ")</f>
        <v xml:space="preserve"> </v>
      </c>
      <c r="R8" s="16"/>
      <c r="S8" s="16"/>
      <c r="T8" s="16"/>
      <c r="U8" s="16"/>
      <c r="V8" s="16"/>
      <c r="W8" s="16"/>
      <c r="X8" s="16"/>
      <c r="Y8" s="16"/>
    </row>
    <row r="9" spans="2:25">
      <c r="B9" s="49" t="str">
        <f t="shared" si="0"/>
        <v/>
      </c>
      <c r="C9" s="338"/>
      <c r="D9" s="18"/>
      <c r="E9" s="34"/>
      <c r="F9" s="19"/>
      <c r="G9" s="20"/>
      <c r="H9" s="21"/>
      <c r="I9" s="21"/>
      <c r="J9" s="21"/>
      <c r="K9" s="465"/>
      <c r="L9" s="164" t="str">
        <f t="shared" si="1"/>
        <v xml:space="preserve"> </v>
      </c>
      <c r="M9" s="465" t="str">
        <f>IF(ISBLANK(D9)," ",(((H9-J9)+I9)*0.225))</f>
        <v xml:space="preserve"> </v>
      </c>
      <c r="N9" s="465"/>
      <c r="O9" s="22"/>
      <c r="P9" s="50" t="str">
        <f>IFERROR((L9+(L9*O9))/M9," ")</f>
        <v xml:space="preserve"> </v>
      </c>
      <c r="R9" s="16"/>
      <c r="S9" s="16"/>
      <c r="T9" s="16"/>
      <c r="U9" s="16"/>
      <c r="V9" s="16"/>
      <c r="W9" s="16"/>
      <c r="X9" s="16"/>
      <c r="Y9" s="16"/>
    </row>
    <row r="10" spans="2:25">
      <c r="B10" s="49" t="str">
        <f t="shared" si="0"/>
        <v/>
      </c>
      <c r="C10" s="338"/>
      <c r="D10" s="18"/>
      <c r="E10" s="34"/>
      <c r="F10" s="19"/>
      <c r="G10" s="20"/>
      <c r="H10" s="21"/>
      <c r="I10" s="21"/>
      <c r="J10" s="21"/>
      <c r="K10" s="465"/>
      <c r="L10" s="164" t="str">
        <f t="shared" si="1"/>
        <v xml:space="preserve"> </v>
      </c>
      <c r="M10" s="465" t="str">
        <f>IF(ISBLANK(D10)," ",(((H10-J10)+I10)*0.225))</f>
        <v xml:space="preserve"> </v>
      </c>
      <c r="N10" s="465"/>
      <c r="O10" s="22"/>
      <c r="P10" s="50" t="str">
        <f>IFERROR((L10+(L10*O10))/M10," ")</f>
        <v xml:space="preserve"> </v>
      </c>
      <c r="R10" s="16"/>
      <c r="S10" s="16"/>
      <c r="T10" s="16"/>
      <c r="U10" s="16"/>
      <c r="V10" s="16"/>
      <c r="W10" s="16"/>
      <c r="X10" s="16"/>
      <c r="Y10" s="16"/>
    </row>
    <row r="11" spans="2:25">
      <c r="B11" s="49" t="str">
        <f t="shared" si="0"/>
        <v/>
      </c>
      <c r="C11" s="338"/>
      <c r="D11" s="18"/>
      <c r="E11" s="34"/>
      <c r="F11" s="19"/>
      <c r="G11" s="20"/>
      <c r="H11" s="21"/>
      <c r="I11" s="21"/>
      <c r="J11" s="21"/>
      <c r="K11" s="465"/>
      <c r="L11" s="164" t="str">
        <f t="shared" si="1"/>
        <v xml:space="preserve"> </v>
      </c>
      <c r="M11" s="465" t="str">
        <f>IF(ISBLANK(D11)," ",(((H11-J11)+I11)*0.225))</f>
        <v xml:space="preserve"> </v>
      </c>
      <c r="N11" s="465"/>
      <c r="O11" s="22"/>
      <c r="P11" s="50" t="str">
        <f>IFERROR((L11+(L11*O11))/M11," ")</f>
        <v xml:space="preserve"> </v>
      </c>
      <c r="R11" s="16"/>
      <c r="S11" s="16"/>
      <c r="T11" s="16"/>
      <c r="U11" s="16"/>
      <c r="V11" s="16"/>
      <c r="W11" s="16"/>
      <c r="X11" s="16"/>
      <c r="Y11" s="16"/>
    </row>
    <row r="12" spans="2:25">
      <c r="B12" s="49" t="str">
        <f t="shared" si="0"/>
        <v/>
      </c>
      <c r="C12" s="338"/>
      <c r="D12" s="18"/>
      <c r="E12" s="34"/>
      <c r="F12" s="19"/>
      <c r="G12" s="20"/>
      <c r="H12" s="21"/>
      <c r="I12" s="21"/>
      <c r="J12" s="21"/>
      <c r="K12" s="465"/>
      <c r="L12" s="164" t="str">
        <f t="shared" si="1"/>
        <v xml:space="preserve"> </v>
      </c>
      <c r="M12" s="465" t="str">
        <f>IF(ISBLANK(D12)," ",(((H12-J12)+I12)*0.225))</f>
        <v xml:space="preserve"> </v>
      </c>
      <c r="N12" s="465"/>
      <c r="O12" s="22"/>
      <c r="P12" s="50" t="str">
        <f>IFERROR((L12+(L12*O12))/M12," ")</f>
        <v xml:space="preserve"> </v>
      </c>
      <c r="R12" s="16"/>
      <c r="S12" s="16"/>
      <c r="T12" s="16"/>
      <c r="U12" s="16"/>
      <c r="V12" s="16"/>
      <c r="W12" s="16"/>
      <c r="X12" s="16"/>
      <c r="Y12" s="16"/>
    </row>
    <row r="13" spans="2:25">
      <c r="B13" s="49" t="str">
        <f t="shared" si="0"/>
        <v/>
      </c>
      <c r="C13" s="338"/>
      <c r="D13" s="18"/>
      <c r="E13" s="34"/>
      <c r="F13" s="19"/>
      <c r="G13" s="20"/>
      <c r="H13" s="21"/>
      <c r="I13" s="21"/>
      <c r="J13" s="21"/>
      <c r="K13" s="465"/>
      <c r="L13" s="164" t="str">
        <f t="shared" si="1"/>
        <v xml:space="preserve"> </v>
      </c>
      <c r="M13" s="465" t="str">
        <f>IF(ISBLANK(D13)," ",(((H13-J13)+I13)*0.225))</f>
        <v xml:space="preserve"> </v>
      </c>
      <c r="N13" s="465"/>
      <c r="O13" s="22"/>
      <c r="P13" s="50" t="str">
        <f>IFERROR((L13+(L13*O13))/M13," ")</f>
        <v xml:space="preserve"> </v>
      </c>
      <c r="R13" s="16"/>
      <c r="S13" s="16"/>
      <c r="T13" s="16"/>
      <c r="U13" s="16"/>
      <c r="V13" s="16"/>
      <c r="W13" s="16"/>
      <c r="X13" s="16"/>
      <c r="Y13" s="16"/>
    </row>
    <row r="14" spans="2:25">
      <c r="B14" s="49" t="str">
        <f t="shared" si="0"/>
        <v/>
      </c>
      <c r="C14" s="338"/>
      <c r="D14" s="18"/>
      <c r="E14" s="34"/>
      <c r="F14" s="19"/>
      <c r="G14" s="20"/>
      <c r="H14" s="21"/>
      <c r="I14" s="21"/>
      <c r="J14" s="21"/>
      <c r="K14" s="465"/>
      <c r="L14" s="164" t="str">
        <f t="shared" si="1"/>
        <v xml:space="preserve"> </v>
      </c>
      <c r="M14" s="465" t="str">
        <f>IF(ISBLANK(D14)," ",(((H14-J14)+I14)*0.225))</f>
        <v xml:space="preserve"> </v>
      </c>
      <c r="N14" s="465"/>
      <c r="O14" s="22"/>
      <c r="P14" s="50" t="str">
        <f>IFERROR((L14+(L14*O14))/M14," ")</f>
        <v xml:space="preserve"> </v>
      </c>
      <c r="R14" s="16"/>
      <c r="S14" s="16"/>
      <c r="T14" s="16"/>
      <c r="U14" s="16"/>
      <c r="V14" s="16"/>
      <c r="W14" s="16"/>
      <c r="X14" s="16"/>
      <c r="Y14" s="16"/>
    </row>
    <row r="15" spans="2:25">
      <c r="B15" s="49" t="str">
        <f t="shared" si="0"/>
        <v/>
      </c>
      <c r="C15" s="338"/>
      <c r="D15" s="18"/>
      <c r="E15" s="34"/>
      <c r="F15" s="19"/>
      <c r="G15" s="20"/>
      <c r="H15" s="21"/>
      <c r="I15" s="21"/>
      <c r="J15" s="21"/>
      <c r="K15" s="465"/>
      <c r="L15" s="164" t="str">
        <f t="shared" si="1"/>
        <v xml:space="preserve"> </v>
      </c>
      <c r="M15" s="465" t="str">
        <f>IF(ISBLANK(D15)," ",(((H15-J15)+I15)*0.225))</f>
        <v xml:space="preserve"> </v>
      </c>
      <c r="N15" s="465"/>
      <c r="O15" s="22"/>
      <c r="P15" s="50" t="str">
        <f>IFERROR((L15+(L15*O15))/M15," ")</f>
        <v xml:space="preserve"> </v>
      </c>
      <c r="R15" s="16"/>
      <c r="S15" s="16"/>
      <c r="T15" s="16"/>
      <c r="U15" s="16"/>
      <c r="V15" s="16"/>
      <c r="W15" s="16"/>
      <c r="X15" s="16"/>
      <c r="Y15" s="16"/>
    </row>
    <row r="16" spans="2:25">
      <c r="B16" s="49" t="str">
        <f t="shared" si="0"/>
        <v/>
      </c>
      <c r="C16" s="338"/>
      <c r="D16" s="18"/>
      <c r="E16" s="34"/>
      <c r="F16" s="19"/>
      <c r="G16" s="20"/>
      <c r="H16" s="21"/>
      <c r="I16" s="21"/>
      <c r="J16" s="21"/>
      <c r="K16" s="465"/>
      <c r="L16" s="164" t="str">
        <f t="shared" si="1"/>
        <v xml:space="preserve"> </v>
      </c>
      <c r="M16" s="465" t="str">
        <f>IF(ISBLANK(D16)," ",(((H16-J16)+I16)*0.225))</f>
        <v xml:space="preserve"> </v>
      </c>
      <c r="N16" s="465"/>
      <c r="O16" s="358"/>
      <c r="P16" s="50" t="str">
        <f>IFERROR((L16+(L16*O16))/M16," ")</f>
        <v xml:space="preserve"> </v>
      </c>
      <c r="R16" s="16"/>
      <c r="S16" s="16"/>
      <c r="T16" s="16"/>
      <c r="U16" s="16"/>
      <c r="V16" s="16"/>
      <c r="W16" s="16"/>
      <c r="X16" s="16"/>
      <c r="Y16" s="16"/>
    </row>
    <row r="17" spans="2:25">
      <c r="B17" s="49" t="str">
        <f t="shared" si="0"/>
        <v/>
      </c>
      <c r="C17" s="338"/>
      <c r="D17" s="18"/>
      <c r="E17" s="34"/>
      <c r="F17" s="19"/>
      <c r="G17" s="20"/>
      <c r="H17" s="21"/>
      <c r="I17" s="21"/>
      <c r="J17" s="21"/>
      <c r="K17" s="465"/>
      <c r="L17" s="164" t="str">
        <f t="shared" si="1"/>
        <v xml:space="preserve"> </v>
      </c>
      <c r="M17" s="465" t="str">
        <f>IF(ISBLANK(D17)," ",(((H17-J17)+I17)*0.225))</f>
        <v xml:space="preserve"> </v>
      </c>
      <c r="N17" s="465"/>
      <c r="O17" s="22"/>
      <c r="P17" s="50" t="str">
        <f>IFERROR((L17+(L17*O17))/M17," ")</f>
        <v xml:space="preserve"> </v>
      </c>
      <c r="R17" s="16"/>
      <c r="S17" s="16"/>
      <c r="T17" s="16"/>
      <c r="U17" s="16"/>
      <c r="V17" s="16"/>
      <c r="W17" s="16"/>
      <c r="X17" s="16"/>
      <c r="Y17" s="16"/>
    </row>
    <row r="18" spans="2:25">
      <c r="B18" s="49" t="str">
        <f t="shared" si="0"/>
        <v/>
      </c>
      <c r="C18" s="338"/>
      <c r="D18" s="18"/>
      <c r="E18" s="34"/>
      <c r="F18" s="19"/>
      <c r="G18" s="20"/>
      <c r="H18" s="21"/>
      <c r="I18" s="21"/>
      <c r="J18" s="21"/>
      <c r="K18" s="465"/>
      <c r="L18" s="164" t="str">
        <f t="shared" si="1"/>
        <v xml:space="preserve"> </v>
      </c>
      <c r="M18" s="465" t="str">
        <f>IF(ISBLANK(D18)," ",(((H18-J18)+I18)*0.225))</f>
        <v xml:space="preserve"> </v>
      </c>
      <c r="N18" s="465"/>
      <c r="O18" s="22"/>
      <c r="P18" s="50" t="str">
        <f>IFERROR((L18+(L18*O18))/M18," ")</f>
        <v xml:space="preserve"> </v>
      </c>
      <c r="R18" s="16"/>
      <c r="S18" s="16"/>
      <c r="T18" s="16"/>
      <c r="U18" s="16"/>
      <c r="V18" s="16"/>
      <c r="W18" s="16"/>
      <c r="X18" s="16"/>
      <c r="Y18" s="16"/>
    </row>
    <row r="19" spans="2:25">
      <c r="B19" s="49" t="str">
        <f t="shared" si="0"/>
        <v/>
      </c>
      <c r="C19" s="338"/>
      <c r="D19" s="18"/>
      <c r="E19" s="34"/>
      <c r="F19" s="19"/>
      <c r="G19" s="20"/>
      <c r="H19" s="21"/>
      <c r="I19" s="21"/>
      <c r="J19" s="21"/>
      <c r="K19" s="465"/>
      <c r="L19" s="164" t="str">
        <f t="shared" si="1"/>
        <v xml:space="preserve"> </v>
      </c>
      <c r="M19" s="465" t="str">
        <f>IF(ISBLANK(D19)," ",(((H19-J19)+I19)*0.225))</f>
        <v xml:space="preserve"> </v>
      </c>
      <c r="N19" s="465"/>
      <c r="O19" s="22"/>
      <c r="P19" s="50" t="str">
        <f>IFERROR((L19+(L19*O19))/M19," ")</f>
        <v xml:space="preserve"> </v>
      </c>
      <c r="R19" s="16"/>
      <c r="S19" s="16"/>
      <c r="T19" s="16"/>
      <c r="U19" s="16"/>
      <c r="V19" s="16"/>
      <c r="W19" s="16"/>
      <c r="X19" s="16"/>
      <c r="Y19" s="16"/>
    </row>
    <row r="20" spans="2:25">
      <c r="B20" s="49" t="str">
        <f t="shared" si="0"/>
        <v/>
      </c>
      <c r="C20" s="338"/>
      <c r="D20" s="18"/>
      <c r="E20" s="34"/>
      <c r="F20" s="19"/>
      <c r="G20" s="20"/>
      <c r="H20" s="21"/>
      <c r="I20" s="21"/>
      <c r="J20" s="21"/>
      <c r="K20" s="465"/>
      <c r="L20" s="164" t="str">
        <f t="shared" si="1"/>
        <v xml:space="preserve"> </v>
      </c>
      <c r="M20" s="465" t="str">
        <f>IF(ISBLANK(D20)," ",(((H20-J20)+I20)*0.225))</f>
        <v xml:space="preserve"> </v>
      </c>
      <c r="N20" s="465"/>
      <c r="O20" s="22"/>
      <c r="P20" s="50" t="str">
        <f>IFERROR((L20+(L20*O20))/M20," ")</f>
        <v xml:space="preserve"> </v>
      </c>
      <c r="R20" s="16"/>
      <c r="S20" s="16"/>
      <c r="T20" s="16"/>
      <c r="U20" s="16"/>
      <c r="V20" s="16"/>
      <c r="W20" s="16"/>
      <c r="X20" s="16"/>
      <c r="Y20" s="16"/>
    </row>
    <row r="21" spans="2:25">
      <c r="B21" s="49" t="str">
        <f t="shared" si="0"/>
        <v/>
      </c>
      <c r="C21" s="338"/>
      <c r="D21" s="18"/>
      <c r="E21" s="34"/>
      <c r="F21" s="19"/>
      <c r="G21" s="20"/>
      <c r="H21" s="21"/>
      <c r="I21" s="21"/>
      <c r="J21" s="21"/>
      <c r="K21" s="465"/>
      <c r="L21" s="164" t="str">
        <f t="shared" si="1"/>
        <v xml:space="preserve"> </v>
      </c>
      <c r="M21" s="465" t="str">
        <f>IF(ISBLANK(D21)," ",(((H21-J21)+I21)*0.225))</f>
        <v xml:space="preserve"> </v>
      </c>
      <c r="N21" s="465"/>
      <c r="O21" s="22"/>
      <c r="P21" s="50" t="str">
        <f>IFERROR((L21+(L21*O21))/M21," ")</f>
        <v xml:space="preserve"> </v>
      </c>
      <c r="R21" s="16"/>
      <c r="S21" s="16"/>
      <c r="T21" s="16"/>
      <c r="U21" s="16"/>
      <c r="V21" s="16"/>
      <c r="W21" s="16"/>
      <c r="X21" s="16"/>
      <c r="Y21" s="16"/>
    </row>
    <row r="22" spans="2:25">
      <c r="B22" s="49" t="str">
        <f t="shared" si="0"/>
        <v/>
      </c>
      <c r="C22" s="338"/>
      <c r="D22" s="18"/>
      <c r="E22" s="34"/>
      <c r="F22" s="19"/>
      <c r="G22" s="20"/>
      <c r="H22" s="21"/>
      <c r="I22" s="21"/>
      <c r="J22" s="21"/>
      <c r="K22" s="465"/>
      <c r="L22" s="164" t="str">
        <f t="shared" si="1"/>
        <v xml:space="preserve"> </v>
      </c>
      <c r="M22" s="465" t="str">
        <f>IF(ISBLANK(D22)," ",(((H22-J22)+I22)*0.225))</f>
        <v xml:space="preserve"> </v>
      </c>
      <c r="N22" s="465"/>
      <c r="O22" s="22"/>
      <c r="P22" s="50" t="str">
        <f>IFERROR((L22+(L22*O22))/M22," ")</f>
        <v xml:space="preserve"> </v>
      </c>
      <c r="R22" s="16"/>
      <c r="S22" s="16"/>
      <c r="T22" s="16"/>
      <c r="U22" s="16"/>
      <c r="V22" s="16"/>
      <c r="W22" s="16"/>
      <c r="X22" s="16"/>
      <c r="Y22" s="16"/>
    </row>
    <row r="23" spans="2:25">
      <c r="B23" s="49" t="str">
        <f t="shared" si="0"/>
        <v/>
      </c>
      <c r="C23" s="338"/>
      <c r="D23" s="18"/>
      <c r="E23" s="34"/>
      <c r="F23" s="19"/>
      <c r="G23" s="20"/>
      <c r="H23" s="21"/>
      <c r="I23" s="21"/>
      <c r="J23" s="21"/>
      <c r="K23" s="465"/>
      <c r="L23" s="164" t="str">
        <f t="shared" si="1"/>
        <v xml:space="preserve"> </v>
      </c>
      <c r="M23" s="465" t="str">
        <f>IF(ISBLANK(D23)," ",(((H23-J23)+I23)*0.225))</f>
        <v xml:space="preserve"> </v>
      </c>
      <c r="N23" s="465"/>
      <c r="O23" s="22"/>
      <c r="P23" s="50" t="str">
        <f>IFERROR((L23+(L23*O23))/M23," ")</f>
        <v xml:space="preserve"> </v>
      </c>
      <c r="R23" s="16"/>
      <c r="S23" s="16"/>
      <c r="T23" s="16"/>
      <c r="U23" s="16"/>
      <c r="V23" s="16"/>
      <c r="W23" s="16"/>
      <c r="X23" s="16"/>
      <c r="Y23" s="16"/>
    </row>
    <row r="24" spans="2:25">
      <c r="B24" s="49" t="str">
        <f t="shared" si="0"/>
        <v/>
      </c>
      <c r="C24" s="338"/>
      <c r="D24" s="18"/>
      <c r="E24" s="34"/>
      <c r="F24" s="19"/>
      <c r="G24" s="20"/>
      <c r="H24" s="21"/>
      <c r="I24" s="21"/>
      <c r="J24" s="21"/>
      <c r="K24" s="465"/>
      <c r="L24" s="164" t="str">
        <f t="shared" si="1"/>
        <v xml:space="preserve"> </v>
      </c>
      <c r="M24" s="465" t="str">
        <f>IF(ISBLANK(D24)," ",(((H24-J24)+I24)*0.225))</f>
        <v xml:space="preserve"> </v>
      </c>
      <c r="N24" s="465"/>
      <c r="O24" s="22"/>
      <c r="P24" s="50" t="str">
        <f>IFERROR((L24+(L24*O24))/M24," ")</f>
        <v xml:space="preserve"> </v>
      </c>
      <c r="R24" s="16"/>
      <c r="S24" s="16"/>
      <c r="T24" s="16"/>
      <c r="U24" s="16"/>
      <c r="V24" s="16"/>
      <c r="W24" s="16"/>
      <c r="X24" s="16"/>
      <c r="Y24" s="16"/>
    </row>
    <row r="25" spans="2:25">
      <c r="B25" s="49" t="str">
        <f t="shared" si="0"/>
        <v/>
      </c>
      <c r="C25" s="338"/>
      <c r="D25" s="18"/>
      <c r="E25" s="34"/>
      <c r="F25" s="19"/>
      <c r="G25" s="20"/>
      <c r="H25" s="21"/>
      <c r="I25" s="21"/>
      <c r="J25" s="21"/>
      <c r="K25" s="465"/>
      <c r="L25" s="164" t="str">
        <f t="shared" si="1"/>
        <v xml:space="preserve"> </v>
      </c>
      <c r="M25" s="465" t="str">
        <f>IF(ISBLANK(D25)," ",(((H25-J25)+I25)*0.225))</f>
        <v xml:space="preserve"> </v>
      </c>
      <c r="N25" s="465"/>
      <c r="O25" s="22"/>
      <c r="P25" s="50" t="str">
        <f>IFERROR((L25+(L25*O25))/M25," ")</f>
        <v xml:space="preserve"> </v>
      </c>
      <c r="R25" s="16"/>
      <c r="S25" s="16"/>
      <c r="T25" s="16"/>
      <c r="U25" s="16"/>
      <c r="V25" s="16"/>
      <c r="W25" s="16"/>
      <c r="X25" s="16"/>
      <c r="Y25" s="16"/>
    </row>
    <row r="26" spans="2:25">
      <c r="B26" s="49" t="str">
        <f t="shared" si="0"/>
        <v/>
      </c>
      <c r="C26" s="338"/>
      <c r="D26" s="18"/>
      <c r="E26" s="34"/>
      <c r="F26" s="19"/>
      <c r="G26" s="20"/>
      <c r="H26" s="21"/>
      <c r="I26" s="21"/>
      <c r="J26" s="21"/>
      <c r="K26" s="465"/>
      <c r="L26" s="164" t="str">
        <f t="shared" si="1"/>
        <v xml:space="preserve"> </v>
      </c>
      <c r="M26" s="465" t="str">
        <f>IF(ISBLANK(D26)," ",(((H26-J26)+I26)*0.225))</f>
        <v xml:space="preserve"> </v>
      </c>
      <c r="N26" s="465"/>
      <c r="O26" s="22"/>
      <c r="P26" s="50" t="str">
        <f>IFERROR((L26+(L26*O26))/M26," ")</f>
        <v xml:space="preserve"> </v>
      </c>
      <c r="R26" s="16"/>
      <c r="S26" s="16"/>
      <c r="T26" s="16"/>
      <c r="U26" s="16"/>
      <c r="V26" s="16"/>
      <c r="W26" s="16"/>
      <c r="X26" s="16"/>
      <c r="Y26" s="16"/>
    </row>
    <row r="27" spans="2:25">
      <c r="B27" s="49" t="str">
        <f t="shared" si="0"/>
        <v/>
      </c>
      <c r="C27" s="338"/>
      <c r="D27" s="18"/>
      <c r="E27" s="34"/>
      <c r="F27" s="19"/>
      <c r="G27" s="20"/>
      <c r="H27" s="21"/>
      <c r="I27" s="21"/>
      <c r="J27" s="21"/>
      <c r="K27" s="465"/>
      <c r="L27" s="164" t="str">
        <f t="shared" si="1"/>
        <v xml:space="preserve"> </v>
      </c>
      <c r="M27" s="465" t="str">
        <f>IF(ISBLANK(D27)," ",(((H27-J27)+I27)*0.225))</f>
        <v xml:space="preserve"> </v>
      </c>
      <c r="N27" s="465"/>
      <c r="O27" s="22"/>
      <c r="P27" s="50" t="str">
        <f>IFERROR((L27+(L27*O27))/M27," ")</f>
        <v xml:space="preserve"> </v>
      </c>
      <c r="R27" s="16"/>
      <c r="S27" s="16"/>
      <c r="T27" s="16"/>
      <c r="U27" s="16"/>
      <c r="V27" s="16"/>
      <c r="W27" s="16"/>
      <c r="X27" s="16"/>
      <c r="Y27" s="16"/>
    </row>
    <row r="28" spans="2:25">
      <c r="B28" s="49" t="str">
        <f t="shared" si="0"/>
        <v/>
      </c>
      <c r="C28" s="338"/>
      <c r="D28" s="18"/>
      <c r="E28" s="34"/>
      <c r="F28" s="19"/>
      <c r="G28" s="20"/>
      <c r="H28" s="21"/>
      <c r="I28" s="21"/>
      <c r="J28" s="21"/>
      <c r="K28" s="465"/>
      <c r="L28" s="164" t="str">
        <f t="shared" si="1"/>
        <v xml:space="preserve"> </v>
      </c>
      <c r="M28" s="465" t="str">
        <f>IF(ISBLANK(D28)," ",(((H28-J28)+I28)*0.225))</f>
        <v xml:space="preserve"> </v>
      </c>
      <c r="N28" s="465"/>
      <c r="O28" s="22"/>
      <c r="P28" s="50" t="str">
        <f>IFERROR((L28+(L28*O28))/M28," ")</f>
        <v xml:space="preserve"> </v>
      </c>
      <c r="R28" s="16"/>
      <c r="S28" s="16"/>
      <c r="T28" s="16"/>
      <c r="U28" s="16"/>
      <c r="V28" s="16"/>
      <c r="W28" s="16"/>
      <c r="X28" s="16"/>
      <c r="Y28" s="16"/>
    </row>
    <row r="29" spans="2:25">
      <c r="B29" s="49" t="str">
        <f t="shared" si="0"/>
        <v/>
      </c>
      <c r="C29" s="338"/>
      <c r="D29" s="18"/>
      <c r="E29" s="34"/>
      <c r="F29" s="19"/>
      <c r="G29" s="20"/>
      <c r="H29" s="21"/>
      <c r="I29" s="21"/>
      <c r="J29" s="21"/>
      <c r="K29" s="465"/>
      <c r="L29" s="164" t="str">
        <f t="shared" si="1"/>
        <v xml:space="preserve"> </v>
      </c>
      <c r="M29" s="465" t="str">
        <f>IF(ISBLANK(D29)," ",(((H29-J29)+I29)*0.225))</f>
        <v xml:space="preserve"> </v>
      </c>
      <c r="N29" s="465"/>
      <c r="O29" s="22"/>
      <c r="P29" s="50" t="str">
        <f>IFERROR((L29+(L29*O29))/M29," ")</f>
        <v xml:space="preserve"> </v>
      </c>
      <c r="R29" s="16"/>
      <c r="S29" s="16"/>
      <c r="T29" s="16"/>
      <c r="U29" s="16"/>
      <c r="V29" s="16"/>
      <c r="W29" s="16"/>
      <c r="X29" s="16"/>
      <c r="Y29" s="16"/>
    </row>
    <row r="30" spans="2:25">
      <c r="B30" s="49" t="str">
        <f t="shared" si="0"/>
        <v/>
      </c>
      <c r="C30" s="338"/>
      <c r="D30" s="18"/>
      <c r="E30" s="34"/>
      <c r="F30" s="19"/>
      <c r="G30" s="20"/>
      <c r="H30" s="21"/>
      <c r="I30" s="21"/>
      <c r="J30" s="21"/>
      <c r="K30" s="465"/>
      <c r="L30" s="164" t="str">
        <f t="shared" si="1"/>
        <v xml:space="preserve"> </v>
      </c>
      <c r="M30" s="465" t="str">
        <f>IF(ISBLANK(D30)," ",(((H30-J30)+I30)*0.225))</f>
        <v xml:space="preserve"> </v>
      </c>
      <c r="N30" s="465"/>
      <c r="O30" s="22"/>
      <c r="P30" s="50" t="str">
        <f>IFERROR((L30+(L30*O30))/M30," ")</f>
        <v xml:space="preserve"> </v>
      </c>
      <c r="R30" s="16"/>
      <c r="S30" s="16"/>
      <c r="T30" s="16"/>
      <c r="U30" s="16"/>
      <c r="V30" s="16"/>
      <c r="W30" s="16"/>
      <c r="X30" s="16"/>
      <c r="Y30" s="16"/>
    </row>
    <row r="31" spans="2:25">
      <c r="B31" s="49" t="str">
        <f t="shared" si="0"/>
        <v/>
      </c>
      <c r="C31" s="338"/>
      <c r="D31" s="18"/>
      <c r="E31" s="34"/>
      <c r="F31" s="19"/>
      <c r="G31" s="20"/>
      <c r="H31" s="21"/>
      <c r="I31" s="21"/>
      <c r="J31" s="21"/>
      <c r="K31" s="465"/>
      <c r="L31" s="164" t="str">
        <f t="shared" si="1"/>
        <v xml:space="preserve"> </v>
      </c>
      <c r="M31" s="465" t="str">
        <f>IF(ISBLANK(D31)," ",(((H31-J31)+I31)*0.225))</f>
        <v xml:space="preserve"> </v>
      </c>
      <c r="N31" s="465"/>
      <c r="O31" s="22"/>
      <c r="P31" s="50" t="str">
        <f>IFERROR((L31+(L31*O31))/M31," ")</f>
        <v xml:space="preserve"> </v>
      </c>
      <c r="R31" s="16"/>
      <c r="S31" s="16"/>
      <c r="T31" s="16"/>
      <c r="U31" s="16"/>
      <c r="V31" s="16"/>
      <c r="W31" s="16"/>
      <c r="X31" s="16"/>
      <c r="Y31" s="16"/>
    </row>
    <row r="32" spans="2:25">
      <c r="B32" s="49" t="str">
        <f t="shared" si="0"/>
        <v/>
      </c>
      <c r="C32" s="338"/>
      <c r="D32" s="18"/>
      <c r="E32" s="33"/>
      <c r="F32" s="19"/>
      <c r="G32" s="20"/>
      <c r="H32" s="21"/>
      <c r="I32" s="21"/>
      <c r="J32" s="21"/>
      <c r="K32" s="465"/>
      <c r="L32" s="164" t="str">
        <f t="shared" si="1"/>
        <v xml:space="preserve"> </v>
      </c>
      <c r="M32" s="465" t="str">
        <f>IF(ISBLANK(D32)," ",(((H32-J32)+I32)*0.225))</f>
        <v xml:space="preserve"> </v>
      </c>
      <c r="N32" s="465"/>
      <c r="O32" s="22"/>
      <c r="P32" s="50" t="str">
        <f>IFERROR((L32+(L32*O32))/M32," ")</f>
        <v xml:space="preserve"> </v>
      </c>
      <c r="R32" s="16"/>
      <c r="S32" s="16"/>
      <c r="T32" s="16"/>
      <c r="U32" s="16"/>
      <c r="V32" s="16"/>
      <c r="W32" s="16"/>
      <c r="X32" s="16"/>
      <c r="Y32" s="16"/>
    </row>
    <row r="33" spans="2:25">
      <c r="B33" s="49" t="str">
        <f t="shared" si="0"/>
        <v/>
      </c>
      <c r="C33" s="338"/>
      <c r="D33" s="18"/>
      <c r="E33" s="33"/>
      <c r="F33" s="19"/>
      <c r="G33" s="20"/>
      <c r="H33" s="21"/>
      <c r="I33" s="21"/>
      <c r="J33" s="21"/>
      <c r="K33" s="465"/>
      <c r="L33" s="164" t="str">
        <f t="shared" si="1"/>
        <v xml:space="preserve"> </v>
      </c>
      <c r="M33" s="465" t="str">
        <f>IF(ISBLANK(D33)," ",(((H33-J33)+I33)*0.225))</f>
        <v xml:space="preserve"> </v>
      </c>
      <c r="N33" s="465"/>
      <c r="O33" s="22"/>
      <c r="P33" s="50" t="str">
        <f>IFERROR((L33+(L33*O33))/M33," ")</f>
        <v xml:space="preserve"> </v>
      </c>
      <c r="R33" s="16"/>
      <c r="S33" s="16"/>
      <c r="T33" s="16"/>
      <c r="U33" s="16"/>
      <c r="V33" s="16"/>
      <c r="W33" s="16"/>
      <c r="X33" s="16"/>
      <c r="Y33" s="16"/>
    </row>
    <row r="34" spans="2:25">
      <c r="B34" s="49" t="str">
        <f t="shared" si="0"/>
        <v/>
      </c>
      <c r="C34" s="338"/>
      <c r="D34" s="18"/>
      <c r="E34" s="33"/>
      <c r="F34" s="19"/>
      <c r="G34" s="20"/>
      <c r="H34" s="21"/>
      <c r="I34" s="21"/>
      <c r="J34" s="21"/>
      <c r="K34" s="465"/>
      <c r="L34" s="164" t="str">
        <f t="shared" si="1"/>
        <v xml:space="preserve"> </v>
      </c>
      <c r="M34" s="465" t="str">
        <f>IF(ISBLANK(D34)," ",(((H34-J34)+I34)*0.225))</f>
        <v xml:space="preserve"> </v>
      </c>
      <c r="N34" s="465"/>
      <c r="O34" s="22"/>
      <c r="P34" s="50" t="str">
        <f>IFERROR((L34+(L34*O34))/M34," ")</f>
        <v xml:space="preserve"> </v>
      </c>
      <c r="R34" s="16"/>
      <c r="S34" s="16"/>
      <c r="T34" s="16"/>
      <c r="U34" s="16"/>
      <c r="V34" s="16"/>
      <c r="W34" s="16"/>
      <c r="X34" s="16"/>
      <c r="Y34" s="16"/>
    </row>
    <row r="35" spans="2:25">
      <c r="B35" s="49" t="str">
        <f t="shared" si="0"/>
        <v/>
      </c>
      <c r="C35" s="338"/>
      <c r="D35" s="18"/>
      <c r="E35" s="33"/>
      <c r="F35" s="19"/>
      <c r="G35" s="20"/>
      <c r="H35" s="21"/>
      <c r="I35" s="21"/>
      <c r="J35" s="21"/>
      <c r="K35" s="465"/>
      <c r="L35" s="164" t="str">
        <f t="shared" si="1"/>
        <v xml:space="preserve"> </v>
      </c>
      <c r="M35" s="465" t="str">
        <f>IF(ISBLANK(D35)," ",(((H35-J35)+I35)*0.225))</f>
        <v xml:space="preserve"> </v>
      </c>
      <c r="N35" s="465"/>
      <c r="O35" s="22"/>
      <c r="P35" s="50" t="str">
        <f>IFERROR((L35+(L35*O35))/M35," ")</f>
        <v xml:space="preserve"> </v>
      </c>
      <c r="R35" s="16"/>
      <c r="S35" s="16"/>
      <c r="T35" s="16"/>
      <c r="U35" s="16"/>
      <c r="V35" s="16"/>
      <c r="W35" s="16"/>
      <c r="X35" s="16"/>
      <c r="Y35" s="16"/>
    </row>
    <row r="36" spans="2:25">
      <c r="B36" s="49" t="str">
        <f t="shared" si="0"/>
        <v/>
      </c>
      <c r="C36" s="338"/>
      <c r="D36" s="18"/>
      <c r="E36" s="33"/>
      <c r="F36" s="19"/>
      <c r="G36" s="20"/>
      <c r="H36" s="21"/>
      <c r="I36" s="21"/>
      <c r="J36" s="21"/>
      <c r="K36" s="465"/>
      <c r="L36" s="164" t="str">
        <f t="shared" si="1"/>
        <v xml:space="preserve"> </v>
      </c>
      <c r="M36" s="465" t="str">
        <f>IF(ISBLANK(D36)," ",(((H36-J36)+I36)*0.225))</f>
        <v xml:space="preserve"> </v>
      </c>
      <c r="N36" s="465"/>
      <c r="O36" s="22"/>
      <c r="P36" s="50" t="str">
        <f>IFERROR((L36+(L36*O36))/M36," ")</f>
        <v xml:space="preserve"> </v>
      </c>
      <c r="R36" s="16"/>
      <c r="S36" s="16"/>
      <c r="T36" s="16"/>
      <c r="U36" s="16"/>
      <c r="V36" s="16"/>
      <c r="W36" s="16"/>
      <c r="X36" s="16"/>
      <c r="Y36" s="16"/>
    </row>
    <row r="37" spans="2:25">
      <c r="B37" s="49" t="str">
        <f t="shared" si="0"/>
        <v/>
      </c>
      <c r="C37" s="338"/>
      <c r="D37" s="18"/>
      <c r="E37" s="33"/>
      <c r="F37" s="19"/>
      <c r="G37" s="20"/>
      <c r="H37" s="21"/>
      <c r="I37" s="21"/>
      <c r="J37" s="21"/>
      <c r="K37" s="465"/>
      <c r="L37" s="164" t="str">
        <f t="shared" si="1"/>
        <v xml:space="preserve"> </v>
      </c>
      <c r="M37" s="465" t="str">
        <f>IF(ISBLANK(D37)," ",(((H37-J37)+I37)*0.225))</f>
        <v xml:space="preserve"> </v>
      </c>
      <c r="N37" s="465"/>
      <c r="O37" s="22"/>
      <c r="P37" s="50" t="str">
        <f>IFERROR((L37+(L37*O37))/M37," ")</f>
        <v xml:space="preserve"> </v>
      </c>
      <c r="R37" s="16"/>
      <c r="S37" s="16"/>
      <c r="T37" s="16"/>
      <c r="U37" s="16"/>
      <c r="V37" s="16"/>
      <c r="W37" s="16"/>
      <c r="X37" s="16"/>
      <c r="Y37" s="16"/>
    </row>
    <row r="38" spans="2:25">
      <c r="B38" s="49" t="str">
        <f t="shared" si="0"/>
        <v/>
      </c>
      <c r="C38" s="338"/>
      <c r="D38" s="18"/>
      <c r="E38" s="33"/>
      <c r="F38" s="19"/>
      <c r="G38" s="20"/>
      <c r="H38" s="21"/>
      <c r="I38" s="21"/>
      <c r="J38" s="21"/>
      <c r="K38" s="465"/>
      <c r="L38" s="164" t="str">
        <f t="shared" si="1"/>
        <v xml:space="preserve"> </v>
      </c>
      <c r="M38" s="465" t="str">
        <f>IF(ISBLANK(D38)," ",(((H38-J38)+I38)*0.225))</f>
        <v xml:space="preserve"> </v>
      </c>
      <c r="N38" s="465"/>
      <c r="O38" s="22"/>
      <c r="P38" s="50" t="str">
        <f>IFERROR((L38+(L38*O38))/M38," ")</f>
        <v xml:space="preserve"> </v>
      </c>
      <c r="R38" s="16"/>
      <c r="S38" s="16"/>
      <c r="T38" s="16"/>
      <c r="U38" s="16"/>
      <c r="V38" s="16"/>
      <c r="W38" s="16"/>
      <c r="X38" s="16"/>
      <c r="Y38" s="16"/>
    </row>
    <row r="39" spans="2:25">
      <c r="B39" s="49" t="str">
        <f t="shared" si="0"/>
        <v/>
      </c>
      <c r="C39" s="338"/>
      <c r="D39" s="18"/>
      <c r="E39" s="33"/>
      <c r="F39" s="19"/>
      <c r="G39" s="20"/>
      <c r="H39" s="21"/>
      <c r="I39" s="21"/>
      <c r="J39" s="21"/>
      <c r="K39" s="465"/>
      <c r="L39" s="164" t="str">
        <f t="shared" si="1"/>
        <v xml:space="preserve"> </v>
      </c>
      <c r="M39" s="465" t="str">
        <f>IF(ISBLANK(D39)," ",(((H39-J39)+I39)*0.225))</f>
        <v xml:space="preserve"> </v>
      </c>
      <c r="N39" s="465"/>
      <c r="O39" s="22"/>
      <c r="P39" s="50" t="str">
        <f>IFERROR((L39+(L39*O39))/M39," ")</f>
        <v xml:space="preserve"> </v>
      </c>
      <c r="R39" s="16"/>
      <c r="S39" s="16"/>
      <c r="T39" s="16"/>
      <c r="U39" s="16"/>
      <c r="V39" s="16"/>
      <c r="W39" s="16"/>
      <c r="X39" s="16"/>
      <c r="Y39" s="16"/>
    </row>
    <row r="40" spans="2:25">
      <c r="B40" s="49" t="str">
        <f t="shared" si="0"/>
        <v/>
      </c>
      <c r="C40" s="338"/>
      <c r="D40" s="18"/>
      <c r="E40" s="33"/>
      <c r="F40" s="19"/>
      <c r="G40" s="20"/>
      <c r="H40" s="21"/>
      <c r="I40" s="21"/>
      <c r="J40" s="21"/>
      <c r="K40" s="465"/>
      <c r="L40" s="164" t="str">
        <f t="shared" si="1"/>
        <v xml:space="preserve"> </v>
      </c>
      <c r="M40" s="465" t="str">
        <f>IF(ISBLANK(D40)," ",(((H40-J40)+I40)*0.225))</f>
        <v xml:space="preserve"> </v>
      </c>
      <c r="N40" s="465"/>
      <c r="O40" s="22"/>
      <c r="P40" s="50" t="str">
        <f>IFERROR((L40+(L40*O40))/M40," ")</f>
        <v xml:space="preserve"> </v>
      </c>
      <c r="R40" s="16"/>
      <c r="S40" s="16"/>
      <c r="T40" s="16"/>
      <c r="U40" s="16"/>
      <c r="V40" s="16"/>
      <c r="W40" s="16"/>
      <c r="X40" s="16"/>
      <c r="Y40" s="16"/>
    </row>
    <row r="41" spans="2:25">
      <c r="B41" s="49" t="str">
        <f t="shared" ref="B41:B109" si="2">IF(C41="","",ROW()-4)</f>
        <v/>
      </c>
      <c r="C41" s="338"/>
      <c r="D41" s="18"/>
      <c r="E41" s="33"/>
      <c r="F41" s="19"/>
      <c r="G41" s="20"/>
      <c r="H41" s="21"/>
      <c r="I41" s="21"/>
      <c r="J41" s="21"/>
      <c r="K41" s="465"/>
      <c r="L41" s="164" t="str">
        <f t="shared" si="1"/>
        <v xml:space="preserve"> </v>
      </c>
      <c r="M41" s="465" t="str">
        <f>IF(ISBLANK(D41)," ",(((H41-J41)+I41)*0.225))</f>
        <v xml:space="preserve"> </v>
      </c>
      <c r="N41" s="465"/>
      <c r="O41" s="22"/>
      <c r="P41" s="50" t="str">
        <f>IFERROR((L41+(L41*O41))/M41," ")</f>
        <v xml:space="preserve"> </v>
      </c>
      <c r="R41" s="16"/>
      <c r="S41" s="16"/>
      <c r="T41" s="16"/>
      <c r="U41" s="16"/>
      <c r="V41" s="16"/>
      <c r="W41" s="16"/>
      <c r="X41" s="16"/>
      <c r="Y41" s="16"/>
    </row>
    <row r="42" spans="2:25">
      <c r="B42" s="49" t="str">
        <f t="shared" si="2"/>
        <v/>
      </c>
      <c r="C42" s="338"/>
      <c r="D42" s="18"/>
      <c r="E42" s="33"/>
      <c r="F42" s="19"/>
      <c r="G42" s="20"/>
      <c r="H42" s="21"/>
      <c r="I42" s="21"/>
      <c r="J42" s="21"/>
      <c r="K42" s="465"/>
      <c r="L42" s="164" t="str">
        <f t="shared" si="1"/>
        <v xml:space="preserve"> </v>
      </c>
      <c r="M42" s="465" t="str">
        <f>IF(ISBLANK(D42)," ",(((H42-J42)+I42)*0.225))</f>
        <v xml:space="preserve"> </v>
      </c>
      <c r="N42" s="465"/>
      <c r="O42" s="22"/>
      <c r="P42" s="50" t="str">
        <f>IFERROR((L42+(L42*O42))/M42," ")</f>
        <v xml:space="preserve"> </v>
      </c>
      <c r="R42" s="16"/>
      <c r="S42" s="16"/>
      <c r="T42" s="16"/>
      <c r="U42" s="16"/>
      <c r="V42" s="16"/>
      <c r="W42" s="16"/>
      <c r="X42" s="16"/>
      <c r="Y42" s="16"/>
    </row>
    <row r="43" spans="2:25">
      <c r="B43" s="49" t="str">
        <f t="shared" si="2"/>
        <v/>
      </c>
      <c r="C43" s="338"/>
      <c r="D43" s="18"/>
      <c r="E43" s="33"/>
      <c r="F43" s="19"/>
      <c r="G43" s="20"/>
      <c r="H43" s="21"/>
      <c r="I43" s="21"/>
      <c r="J43" s="21"/>
      <c r="K43" s="465"/>
      <c r="L43" s="164" t="str">
        <f t="shared" si="1"/>
        <v xml:space="preserve"> </v>
      </c>
      <c r="M43" s="465" t="str">
        <f>IF(ISBLANK(D43)," ",(((H43-J43)+I43)*0.225))</f>
        <v xml:space="preserve"> </v>
      </c>
      <c r="N43" s="465"/>
      <c r="O43" s="22"/>
      <c r="P43" s="50" t="str">
        <f>IFERROR((L43+(L43*O43))/M43," ")</f>
        <v xml:space="preserve"> </v>
      </c>
      <c r="R43" s="16"/>
      <c r="S43" s="16"/>
      <c r="T43" s="16"/>
      <c r="U43" s="16"/>
      <c r="V43" s="16"/>
      <c r="W43" s="16"/>
      <c r="X43" s="16"/>
      <c r="Y43" s="16"/>
    </row>
    <row r="44" spans="2:25">
      <c r="B44" s="49" t="str">
        <f t="shared" si="2"/>
        <v/>
      </c>
      <c r="C44" s="338"/>
      <c r="D44" s="18"/>
      <c r="E44" s="33"/>
      <c r="F44" s="19"/>
      <c r="G44" s="20"/>
      <c r="H44" s="21"/>
      <c r="I44" s="21"/>
      <c r="J44" s="21"/>
      <c r="K44" s="465"/>
      <c r="L44" s="164" t="str">
        <f t="shared" si="1"/>
        <v xml:space="preserve"> </v>
      </c>
      <c r="M44" s="465" t="str">
        <f>IF(ISBLANK(D44)," ",(((H44-J44)+I44)*0.225))</f>
        <v xml:space="preserve"> </v>
      </c>
      <c r="N44" s="465"/>
      <c r="O44" s="22"/>
      <c r="P44" s="50" t="str">
        <f>IFERROR((L44+(L44*O44))/M44," ")</f>
        <v xml:space="preserve"> </v>
      </c>
      <c r="R44" s="16"/>
      <c r="S44" s="16"/>
      <c r="T44" s="16"/>
      <c r="U44" s="16"/>
      <c r="V44" s="16"/>
      <c r="W44" s="16"/>
      <c r="X44" s="16"/>
      <c r="Y44" s="16"/>
    </row>
    <row r="45" spans="2:25">
      <c r="B45" s="49" t="str">
        <f t="shared" si="2"/>
        <v/>
      </c>
      <c r="C45" s="338"/>
      <c r="D45" s="18"/>
      <c r="E45" s="33"/>
      <c r="F45" s="19"/>
      <c r="G45" s="20"/>
      <c r="H45" s="21"/>
      <c r="I45" s="21"/>
      <c r="J45" s="21"/>
      <c r="K45" s="465"/>
      <c r="L45" s="164" t="str">
        <f t="shared" si="1"/>
        <v xml:space="preserve"> </v>
      </c>
      <c r="M45" s="465" t="str">
        <f>IF(ISBLANK(D45)," ",(((H45-J45)+I45)*0.225))</f>
        <v xml:space="preserve"> </v>
      </c>
      <c r="N45" s="465"/>
      <c r="O45" s="22"/>
      <c r="P45" s="50" t="str">
        <f>IFERROR((L45+(L45*O45))/M45," ")</f>
        <v xml:space="preserve"> </v>
      </c>
      <c r="R45" s="16"/>
      <c r="S45" s="16"/>
      <c r="T45" s="16"/>
      <c r="U45" s="16"/>
      <c r="V45" s="16"/>
      <c r="W45" s="16"/>
      <c r="X45" s="16"/>
      <c r="Y45" s="16"/>
    </row>
    <row r="46" spans="2:25">
      <c r="B46" s="49" t="str">
        <f t="shared" si="2"/>
        <v/>
      </c>
      <c r="C46" s="338"/>
      <c r="D46" s="18"/>
      <c r="E46" s="33"/>
      <c r="F46" s="19"/>
      <c r="G46" s="20"/>
      <c r="H46" s="21"/>
      <c r="I46" s="21"/>
      <c r="J46" s="21"/>
      <c r="K46" s="465"/>
      <c r="L46" s="164" t="str">
        <f t="shared" si="1"/>
        <v xml:space="preserve"> </v>
      </c>
      <c r="M46" s="465" t="str">
        <f>IF(ISBLANK(D46)," ",(((H46-J46)+I46)*0.225))</f>
        <v xml:space="preserve"> </v>
      </c>
      <c r="N46" s="465"/>
      <c r="O46" s="22"/>
      <c r="P46" s="50" t="str">
        <f>IFERROR((L46+(L46*O46))/M46," ")</f>
        <v xml:space="preserve"> </v>
      </c>
      <c r="R46" s="16"/>
      <c r="S46" s="16"/>
      <c r="T46" s="16"/>
      <c r="U46" s="16"/>
      <c r="V46" s="16"/>
      <c r="W46" s="16"/>
      <c r="X46" s="16"/>
      <c r="Y46" s="16"/>
    </row>
    <row r="47" spans="2:25">
      <c r="B47" s="49" t="str">
        <f t="shared" si="2"/>
        <v/>
      </c>
      <c r="C47" s="338"/>
      <c r="D47" s="18"/>
      <c r="E47" s="33"/>
      <c r="F47" s="19"/>
      <c r="G47" s="20"/>
      <c r="H47" s="21"/>
      <c r="I47" s="21"/>
      <c r="J47" s="21"/>
      <c r="K47" s="465"/>
      <c r="L47" s="164" t="str">
        <f t="shared" si="1"/>
        <v xml:space="preserve"> </v>
      </c>
      <c r="M47" s="465" t="str">
        <f>IF(ISBLANK(D47)," ",(((H47-J47)+I47)*0.225))</f>
        <v xml:space="preserve"> </v>
      </c>
      <c r="N47" s="465"/>
      <c r="O47" s="22"/>
      <c r="P47" s="50" t="str">
        <f>IFERROR((L47+(L47*O47))/M47," ")</f>
        <v xml:space="preserve"> </v>
      </c>
      <c r="R47" s="16"/>
      <c r="S47" s="16"/>
      <c r="T47" s="16"/>
      <c r="U47" s="16"/>
      <c r="V47" s="16"/>
      <c r="W47" s="16"/>
      <c r="X47" s="16"/>
      <c r="Y47" s="16"/>
    </row>
    <row r="48" spans="2:25">
      <c r="B48" s="49" t="str">
        <f t="shared" si="2"/>
        <v/>
      </c>
      <c r="C48" s="338"/>
      <c r="D48" s="18"/>
      <c r="E48" s="33"/>
      <c r="F48" s="19"/>
      <c r="G48" s="20"/>
      <c r="H48" s="21"/>
      <c r="I48" s="21"/>
      <c r="J48" s="21"/>
      <c r="K48" s="465"/>
      <c r="L48" s="164" t="str">
        <f t="shared" si="1"/>
        <v xml:space="preserve"> </v>
      </c>
      <c r="M48" s="465" t="str">
        <f>IF(ISBLANK(D48)," ",(((H48-J48)+I48)*0.225))</f>
        <v xml:space="preserve"> </v>
      </c>
      <c r="N48" s="465"/>
      <c r="O48" s="22"/>
      <c r="P48" s="50" t="str">
        <f>IFERROR((L48+(L48*O48))/M48," ")</f>
        <v xml:space="preserve"> </v>
      </c>
      <c r="R48" s="16"/>
      <c r="S48" s="16"/>
      <c r="T48" s="16"/>
      <c r="U48" s="16"/>
      <c r="V48" s="16"/>
      <c r="W48" s="16"/>
      <c r="X48" s="16"/>
      <c r="Y48" s="16"/>
    </row>
    <row r="49" spans="2:25">
      <c r="B49" s="49" t="str">
        <f t="shared" si="2"/>
        <v/>
      </c>
      <c r="C49" s="338"/>
      <c r="D49" s="18"/>
      <c r="E49" s="33"/>
      <c r="F49" s="19"/>
      <c r="G49" s="20"/>
      <c r="H49" s="21"/>
      <c r="I49" s="21"/>
      <c r="J49" s="21"/>
      <c r="K49" s="465"/>
      <c r="L49" s="164" t="str">
        <f t="shared" si="1"/>
        <v xml:space="preserve"> </v>
      </c>
      <c r="M49" s="465" t="str">
        <f>IF(ISBLANK(D49)," ",(((H49-J49)+I49)*0.225))</f>
        <v xml:space="preserve"> </v>
      </c>
      <c r="N49" s="465"/>
      <c r="O49" s="22"/>
      <c r="P49" s="50" t="str">
        <f>IFERROR((L49+(L49*O49))/M49," ")</f>
        <v xml:space="preserve"> </v>
      </c>
      <c r="R49" s="16"/>
      <c r="S49" s="16"/>
      <c r="T49" s="16"/>
      <c r="U49" s="16"/>
      <c r="V49" s="16"/>
      <c r="W49" s="16"/>
      <c r="X49" s="16"/>
      <c r="Y49" s="16"/>
    </row>
    <row r="50" spans="2:25">
      <c r="B50" s="49" t="str">
        <f t="shared" si="2"/>
        <v/>
      </c>
      <c r="C50" s="338"/>
      <c r="D50" s="18"/>
      <c r="E50" s="33"/>
      <c r="F50" s="19"/>
      <c r="G50" s="20"/>
      <c r="H50" s="21"/>
      <c r="I50" s="21"/>
      <c r="J50" s="21"/>
      <c r="K50" s="465"/>
      <c r="L50" s="164" t="str">
        <f t="shared" si="1"/>
        <v xml:space="preserve"> </v>
      </c>
      <c r="M50" s="465" t="str">
        <f>IF(ISBLANK(D50)," ",(((H50-J50)+I50)*0.225))</f>
        <v xml:space="preserve"> </v>
      </c>
      <c r="N50" s="465"/>
      <c r="O50" s="22"/>
      <c r="P50" s="50" t="str">
        <f>IFERROR((L50+(L50*O50))/M50," ")</f>
        <v xml:space="preserve"> </v>
      </c>
      <c r="R50" s="16"/>
      <c r="S50" s="16"/>
      <c r="T50" s="16"/>
      <c r="U50" s="16"/>
      <c r="V50" s="16"/>
      <c r="W50" s="16"/>
      <c r="X50" s="16"/>
      <c r="Y50" s="16"/>
    </row>
    <row r="51" spans="2:25">
      <c r="B51" s="49" t="str">
        <f t="shared" si="2"/>
        <v/>
      </c>
      <c r="C51" s="338"/>
      <c r="D51" s="18"/>
      <c r="E51" s="33"/>
      <c r="F51" s="19"/>
      <c r="G51" s="20"/>
      <c r="H51" s="21"/>
      <c r="I51" s="21"/>
      <c r="J51" s="21"/>
      <c r="K51" s="465"/>
      <c r="L51" s="164" t="str">
        <f t="shared" si="1"/>
        <v xml:space="preserve"> </v>
      </c>
      <c r="M51" s="465" t="str">
        <f>IF(ISBLANK(D51)," ",(((H51-J51)+I51)*0.225))</f>
        <v xml:space="preserve"> </v>
      </c>
      <c r="N51" s="465"/>
      <c r="O51" s="22"/>
      <c r="P51" s="50" t="str">
        <f>IFERROR((L51+(L51*O51))/M51," ")</f>
        <v xml:space="preserve"> </v>
      </c>
      <c r="R51" s="16"/>
      <c r="S51" s="16"/>
      <c r="T51" s="16"/>
      <c r="U51" s="16"/>
      <c r="V51" s="16"/>
      <c r="W51" s="16"/>
      <c r="X51" s="16"/>
      <c r="Y51" s="16"/>
    </row>
    <row r="52" spans="2:25">
      <c r="B52" s="49" t="str">
        <f t="shared" si="2"/>
        <v/>
      </c>
      <c r="C52" s="338"/>
      <c r="D52" s="18"/>
      <c r="E52" s="33"/>
      <c r="F52" s="19"/>
      <c r="G52" s="20"/>
      <c r="H52" s="21"/>
      <c r="I52" s="21"/>
      <c r="J52" s="21"/>
      <c r="K52" s="465"/>
      <c r="L52" s="164" t="str">
        <f t="shared" si="1"/>
        <v xml:space="preserve"> </v>
      </c>
      <c r="M52" s="465" t="str">
        <f>IF(ISBLANK(D52)," ",(((H52-J52)+I52)*0.225))</f>
        <v xml:space="preserve"> </v>
      </c>
      <c r="N52" s="465"/>
      <c r="O52" s="22"/>
      <c r="P52" s="50" t="str">
        <f>IFERROR((L52+(L52*O52))/M52," ")</f>
        <v xml:space="preserve"> </v>
      </c>
      <c r="R52" s="16"/>
      <c r="S52" s="16"/>
      <c r="T52" s="16"/>
      <c r="U52" s="16"/>
      <c r="V52" s="16"/>
      <c r="W52" s="16"/>
      <c r="X52" s="16"/>
      <c r="Y52" s="16"/>
    </row>
    <row r="53" spans="2:25">
      <c r="B53" s="49" t="str">
        <f t="shared" si="2"/>
        <v/>
      </c>
      <c r="C53" s="338"/>
      <c r="D53" s="18"/>
      <c r="E53" s="33"/>
      <c r="F53" s="19"/>
      <c r="G53" s="20"/>
      <c r="H53" s="21"/>
      <c r="I53" s="21"/>
      <c r="J53" s="21"/>
      <c r="K53" s="465"/>
      <c r="L53" s="164" t="str">
        <f t="shared" si="1"/>
        <v xml:space="preserve"> </v>
      </c>
      <c r="M53" s="465" t="str">
        <f>IF(ISBLANK(D53)," ",(((H53-J53)+I53)*0.225))</f>
        <v xml:space="preserve"> </v>
      </c>
      <c r="N53" s="465"/>
      <c r="O53" s="22"/>
      <c r="P53" s="50" t="str">
        <f>IFERROR((L53+(L53*O53))/M53," ")</f>
        <v xml:space="preserve"> </v>
      </c>
      <c r="R53" s="16"/>
      <c r="S53" s="16"/>
      <c r="T53" s="16"/>
      <c r="U53" s="16"/>
      <c r="V53" s="16"/>
      <c r="W53" s="16"/>
      <c r="X53" s="16"/>
      <c r="Y53" s="16"/>
    </row>
    <row r="54" spans="2:25">
      <c r="B54" s="49" t="str">
        <f t="shared" si="2"/>
        <v/>
      </c>
      <c r="C54" s="338"/>
      <c r="D54" s="18"/>
      <c r="E54" s="33"/>
      <c r="F54" s="19"/>
      <c r="G54" s="20"/>
      <c r="H54" s="21"/>
      <c r="I54" s="21"/>
      <c r="J54" s="21"/>
      <c r="K54" s="465"/>
      <c r="L54" s="164" t="str">
        <f t="shared" si="1"/>
        <v xml:space="preserve"> </v>
      </c>
      <c r="M54" s="465" t="str">
        <f>IF(ISBLANK(D54)," ",(((H54-J54)+I54)*0.225))</f>
        <v xml:space="preserve"> </v>
      </c>
      <c r="N54" s="465"/>
      <c r="O54" s="22"/>
      <c r="P54" s="50" t="str">
        <f>IFERROR((L54+(L54*O54))/M54," ")</f>
        <v xml:space="preserve"> </v>
      </c>
      <c r="R54" s="16"/>
      <c r="S54" s="16"/>
      <c r="T54" s="16"/>
      <c r="U54" s="16"/>
      <c r="V54" s="16"/>
      <c r="W54" s="16"/>
      <c r="X54" s="16"/>
      <c r="Y54" s="16"/>
    </row>
    <row r="55" spans="2:25">
      <c r="B55" s="49" t="str">
        <f t="shared" si="2"/>
        <v/>
      </c>
      <c r="C55" s="338"/>
      <c r="D55" s="18"/>
      <c r="E55" s="33"/>
      <c r="F55" s="19"/>
      <c r="G55" s="20"/>
      <c r="H55" s="21"/>
      <c r="I55" s="21"/>
      <c r="J55" s="21"/>
      <c r="K55" s="465"/>
      <c r="L55" s="164" t="str">
        <f t="shared" si="1"/>
        <v xml:space="preserve"> </v>
      </c>
      <c r="M55" s="465" t="str">
        <f>IF(ISBLANK(D55)," ",(((H55-J55)+I55)*0.225))</f>
        <v xml:space="preserve"> </v>
      </c>
      <c r="N55" s="465"/>
      <c r="O55" s="22"/>
      <c r="P55" s="50" t="str">
        <f>IFERROR((L55+(L55*O55))/M55," ")</f>
        <v xml:space="preserve"> </v>
      </c>
      <c r="R55" s="16"/>
      <c r="S55" s="16"/>
      <c r="T55" s="16"/>
      <c r="U55" s="16"/>
      <c r="V55" s="16"/>
      <c r="W55" s="16"/>
      <c r="X55" s="16"/>
      <c r="Y55" s="16"/>
    </row>
    <row r="56" spans="2:25">
      <c r="B56" s="49" t="str">
        <f t="shared" si="2"/>
        <v/>
      </c>
      <c r="C56" s="338"/>
      <c r="D56" s="18"/>
      <c r="E56" s="33"/>
      <c r="F56" s="19"/>
      <c r="G56" s="20"/>
      <c r="H56" s="21"/>
      <c r="I56" s="21"/>
      <c r="J56" s="21"/>
      <c r="K56" s="465"/>
      <c r="L56" s="164" t="str">
        <f t="shared" si="1"/>
        <v xml:space="preserve"> </v>
      </c>
      <c r="M56" s="465" t="str">
        <f>IF(ISBLANK(D56)," ",(((H56-J56)+I56)*0.225))</f>
        <v xml:space="preserve"> </v>
      </c>
      <c r="N56" s="465"/>
      <c r="O56" s="22"/>
      <c r="P56" s="50" t="str">
        <f>IFERROR((L56+(L56*O56))/M56," ")</f>
        <v xml:space="preserve"> </v>
      </c>
      <c r="R56" s="16"/>
      <c r="S56" s="16"/>
      <c r="T56" s="16"/>
      <c r="U56" s="16"/>
      <c r="V56" s="16"/>
      <c r="W56" s="16"/>
      <c r="X56" s="16"/>
      <c r="Y56" s="16"/>
    </row>
    <row r="57" spans="2:25">
      <c r="B57" s="49" t="str">
        <f t="shared" si="2"/>
        <v/>
      </c>
      <c r="C57" s="338"/>
      <c r="D57" s="18"/>
      <c r="E57" s="33"/>
      <c r="F57" s="19"/>
      <c r="G57" s="20"/>
      <c r="H57" s="21"/>
      <c r="I57" s="21"/>
      <c r="J57" s="21"/>
      <c r="K57" s="465"/>
      <c r="L57" s="164" t="str">
        <f t="shared" si="1"/>
        <v xml:space="preserve"> </v>
      </c>
      <c r="M57" s="465" t="str">
        <f>IF(ISBLANK(D57)," ",(((H57-J57)+I57)*0.225))</f>
        <v xml:space="preserve"> </v>
      </c>
      <c r="N57" s="465"/>
      <c r="O57" s="22"/>
      <c r="P57" s="50" t="str">
        <f>IFERROR((L57+(L57*O57))/M57," ")</f>
        <v xml:space="preserve"> </v>
      </c>
      <c r="R57" s="16"/>
      <c r="S57" s="16"/>
      <c r="T57" s="16"/>
      <c r="U57" s="16"/>
      <c r="V57" s="16"/>
      <c r="W57" s="16"/>
      <c r="X57" s="16"/>
      <c r="Y57" s="16"/>
    </row>
    <row r="58" spans="2:25">
      <c r="B58" s="49" t="str">
        <f t="shared" si="2"/>
        <v/>
      </c>
      <c r="C58" s="338"/>
      <c r="D58" s="18"/>
      <c r="E58" s="33"/>
      <c r="F58" s="19"/>
      <c r="G58" s="20"/>
      <c r="H58" s="21"/>
      <c r="I58" s="21"/>
      <c r="J58" s="21"/>
      <c r="K58" s="465"/>
      <c r="L58" s="164" t="str">
        <f t="shared" si="1"/>
        <v xml:space="preserve"> </v>
      </c>
      <c r="M58" s="465" t="str">
        <f>IF(ISBLANK(D58)," ",(((H58-J58)+I58)*0.225))</f>
        <v xml:space="preserve"> </v>
      </c>
      <c r="N58" s="465"/>
      <c r="O58" s="22"/>
      <c r="P58" s="50" t="str">
        <f>IFERROR((L58+(L58*O58))/M58," ")</f>
        <v xml:space="preserve"> </v>
      </c>
      <c r="R58" s="16"/>
      <c r="S58" s="16"/>
      <c r="T58" s="16"/>
      <c r="U58" s="16"/>
      <c r="V58" s="16"/>
      <c r="W58" s="16"/>
      <c r="X58" s="16"/>
      <c r="Y58" s="16"/>
    </row>
    <row r="59" spans="2:25">
      <c r="B59" s="49" t="str">
        <f t="shared" si="2"/>
        <v/>
      </c>
      <c r="C59" s="338"/>
      <c r="D59" s="18"/>
      <c r="E59" s="33"/>
      <c r="F59" s="19"/>
      <c r="G59" s="20"/>
      <c r="H59" s="21"/>
      <c r="I59" s="21"/>
      <c r="J59" s="21"/>
      <c r="K59" s="465"/>
      <c r="L59" s="164" t="str">
        <f t="shared" si="1"/>
        <v xml:space="preserve"> </v>
      </c>
      <c r="M59" s="465" t="str">
        <f>IF(ISBLANK(D59)," ",(((H59-J59)+I59)*0.225))</f>
        <v xml:space="preserve"> </v>
      </c>
      <c r="N59" s="465"/>
      <c r="O59" s="22"/>
      <c r="P59" s="50" t="str">
        <f>IFERROR((L59+(L59*O59))/M59," ")</f>
        <v xml:space="preserve"> </v>
      </c>
      <c r="R59" s="16"/>
      <c r="S59" s="16"/>
      <c r="T59" s="16"/>
      <c r="U59" s="16"/>
      <c r="V59" s="16"/>
      <c r="W59" s="16"/>
      <c r="X59" s="16"/>
      <c r="Y59" s="16"/>
    </row>
    <row r="60" spans="2:25">
      <c r="B60" s="49" t="str">
        <f t="shared" si="2"/>
        <v/>
      </c>
      <c r="C60" s="338"/>
      <c r="D60" s="18"/>
      <c r="E60" s="33"/>
      <c r="F60" s="19"/>
      <c r="G60" s="20"/>
      <c r="H60" s="21"/>
      <c r="I60" s="21"/>
      <c r="J60" s="21"/>
      <c r="K60" s="465"/>
      <c r="L60" s="164" t="str">
        <f t="shared" si="1"/>
        <v xml:space="preserve"> </v>
      </c>
      <c r="M60" s="465" t="str">
        <f>IF(ISBLANK(D60)," ",(((H60-J60)+I60)*0.225))</f>
        <v xml:space="preserve"> </v>
      </c>
      <c r="N60" s="465"/>
      <c r="O60" s="22"/>
      <c r="P60" s="50" t="str">
        <f>IFERROR((L60+(L60*O60))/M60," ")</f>
        <v xml:space="preserve"> </v>
      </c>
      <c r="R60" s="16"/>
      <c r="S60" s="16"/>
      <c r="T60" s="16"/>
      <c r="U60" s="16"/>
      <c r="V60" s="16"/>
      <c r="W60" s="16"/>
      <c r="X60" s="16"/>
      <c r="Y60" s="16"/>
    </row>
    <row r="61" spans="2:25">
      <c r="B61" s="49" t="str">
        <f t="shared" si="2"/>
        <v/>
      </c>
      <c r="C61" s="338"/>
      <c r="D61" s="18"/>
      <c r="E61" s="33"/>
      <c r="F61" s="19"/>
      <c r="G61" s="20"/>
      <c r="H61" s="21"/>
      <c r="I61" s="21"/>
      <c r="J61" s="21"/>
      <c r="K61" s="465"/>
      <c r="L61" s="164" t="str">
        <f t="shared" si="1"/>
        <v xml:space="preserve"> </v>
      </c>
      <c r="M61" s="465" t="str">
        <f>IF(ISBLANK(D61)," ",(((H61-J61)+I61)*0.225))</f>
        <v xml:space="preserve"> </v>
      </c>
      <c r="N61" s="465"/>
      <c r="O61" s="22"/>
      <c r="P61" s="50" t="str">
        <f>IFERROR((L61+(L61*O61))/M61," ")</f>
        <v xml:space="preserve"> </v>
      </c>
      <c r="R61" s="16"/>
      <c r="S61" s="16"/>
      <c r="T61" s="16"/>
      <c r="U61" s="16"/>
      <c r="V61" s="16"/>
      <c r="W61" s="16"/>
      <c r="X61" s="16"/>
      <c r="Y61" s="16"/>
    </row>
    <row r="62" spans="2:25">
      <c r="B62" s="49" t="str">
        <f t="shared" si="2"/>
        <v/>
      </c>
      <c r="C62" s="338"/>
      <c r="D62" s="18"/>
      <c r="E62" s="33"/>
      <c r="F62" s="19"/>
      <c r="G62" s="20"/>
      <c r="H62" s="21"/>
      <c r="I62" s="21"/>
      <c r="J62" s="21"/>
      <c r="K62" s="465"/>
      <c r="L62" s="164" t="str">
        <f t="shared" si="1"/>
        <v xml:space="preserve"> </v>
      </c>
      <c r="M62" s="465" t="str">
        <f>IF(ISBLANK(D62)," ",(((H62-J62)+I62)*0.225))</f>
        <v xml:space="preserve"> </v>
      </c>
      <c r="N62" s="465"/>
      <c r="O62" s="22"/>
      <c r="P62" s="50" t="str">
        <f>IFERROR((L62+(L62*O62))/M62," ")</f>
        <v xml:space="preserve"> </v>
      </c>
      <c r="R62" s="16"/>
      <c r="S62" s="16"/>
      <c r="T62" s="16"/>
      <c r="U62" s="16"/>
      <c r="V62" s="16"/>
      <c r="W62" s="16"/>
      <c r="X62" s="16"/>
      <c r="Y62" s="16"/>
    </row>
    <row r="63" spans="2:25">
      <c r="B63" s="49" t="str">
        <f t="shared" si="2"/>
        <v/>
      </c>
      <c r="C63" s="338"/>
      <c r="D63" s="18"/>
      <c r="E63" s="33"/>
      <c r="F63" s="19"/>
      <c r="G63" s="20"/>
      <c r="H63" s="21"/>
      <c r="I63" s="21"/>
      <c r="J63" s="21"/>
      <c r="K63" s="465"/>
      <c r="L63" s="164" t="str">
        <f t="shared" si="1"/>
        <v xml:space="preserve"> </v>
      </c>
      <c r="M63" s="465" t="str">
        <f>IF(ISBLANK(D63)," ",(((H63-J63)+I63)*0.225))</f>
        <v xml:space="preserve"> </v>
      </c>
      <c r="N63" s="465"/>
      <c r="O63" s="22"/>
      <c r="P63" s="50" t="str">
        <f>IFERROR((L63+(L63*O63))/M63," ")</f>
        <v xml:space="preserve"> </v>
      </c>
      <c r="R63" s="16"/>
      <c r="S63" s="16"/>
      <c r="T63" s="16"/>
      <c r="U63" s="16"/>
      <c r="V63" s="16"/>
      <c r="W63" s="16"/>
      <c r="X63" s="16"/>
      <c r="Y63" s="16"/>
    </row>
    <row r="64" spans="2:25">
      <c r="B64" s="49" t="str">
        <f t="shared" si="2"/>
        <v/>
      </c>
      <c r="C64" s="338"/>
      <c r="D64" s="18"/>
      <c r="E64" s="33"/>
      <c r="F64" s="19"/>
      <c r="G64" s="20"/>
      <c r="H64" s="21"/>
      <c r="I64" s="21"/>
      <c r="J64" s="21"/>
      <c r="K64" s="465"/>
      <c r="L64" s="164" t="str">
        <f t="shared" si="1"/>
        <v xml:space="preserve"> </v>
      </c>
      <c r="M64" s="465" t="str">
        <f>IF(ISBLANK(D64)," ",(((H64-J64)+I64)*0.225))</f>
        <v xml:space="preserve"> </v>
      </c>
      <c r="N64" s="465"/>
      <c r="O64" s="22"/>
      <c r="P64" s="50" t="str">
        <f>IFERROR((L64+(L64*O64))/M64," ")</f>
        <v xml:space="preserve"> </v>
      </c>
      <c r="R64" s="16"/>
      <c r="S64" s="16"/>
      <c r="T64" s="16"/>
      <c r="U64" s="16"/>
      <c r="V64" s="16"/>
      <c r="W64" s="16"/>
      <c r="X64" s="16"/>
      <c r="Y64" s="16"/>
    </row>
    <row r="65" spans="2:25">
      <c r="B65" s="49" t="str">
        <f t="shared" si="2"/>
        <v/>
      </c>
      <c r="C65" s="338"/>
      <c r="D65" s="18"/>
      <c r="E65" s="33"/>
      <c r="F65" s="19"/>
      <c r="G65" s="20"/>
      <c r="H65" s="21"/>
      <c r="I65" s="21"/>
      <c r="J65" s="21"/>
      <c r="K65" s="465"/>
      <c r="L65" s="164" t="str">
        <f t="shared" si="1"/>
        <v xml:space="preserve"> </v>
      </c>
      <c r="M65" s="465" t="str">
        <f>IF(ISBLANK(D65)," ",(((H65-J65)+I65)*0.225))</f>
        <v xml:space="preserve"> </v>
      </c>
      <c r="N65" s="465"/>
      <c r="O65" s="22"/>
      <c r="P65" s="50" t="str">
        <f>IFERROR((L65+(L65*O65))/M65," ")</f>
        <v xml:space="preserve"> </v>
      </c>
      <c r="R65" s="16"/>
      <c r="S65" s="16"/>
      <c r="T65" s="16"/>
      <c r="U65" s="16"/>
      <c r="V65" s="16"/>
      <c r="W65" s="16"/>
      <c r="X65" s="16"/>
      <c r="Y65" s="16"/>
    </row>
    <row r="66" spans="2:25">
      <c r="B66" s="49" t="str">
        <f t="shared" si="2"/>
        <v/>
      </c>
      <c r="C66" s="338"/>
      <c r="D66" s="18"/>
      <c r="E66" s="33"/>
      <c r="F66" s="19"/>
      <c r="G66" s="20"/>
      <c r="H66" s="21"/>
      <c r="I66" s="21"/>
      <c r="J66" s="21"/>
      <c r="K66" s="465"/>
      <c r="L66" s="164" t="str">
        <f t="shared" si="1"/>
        <v xml:space="preserve"> </v>
      </c>
      <c r="M66" s="465" t="str">
        <f>IF(ISBLANK(D66)," ",(((H66-J66)+I66)*0.225))</f>
        <v xml:space="preserve"> </v>
      </c>
      <c r="N66" s="465"/>
      <c r="O66" s="22"/>
      <c r="P66" s="50" t="str">
        <f>IFERROR((L66+(L66*O66))/M66," ")</f>
        <v xml:space="preserve"> </v>
      </c>
      <c r="R66" s="16"/>
      <c r="S66" s="16"/>
      <c r="T66" s="16"/>
      <c r="U66" s="16"/>
      <c r="V66" s="16"/>
      <c r="W66" s="16"/>
      <c r="X66" s="16"/>
      <c r="Y66" s="16"/>
    </row>
    <row r="67" spans="2:25">
      <c r="B67" s="49" t="str">
        <f t="shared" si="2"/>
        <v/>
      </c>
      <c r="C67" s="338"/>
      <c r="D67" s="18"/>
      <c r="E67" s="33"/>
      <c r="F67" s="19"/>
      <c r="G67" s="20"/>
      <c r="H67" s="21"/>
      <c r="I67" s="21"/>
      <c r="J67" s="21"/>
      <c r="K67" s="465"/>
      <c r="L67" s="164" t="str">
        <f t="shared" si="1"/>
        <v xml:space="preserve"> </v>
      </c>
      <c r="M67" s="465" t="str">
        <f>IF(ISBLANK(D67)," ",(((H67-J67)+I67)*0.225))</f>
        <v xml:space="preserve"> </v>
      </c>
      <c r="N67" s="465"/>
      <c r="O67" s="22"/>
      <c r="P67" s="50" t="str">
        <f>IFERROR((L67+(L67*O67))/M67," ")</f>
        <v xml:space="preserve"> </v>
      </c>
      <c r="R67" s="16"/>
      <c r="S67" s="16"/>
      <c r="T67" s="16"/>
      <c r="U67" s="16"/>
      <c r="V67" s="16"/>
      <c r="W67" s="16"/>
      <c r="X67" s="16"/>
      <c r="Y67" s="16"/>
    </row>
    <row r="68" spans="2:25">
      <c r="B68" s="49" t="str">
        <f t="shared" si="2"/>
        <v/>
      </c>
      <c r="C68" s="338"/>
      <c r="D68" s="18"/>
      <c r="E68" s="33"/>
      <c r="F68" s="19"/>
      <c r="G68" s="20"/>
      <c r="H68" s="21"/>
      <c r="I68" s="21"/>
      <c r="J68" s="21"/>
      <c r="K68" s="465"/>
      <c r="L68" s="164" t="str">
        <f t="shared" si="1"/>
        <v xml:space="preserve"> </v>
      </c>
      <c r="M68" s="465" t="str">
        <f>IF(ISBLANK(D68)," ",(((H68-J68)+I68)*0.225))</f>
        <v xml:space="preserve"> </v>
      </c>
      <c r="N68" s="465"/>
      <c r="O68" s="22"/>
      <c r="P68" s="50" t="str">
        <f>IFERROR((L68+(L68*O68))/M68," ")</f>
        <v xml:space="preserve"> </v>
      </c>
      <c r="R68" s="16"/>
      <c r="S68" s="16"/>
      <c r="T68" s="16"/>
      <c r="U68" s="16"/>
      <c r="V68" s="16"/>
      <c r="W68" s="16"/>
      <c r="X68" s="16"/>
      <c r="Y68" s="16"/>
    </row>
    <row r="69" spans="2:25">
      <c r="B69" s="49" t="str">
        <f t="shared" si="2"/>
        <v/>
      </c>
      <c r="C69" s="338"/>
      <c r="D69" s="18"/>
      <c r="E69" s="33"/>
      <c r="F69" s="19"/>
      <c r="G69" s="20"/>
      <c r="H69" s="21"/>
      <c r="I69" s="21"/>
      <c r="J69" s="21"/>
      <c r="K69" s="465"/>
      <c r="L69" s="164" t="str">
        <f t="shared" si="1"/>
        <v xml:space="preserve"> </v>
      </c>
      <c r="M69" s="465" t="str">
        <f>IF(ISBLANK(D69)," ",(((H69-J69)+I69)*0.225))</f>
        <v xml:space="preserve"> </v>
      </c>
      <c r="N69" s="465"/>
      <c r="O69" s="22"/>
      <c r="P69" s="50" t="str">
        <f>IFERROR((L69+(L69*O69))/M69," ")</f>
        <v xml:space="preserve"> </v>
      </c>
      <c r="R69" s="16"/>
      <c r="S69" s="16"/>
      <c r="T69" s="16"/>
      <c r="U69" s="16"/>
      <c r="V69" s="16"/>
      <c r="W69" s="16"/>
      <c r="X69" s="16"/>
      <c r="Y69" s="16"/>
    </row>
    <row r="70" spans="2:25">
      <c r="B70" s="49" t="str">
        <f t="shared" si="2"/>
        <v/>
      </c>
      <c r="C70" s="338"/>
      <c r="D70" s="18"/>
      <c r="E70" s="33"/>
      <c r="F70" s="19"/>
      <c r="G70" s="20"/>
      <c r="H70" s="21"/>
      <c r="I70" s="21"/>
      <c r="J70" s="21"/>
      <c r="K70" s="465"/>
      <c r="L70" s="164" t="str">
        <f t="shared" ref="L70:L109" si="3">IF(ISBLANK(D70)," ",(H70+I70-J70)+(H70-J70)*0.225)</f>
        <v xml:space="preserve"> </v>
      </c>
      <c r="M70" s="465" t="str">
        <f>IF(ISBLANK(D70)," ",(((H70-J70)+I70)*0.225))</f>
        <v xml:space="preserve"> </v>
      </c>
      <c r="N70" s="465"/>
      <c r="O70" s="22"/>
      <c r="P70" s="50" t="str">
        <f>IFERROR((L70+(L70*O70))/M70," ")</f>
        <v xml:space="preserve"> </v>
      </c>
      <c r="R70" s="16"/>
      <c r="S70" s="16"/>
      <c r="T70" s="16"/>
      <c r="U70" s="16"/>
      <c r="V70" s="16"/>
      <c r="W70" s="16"/>
      <c r="X70" s="16"/>
      <c r="Y70" s="16"/>
    </row>
    <row r="71" spans="2:25">
      <c r="B71" s="49" t="str">
        <f t="shared" si="2"/>
        <v/>
      </c>
      <c r="C71" s="338"/>
      <c r="D71" s="18"/>
      <c r="E71" s="33"/>
      <c r="F71" s="19"/>
      <c r="G71" s="20"/>
      <c r="H71" s="21"/>
      <c r="I71" s="21"/>
      <c r="J71" s="21"/>
      <c r="K71" s="465"/>
      <c r="L71" s="164" t="str">
        <f t="shared" si="3"/>
        <v xml:space="preserve"> </v>
      </c>
      <c r="M71" s="465" t="str">
        <f>IF(ISBLANK(D71)," ",(((H71-J71)+I71)*0.225))</f>
        <v xml:space="preserve"> </v>
      </c>
      <c r="N71" s="465"/>
      <c r="O71" s="22"/>
      <c r="P71" s="50" t="str">
        <f>IFERROR((L71+(L71*O71))/M71," ")</f>
        <v xml:space="preserve"> </v>
      </c>
      <c r="R71" s="16"/>
      <c r="S71" s="16"/>
      <c r="T71" s="16"/>
      <c r="U71" s="16"/>
      <c r="V71" s="16"/>
      <c r="W71" s="16"/>
      <c r="X71" s="16"/>
      <c r="Y71" s="16"/>
    </row>
    <row r="72" spans="2:25">
      <c r="B72" s="49" t="str">
        <f t="shared" si="2"/>
        <v/>
      </c>
      <c r="C72" s="338"/>
      <c r="D72" s="18"/>
      <c r="E72" s="33"/>
      <c r="F72" s="19"/>
      <c r="G72" s="20"/>
      <c r="H72" s="21"/>
      <c r="I72" s="21"/>
      <c r="J72" s="21"/>
      <c r="K72" s="465"/>
      <c r="L72" s="164" t="str">
        <f t="shared" si="3"/>
        <v xml:space="preserve"> </v>
      </c>
      <c r="M72" s="465" t="str">
        <f>IF(ISBLANK(D72)," ",(((H72-J72)+I72)*0.225))</f>
        <v xml:space="preserve"> </v>
      </c>
      <c r="N72" s="465"/>
      <c r="O72" s="22"/>
      <c r="P72" s="50"/>
      <c r="R72" s="16"/>
      <c r="S72" s="16"/>
      <c r="T72" s="16"/>
      <c r="U72" s="16"/>
      <c r="V72" s="16"/>
      <c r="W72" s="16"/>
      <c r="X72" s="16"/>
      <c r="Y72" s="16"/>
    </row>
    <row r="73" spans="2:25">
      <c r="B73" s="49" t="str">
        <f t="shared" si="2"/>
        <v/>
      </c>
      <c r="C73" s="338"/>
      <c r="D73" s="18"/>
      <c r="E73" s="33"/>
      <c r="F73" s="19"/>
      <c r="G73" s="20"/>
      <c r="H73" s="21"/>
      <c r="I73" s="21"/>
      <c r="J73" s="21"/>
      <c r="K73" s="465"/>
      <c r="L73" s="164" t="str">
        <f t="shared" si="3"/>
        <v xml:space="preserve"> </v>
      </c>
      <c r="M73" s="465" t="str">
        <f>IF(ISBLANK(D73)," ",(((H73-J73)+I73)*0.225))</f>
        <v xml:space="preserve"> </v>
      </c>
      <c r="N73" s="465"/>
      <c r="O73" s="22"/>
      <c r="P73" s="50"/>
      <c r="R73" s="16"/>
      <c r="S73" s="16"/>
      <c r="T73" s="16"/>
      <c r="U73" s="16"/>
      <c r="V73" s="16"/>
      <c r="W73" s="16"/>
      <c r="X73" s="16"/>
      <c r="Y73" s="16"/>
    </row>
    <row r="74" spans="2:25">
      <c r="B74" s="49" t="str">
        <f t="shared" si="2"/>
        <v/>
      </c>
      <c r="C74" s="338"/>
      <c r="D74" s="18"/>
      <c r="E74" s="33"/>
      <c r="F74" s="19"/>
      <c r="G74" s="20"/>
      <c r="H74" s="21"/>
      <c r="I74" s="21"/>
      <c r="J74" s="21"/>
      <c r="K74" s="465"/>
      <c r="L74" s="164" t="str">
        <f t="shared" si="3"/>
        <v xml:space="preserve"> </v>
      </c>
      <c r="M74" s="465" t="str">
        <f>IF(ISBLANK(D74)," ",(((H74-J74)+I74)*0.225))</f>
        <v xml:space="preserve"> </v>
      </c>
      <c r="N74" s="465"/>
      <c r="O74" s="22"/>
      <c r="P74" s="50"/>
      <c r="R74" s="16"/>
      <c r="S74" s="16"/>
      <c r="T74" s="16"/>
      <c r="U74" s="16"/>
      <c r="V74" s="16"/>
      <c r="W74" s="16"/>
      <c r="X74" s="16"/>
      <c r="Y74" s="16"/>
    </row>
    <row r="75" spans="2:25">
      <c r="B75" s="49" t="str">
        <f t="shared" si="2"/>
        <v/>
      </c>
      <c r="C75" s="338"/>
      <c r="D75" s="18"/>
      <c r="E75" s="33"/>
      <c r="F75" s="19"/>
      <c r="G75" s="20"/>
      <c r="H75" s="21"/>
      <c r="I75" s="21"/>
      <c r="J75" s="21"/>
      <c r="K75" s="465"/>
      <c r="L75" s="164" t="str">
        <f t="shared" si="3"/>
        <v xml:space="preserve"> </v>
      </c>
      <c r="M75" s="465" t="str">
        <f>IF(ISBLANK(D75)," ",(((H75-J75)+I75)*0.225))</f>
        <v xml:space="preserve"> </v>
      </c>
      <c r="N75" s="465"/>
      <c r="O75" s="22"/>
      <c r="P75" s="50"/>
      <c r="R75" s="16"/>
      <c r="S75" s="16"/>
      <c r="T75" s="16"/>
      <c r="U75" s="16"/>
      <c r="V75" s="16"/>
      <c r="W75" s="16"/>
      <c r="X75" s="16"/>
      <c r="Y75" s="16"/>
    </row>
    <row r="76" spans="2:25">
      <c r="B76" s="49" t="str">
        <f t="shared" si="2"/>
        <v/>
      </c>
      <c r="C76" s="338"/>
      <c r="D76" s="18"/>
      <c r="E76" s="33"/>
      <c r="F76" s="19"/>
      <c r="G76" s="20"/>
      <c r="H76" s="21"/>
      <c r="I76" s="21"/>
      <c r="J76" s="21"/>
      <c r="K76" s="465"/>
      <c r="L76" s="164" t="str">
        <f t="shared" si="3"/>
        <v xml:space="preserve"> </v>
      </c>
      <c r="M76" s="465" t="str">
        <f>IF(ISBLANK(D76)," ",(((H76-J76)+I76)*0.225))</f>
        <v xml:space="preserve"> </v>
      </c>
      <c r="N76" s="465"/>
      <c r="O76" s="22"/>
      <c r="P76" s="50"/>
      <c r="R76" s="16"/>
      <c r="S76" s="16"/>
      <c r="T76" s="16"/>
      <c r="U76" s="16"/>
      <c r="V76" s="16"/>
      <c r="W76" s="16"/>
      <c r="X76" s="16"/>
      <c r="Y76" s="16"/>
    </row>
    <row r="77" spans="2:25">
      <c r="B77" s="49" t="str">
        <f t="shared" si="2"/>
        <v/>
      </c>
      <c r="C77" s="338"/>
      <c r="D77" s="18"/>
      <c r="E77" s="33"/>
      <c r="F77" s="19"/>
      <c r="G77" s="20"/>
      <c r="H77" s="21"/>
      <c r="I77" s="21"/>
      <c r="J77" s="21"/>
      <c r="K77" s="465"/>
      <c r="L77" s="164" t="str">
        <f t="shared" si="3"/>
        <v xml:space="preserve"> </v>
      </c>
      <c r="M77" s="465" t="str">
        <f>IF(ISBLANK(D77)," ",(((H77-J77)+I77)*0.225))</f>
        <v xml:space="preserve"> </v>
      </c>
      <c r="N77" s="465"/>
      <c r="O77" s="22"/>
      <c r="P77" s="50"/>
      <c r="R77" s="16"/>
      <c r="S77" s="16"/>
      <c r="T77" s="16"/>
      <c r="U77" s="16"/>
      <c r="V77" s="16"/>
      <c r="W77" s="16"/>
      <c r="X77" s="16"/>
      <c r="Y77" s="16"/>
    </row>
    <row r="78" spans="2:25">
      <c r="B78" s="49" t="str">
        <f t="shared" si="2"/>
        <v/>
      </c>
      <c r="C78" s="338"/>
      <c r="D78" s="18"/>
      <c r="E78" s="33"/>
      <c r="F78" s="19"/>
      <c r="G78" s="20"/>
      <c r="H78" s="21"/>
      <c r="I78" s="21"/>
      <c r="J78" s="21"/>
      <c r="K78" s="465"/>
      <c r="L78" s="164" t="str">
        <f t="shared" si="3"/>
        <v xml:space="preserve"> </v>
      </c>
      <c r="M78" s="465" t="str">
        <f>IF(ISBLANK(D78)," ",(((H78-J78)+I78)*0.225))</f>
        <v xml:space="preserve"> </v>
      </c>
      <c r="N78" s="465"/>
      <c r="O78" s="22"/>
      <c r="P78" s="50"/>
      <c r="R78" s="16"/>
      <c r="S78" s="16"/>
      <c r="T78" s="16"/>
      <c r="U78" s="16"/>
      <c r="V78" s="16"/>
      <c r="W78" s="16"/>
      <c r="X78" s="16"/>
      <c r="Y78" s="16"/>
    </row>
    <row r="79" spans="2:25">
      <c r="B79" s="49" t="str">
        <f t="shared" si="2"/>
        <v/>
      </c>
      <c r="C79" s="338"/>
      <c r="D79" s="18"/>
      <c r="E79" s="33"/>
      <c r="F79" s="19"/>
      <c r="G79" s="20"/>
      <c r="H79" s="21"/>
      <c r="I79" s="21"/>
      <c r="J79" s="21"/>
      <c r="K79" s="465"/>
      <c r="L79" s="164" t="str">
        <f t="shared" si="3"/>
        <v xml:space="preserve"> </v>
      </c>
      <c r="M79" s="465" t="str">
        <f>IF(ISBLANK(D79)," ",(((H79-J79)+I79)*0.225))</f>
        <v xml:space="preserve"> </v>
      </c>
      <c r="N79" s="465"/>
      <c r="O79" s="22"/>
      <c r="P79" s="50"/>
      <c r="R79" s="16"/>
      <c r="S79" s="16"/>
      <c r="T79" s="16"/>
      <c r="U79" s="16"/>
      <c r="V79" s="16"/>
      <c r="W79" s="16"/>
      <c r="X79" s="16"/>
      <c r="Y79" s="16"/>
    </row>
    <row r="80" spans="2:25">
      <c r="B80" s="49" t="str">
        <f t="shared" si="2"/>
        <v/>
      </c>
      <c r="C80" s="338"/>
      <c r="D80" s="18"/>
      <c r="E80" s="33"/>
      <c r="F80" s="19"/>
      <c r="G80" s="20"/>
      <c r="H80" s="21"/>
      <c r="I80" s="21"/>
      <c r="J80" s="21"/>
      <c r="K80" s="465"/>
      <c r="L80" s="164" t="str">
        <f t="shared" si="3"/>
        <v xml:space="preserve"> </v>
      </c>
      <c r="M80" s="465" t="str">
        <f>IF(ISBLANK(D80)," ",(((H80-J80)+I80)*0.225))</f>
        <v xml:space="preserve"> </v>
      </c>
      <c r="N80" s="465"/>
      <c r="O80" s="22"/>
      <c r="P80" s="50"/>
      <c r="R80" s="16"/>
      <c r="S80" s="16"/>
      <c r="T80" s="16"/>
      <c r="U80" s="16"/>
      <c r="V80" s="16"/>
      <c r="W80" s="16"/>
      <c r="X80" s="16"/>
      <c r="Y80" s="16"/>
    </row>
    <row r="81" spans="2:25">
      <c r="B81" s="49" t="str">
        <f t="shared" si="2"/>
        <v/>
      </c>
      <c r="C81" s="338"/>
      <c r="D81" s="18"/>
      <c r="E81" s="33"/>
      <c r="F81" s="19"/>
      <c r="G81" s="20"/>
      <c r="H81" s="21"/>
      <c r="I81" s="21"/>
      <c r="J81" s="21"/>
      <c r="K81" s="465"/>
      <c r="L81" s="164" t="str">
        <f t="shared" si="3"/>
        <v xml:space="preserve"> </v>
      </c>
      <c r="M81" s="465" t="str">
        <f>IF(ISBLANK(D81)," ",(((H81-J81)+I81)*0.225))</f>
        <v xml:space="preserve"> </v>
      </c>
      <c r="N81" s="465"/>
      <c r="O81" s="22"/>
      <c r="P81" s="50"/>
      <c r="R81" s="16"/>
      <c r="S81" s="16"/>
      <c r="T81" s="16"/>
      <c r="U81" s="16"/>
      <c r="V81" s="16"/>
      <c r="W81" s="16"/>
      <c r="X81" s="16"/>
      <c r="Y81" s="16"/>
    </row>
    <row r="82" spans="2:25">
      <c r="B82" s="49" t="str">
        <f t="shared" si="2"/>
        <v/>
      </c>
      <c r="C82" s="338"/>
      <c r="D82" s="18"/>
      <c r="E82" s="33"/>
      <c r="F82" s="19"/>
      <c r="G82" s="20"/>
      <c r="H82" s="21"/>
      <c r="I82" s="21"/>
      <c r="J82" s="21"/>
      <c r="K82" s="465"/>
      <c r="L82" s="164" t="str">
        <f t="shared" si="3"/>
        <v xml:space="preserve"> </v>
      </c>
      <c r="M82" s="465" t="str">
        <f>IF(ISBLANK(D82)," ",(((H82-J82)+I82)*0.225))</f>
        <v xml:space="preserve"> </v>
      </c>
      <c r="N82" s="465"/>
      <c r="O82" s="22"/>
      <c r="P82" s="50"/>
      <c r="R82" s="16"/>
      <c r="S82" s="16"/>
      <c r="T82" s="16"/>
      <c r="U82" s="16"/>
      <c r="V82" s="16"/>
      <c r="W82" s="16"/>
      <c r="X82" s="16"/>
      <c r="Y82" s="16"/>
    </row>
    <row r="83" spans="2:25">
      <c r="B83" s="49" t="str">
        <f t="shared" si="2"/>
        <v/>
      </c>
      <c r="C83" s="338"/>
      <c r="D83" s="18"/>
      <c r="E83" s="33"/>
      <c r="F83" s="19"/>
      <c r="G83" s="20"/>
      <c r="H83" s="21"/>
      <c r="I83" s="21"/>
      <c r="J83" s="21"/>
      <c r="K83" s="465"/>
      <c r="L83" s="164" t="str">
        <f t="shared" si="3"/>
        <v xml:space="preserve"> </v>
      </c>
      <c r="M83" s="465" t="str">
        <f>IF(ISBLANK(D83)," ",(((H83-J83)+I83)*0.225))</f>
        <v xml:space="preserve"> </v>
      </c>
      <c r="N83" s="465"/>
      <c r="O83" s="22"/>
      <c r="P83" s="50"/>
      <c r="R83" s="16"/>
      <c r="S83" s="16"/>
      <c r="T83" s="16"/>
      <c r="U83" s="16"/>
      <c r="V83" s="16"/>
      <c r="W83" s="16"/>
      <c r="X83" s="16"/>
      <c r="Y83" s="16"/>
    </row>
    <row r="84" spans="2:25">
      <c r="B84" s="49" t="str">
        <f t="shared" si="2"/>
        <v/>
      </c>
      <c r="C84" s="338"/>
      <c r="D84" s="18"/>
      <c r="E84" s="33"/>
      <c r="F84" s="19"/>
      <c r="G84" s="20"/>
      <c r="H84" s="21"/>
      <c r="I84" s="21"/>
      <c r="J84" s="21"/>
      <c r="K84" s="465"/>
      <c r="L84" s="164" t="str">
        <f t="shared" si="3"/>
        <v xml:space="preserve"> </v>
      </c>
      <c r="M84" s="465" t="str">
        <f>IF(ISBLANK(D84)," ",(((H84-J84)+I84)*0.225))</f>
        <v xml:space="preserve"> </v>
      </c>
      <c r="N84" s="465"/>
      <c r="O84" s="22"/>
      <c r="P84" s="50"/>
      <c r="R84" s="16"/>
      <c r="S84" s="16"/>
      <c r="T84" s="16"/>
      <c r="U84" s="16"/>
      <c r="V84" s="16"/>
      <c r="W84" s="16"/>
      <c r="X84" s="16"/>
      <c r="Y84" s="16"/>
    </row>
    <row r="85" spans="2:25">
      <c r="B85" s="49" t="str">
        <f t="shared" si="2"/>
        <v/>
      </c>
      <c r="C85" s="338"/>
      <c r="D85" s="18"/>
      <c r="E85" s="33"/>
      <c r="F85" s="19"/>
      <c r="G85" s="20"/>
      <c r="H85" s="21"/>
      <c r="I85" s="21"/>
      <c r="J85" s="21"/>
      <c r="K85" s="465"/>
      <c r="L85" s="164" t="str">
        <f t="shared" si="3"/>
        <v xml:space="preserve"> </v>
      </c>
      <c r="M85" s="465" t="str">
        <f>IF(ISBLANK(D85)," ",(((H85-J85)+I85)*0.225))</f>
        <v xml:space="preserve"> </v>
      </c>
      <c r="N85" s="465"/>
      <c r="O85" s="22"/>
      <c r="P85" s="50"/>
      <c r="R85" s="16"/>
      <c r="S85" s="16"/>
      <c r="T85" s="16"/>
      <c r="U85" s="16"/>
      <c r="V85" s="16"/>
      <c r="W85" s="16"/>
      <c r="X85" s="16"/>
      <c r="Y85" s="16"/>
    </row>
    <row r="86" spans="2:25">
      <c r="B86" s="49" t="str">
        <f t="shared" si="2"/>
        <v/>
      </c>
      <c r="C86" s="338"/>
      <c r="D86" s="18"/>
      <c r="E86" s="33"/>
      <c r="F86" s="19"/>
      <c r="G86" s="20"/>
      <c r="H86" s="21"/>
      <c r="I86" s="21"/>
      <c r="J86" s="21"/>
      <c r="K86" s="465"/>
      <c r="L86" s="164" t="str">
        <f t="shared" si="3"/>
        <v xml:space="preserve"> </v>
      </c>
      <c r="M86" s="465" t="str">
        <f>IF(ISBLANK(D86)," ",(((H86-J86)+I86)*0.225))</f>
        <v xml:space="preserve"> </v>
      </c>
      <c r="N86" s="465"/>
      <c r="O86" s="22"/>
      <c r="P86" s="50"/>
      <c r="R86" s="16"/>
      <c r="S86" s="16"/>
      <c r="T86" s="16"/>
      <c r="U86" s="16"/>
      <c r="V86" s="16"/>
      <c r="W86" s="16"/>
      <c r="X86" s="16"/>
      <c r="Y86" s="16"/>
    </row>
    <row r="87" spans="2:25">
      <c r="B87" s="49" t="str">
        <f t="shared" si="2"/>
        <v/>
      </c>
      <c r="C87" s="338"/>
      <c r="D87" s="18"/>
      <c r="E87" s="33"/>
      <c r="F87" s="19"/>
      <c r="G87" s="20"/>
      <c r="H87" s="21"/>
      <c r="I87" s="21"/>
      <c r="J87" s="21"/>
      <c r="K87" s="465"/>
      <c r="L87" s="164" t="str">
        <f t="shared" si="3"/>
        <v xml:space="preserve"> </v>
      </c>
      <c r="M87" s="465" t="str">
        <f>IF(ISBLANK(D87)," ",(((H87-J87)+I87)*0.225))</f>
        <v xml:space="preserve"> </v>
      </c>
      <c r="N87" s="465"/>
      <c r="O87" s="22"/>
      <c r="P87" s="50"/>
      <c r="R87" s="16"/>
      <c r="S87" s="16"/>
      <c r="T87" s="16"/>
      <c r="U87" s="16"/>
      <c r="V87" s="16"/>
      <c r="W87" s="16"/>
      <c r="X87" s="16"/>
      <c r="Y87" s="16"/>
    </row>
    <row r="88" spans="2:25">
      <c r="B88" s="49" t="str">
        <f t="shared" si="2"/>
        <v/>
      </c>
      <c r="C88" s="338"/>
      <c r="D88" s="18"/>
      <c r="E88" s="33"/>
      <c r="F88" s="19"/>
      <c r="G88" s="20"/>
      <c r="H88" s="21"/>
      <c r="I88" s="21"/>
      <c r="J88" s="21"/>
      <c r="K88" s="465"/>
      <c r="L88" s="164" t="str">
        <f t="shared" si="3"/>
        <v xml:space="preserve"> </v>
      </c>
      <c r="M88" s="465" t="str">
        <f>IF(ISBLANK(D88)," ",(((H88-J88)+I88)*0.225))</f>
        <v xml:space="preserve"> </v>
      </c>
      <c r="N88" s="465"/>
      <c r="O88" s="22"/>
      <c r="P88" s="50"/>
      <c r="R88" s="16"/>
      <c r="S88" s="16"/>
      <c r="T88" s="16"/>
      <c r="U88" s="16"/>
      <c r="V88" s="16"/>
      <c r="W88" s="16"/>
      <c r="X88" s="16"/>
      <c r="Y88" s="16"/>
    </row>
    <row r="89" spans="2:25">
      <c r="B89" s="49" t="str">
        <f t="shared" si="2"/>
        <v/>
      </c>
      <c r="C89" s="338"/>
      <c r="D89" s="18"/>
      <c r="E89" s="33"/>
      <c r="F89" s="19"/>
      <c r="G89" s="20"/>
      <c r="H89" s="21"/>
      <c r="I89" s="21"/>
      <c r="J89" s="21"/>
      <c r="K89" s="465"/>
      <c r="L89" s="164" t="str">
        <f t="shared" si="3"/>
        <v xml:space="preserve"> </v>
      </c>
      <c r="M89" s="465" t="str">
        <f>IF(ISBLANK(D89)," ",(((H89-J89)+I89)*0.225))</f>
        <v xml:space="preserve"> </v>
      </c>
      <c r="N89" s="465"/>
      <c r="O89" s="22"/>
      <c r="P89" s="50"/>
      <c r="R89" s="16"/>
      <c r="S89" s="16"/>
      <c r="T89" s="16"/>
      <c r="U89" s="16"/>
      <c r="V89" s="16"/>
      <c r="W89" s="16"/>
      <c r="X89" s="16"/>
      <c r="Y89" s="16"/>
    </row>
    <row r="90" spans="2:25">
      <c r="B90" s="49" t="str">
        <f t="shared" si="2"/>
        <v/>
      </c>
      <c r="C90" s="338"/>
      <c r="D90" s="18"/>
      <c r="E90" s="33"/>
      <c r="F90" s="19"/>
      <c r="G90" s="20"/>
      <c r="H90" s="21"/>
      <c r="I90" s="21"/>
      <c r="J90" s="21"/>
      <c r="K90" s="465"/>
      <c r="L90" s="164" t="str">
        <f t="shared" si="3"/>
        <v xml:space="preserve"> </v>
      </c>
      <c r="M90" s="465" t="str">
        <f>IF(ISBLANK(D90)," ",(((H90-J90)+I90)*0.225))</f>
        <v xml:space="preserve"> </v>
      </c>
      <c r="N90" s="465"/>
      <c r="O90" s="22"/>
      <c r="P90" s="50"/>
      <c r="R90" s="16"/>
      <c r="S90" s="16"/>
      <c r="T90" s="16"/>
      <c r="U90" s="16"/>
      <c r="V90" s="16"/>
      <c r="W90" s="16"/>
      <c r="X90" s="16"/>
      <c r="Y90" s="16"/>
    </row>
    <row r="91" spans="2:25">
      <c r="B91" s="49" t="str">
        <f t="shared" si="2"/>
        <v/>
      </c>
      <c r="C91" s="338"/>
      <c r="D91" s="18"/>
      <c r="E91" s="33"/>
      <c r="F91" s="19"/>
      <c r="G91" s="20"/>
      <c r="H91" s="21"/>
      <c r="I91" s="21"/>
      <c r="J91" s="21"/>
      <c r="K91" s="465"/>
      <c r="L91" s="164" t="str">
        <f t="shared" si="3"/>
        <v xml:space="preserve"> </v>
      </c>
      <c r="M91" s="465" t="str">
        <f>IF(ISBLANK(D91)," ",(((H91-J91)+I91)*0.225))</f>
        <v xml:space="preserve"> </v>
      </c>
      <c r="N91" s="465"/>
      <c r="O91" s="22"/>
      <c r="P91" s="50"/>
      <c r="R91" s="16"/>
      <c r="S91" s="16"/>
      <c r="T91" s="16"/>
      <c r="U91" s="16"/>
      <c r="V91" s="16"/>
      <c r="W91" s="16"/>
      <c r="X91" s="16"/>
      <c r="Y91" s="16"/>
    </row>
    <row r="92" spans="2:25">
      <c r="B92" s="49" t="str">
        <f t="shared" si="2"/>
        <v/>
      </c>
      <c r="C92" s="338"/>
      <c r="D92" s="18"/>
      <c r="E92" s="33"/>
      <c r="F92" s="19"/>
      <c r="G92" s="20"/>
      <c r="H92" s="21"/>
      <c r="I92" s="21"/>
      <c r="J92" s="21"/>
      <c r="K92" s="465"/>
      <c r="L92" s="164" t="str">
        <f t="shared" si="3"/>
        <v xml:space="preserve"> </v>
      </c>
      <c r="M92" s="465" t="str">
        <f>IF(ISBLANK(D92)," ",(((H92-J92)+I92)*0.225))</f>
        <v xml:space="preserve"> </v>
      </c>
      <c r="N92" s="465"/>
      <c r="O92" s="22"/>
      <c r="P92" s="50"/>
      <c r="R92" s="16"/>
      <c r="S92" s="16"/>
      <c r="T92" s="16"/>
      <c r="U92" s="16"/>
      <c r="V92" s="16"/>
      <c r="W92" s="16"/>
      <c r="X92" s="16"/>
      <c r="Y92" s="16"/>
    </row>
    <row r="93" spans="2:25">
      <c r="B93" s="49" t="str">
        <f t="shared" si="2"/>
        <v/>
      </c>
      <c r="C93" s="338"/>
      <c r="D93" s="18"/>
      <c r="E93" s="33"/>
      <c r="F93" s="19"/>
      <c r="G93" s="20"/>
      <c r="H93" s="21"/>
      <c r="I93" s="21"/>
      <c r="J93" s="21"/>
      <c r="K93" s="465"/>
      <c r="L93" s="164" t="str">
        <f t="shared" si="3"/>
        <v xml:space="preserve"> </v>
      </c>
      <c r="M93" s="465" t="str">
        <f>IF(ISBLANK(D93)," ",(((H93-J93)+I93)*0.225))</f>
        <v xml:space="preserve"> </v>
      </c>
      <c r="N93" s="465"/>
      <c r="O93" s="22"/>
      <c r="P93" s="50"/>
      <c r="R93" s="16"/>
      <c r="S93" s="16"/>
      <c r="T93" s="16"/>
      <c r="U93" s="16"/>
      <c r="V93" s="16"/>
      <c r="W93" s="16"/>
      <c r="X93" s="16"/>
      <c r="Y93" s="16"/>
    </row>
    <row r="94" spans="2:25">
      <c r="B94" s="49" t="str">
        <f t="shared" si="2"/>
        <v/>
      </c>
      <c r="C94" s="338"/>
      <c r="D94" s="18"/>
      <c r="E94" s="33"/>
      <c r="F94" s="19"/>
      <c r="G94" s="20"/>
      <c r="H94" s="21"/>
      <c r="I94" s="21"/>
      <c r="J94" s="21"/>
      <c r="K94" s="465"/>
      <c r="L94" s="164" t="str">
        <f t="shared" si="3"/>
        <v xml:space="preserve"> </v>
      </c>
      <c r="M94" s="465" t="str">
        <f>IF(ISBLANK(D94)," ",(((H94-J94)+I94)*0.225))</f>
        <v xml:space="preserve"> </v>
      </c>
      <c r="N94" s="465"/>
      <c r="O94" s="22"/>
      <c r="P94" s="50"/>
      <c r="R94" s="16"/>
      <c r="S94" s="16"/>
      <c r="T94" s="16"/>
      <c r="U94" s="16"/>
      <c r="V94" s="16"/>
      <c r="W94" s="16"/>
      <c r="X94" s="16"/>
      <c r="Y94" s="16"/>
    </row>
    <row r="95" spans="2:25">
      <c r="B95" s="49" t="str">
        <f t="shared" si="2"/>
        <v/>
      </c>
      <c r="C95" s="338"/>
      <c r="D95" s="18"/>
      <c r="E95" s="33"/>
      <c r="F95" s="19"/>
      <c r="G95" s="20"/>
      <c r="H95" s="21"/>
      <c r="I95" s="21"/>
      <c r="J95" s="21"/>
      <c r="K95" s="465"/>
      <c r="L95" s="164" t="str">
        <f t="shared" si="3"/>
        <v xml:space="preserve"> </v>
      </c>
      <c r="M95" s="465" t="str">
        <f>IF(ISBLANK(D95)," ",(((H95-J95)+I95)*0.225))</f>
        <v xml:space="preserve"> </v>
      </c>
      <c r="N95" s="465"/>
      <c r="O95" s="22"/>
      <c r="P95" s="50"/>
      <c r="R95" s="16"/>
      <c r="S95" s="16"/>
      <c r="T95" s="16"/>
      <c r="U95" s="16"/>
      <c r="V95" s="16"/>
      <c r="W95" s="16"/>
      <c r="X95" s="16"/>
      <c r="Y95" s="16"/>
    </row>
    <row r="96" spans="2:25">
      <c r="B96" s="49" t="str">
        <f t="shared" si="2"/>
        <v/>
      </c>
      <c r="C96" s="338"/>
      <c r="D96" s="18"/>
      <c r="E96" s="33"/>
      <c r="F96" s="19"/>
      <c r="G96" s="20"/>
      <c r="H96" s="21"/>
      <c r="I96" s="21"/>
      <c r="J96" s="21"/>
      <c r="K96" s="465"/>
      <c r="L96" s="164" t="str">
        <f t="shared" si="3"/>
        <v xml:space="preserve"> </v>
      </c>
      <c r="M96" s="465" t="str">
        <f>IF(ISBLANK(D96)," ",(((H96-J96)+I96)*0.225))</f>
        <v xml:space="preserve"> </v>
      </c>
      <c r="N96" s="465"/>
      <c r="O96" s="22"/>
      <c r="P96" s="50"/>
      <c r="R96" s="16"/>
      <c r="S96" s="16"/>
      <c r="T96" s="16"/>
      <c r="U96" s="16"/>
      <c r="V96" s="16"/>
      <c r="W96" s="16"/>
      <c r="X96" s="16"/>
      <c r="Y96" s="16"/>
    </row>
    <row r="97" spans="2:25">
      <c r="B97" s="49" t="str">
        <f t="shared" si="2"/>
        <v/>
      </c>
      <c r="C97" s="338"/>
      <c r="D97" s="18"/>
      <c r="E97" s="33"/>
      <c r="F97" s="19"/>
      <c r="G97" s="20"/>
      <c r="H97" s="21"/>
      <c r="I97" s="21"/>
      <c r="J97" s="21"/>
      <c r="K97" s="465"/>
      <c r="L97" s="164" t="str">
        <f t="shared" si="3"/>
        <v xml:space="preserve"> </v>
      </c>
      <c r="M97" s="465" t="str">
        <f>IF(ISBLANK(D97)," ",(((H97-J97)+I97)*0.225))</f>
        <v xml:space="preserve"> </v>
      </c>
      <c r="N97" s="465"/>
      <c r="O97" s="22"/>
      <c r="P97" s="50"/>
      <c r="R97" s="16"/>
      <c r="S97" s="16"/>
      <c r="T97" s="16"/>
      <c r="U97" s="16"/>
      <c r="V97" s="16"/>
      <c r="W97" s="16"/>
      <c r="X97" s="16"/>
      <c r="Y97" s="16"/>
    </row>
    <row r="98" spans="2:25">
      <c r="B98" s="49" t="str">
        <f t="shared" si="2"/>
        <v/>
      </c>
      <c r="C98" s="338"/>
      <c r="D98" s="18"/>
      <c r="E98" s="33"/>
      <c r="F98" s="19"/>
      <c r="G98" s="20"/>
      <c r="H98" s="21"/>
      <c r="I98" s="21"/>
      <c r="J98" s="21"/>
      <c r="K98" s="465"/>
      <c r="L98" s="164" t="str">
        <f t="shared" si="3"/>
        <v xml:space="preserve"> </v>
      </c>
      <c r="M98" s="465" t="str">
        <f>IF(ISBLANK(D98)," ",(((H98-J98)+I98)*0.225))</f>
        <v xml:space="preserve"> </v>
      </c>
      <c r="N98" s="465"/>
      <c r="O98" s="22"/>
      <c r="P98" s="50"/>
      <c r="R98" s="16"/>
      <c r="S98" s="16"/>
      <c r="T98" s="16"/>
      <c r="U98" s="16"/>
      <c r="V98" s="16"/>
      <c r="W98" s="16"/>
      <c r="X98" s="16"/>
      <c r="Y98" s="16"/>
    </row>
    <row r="99" spans="2:25">
      <c r="B99" s="49" t="str">
        <f t="shared" si="2"/>
        <v/>
      </c>
      <c r="C99" s="338"/>
      <c r="D99" s="18"/>
      <c r="E99" s="33"/>
      <c r="F99" s="19"/>
      <c r="G99" s="20"/>
      <c r="H99" s="21"/>
      <c r="I99" s="21"/>
      <c r="J99" s="21"/>
      <c r="K99" s="465"/>
      <c r="L99" s="164" t="str">
        <f t="shared" si="3"/>
        <v xml:space="preserve"> </v>
      </c>
      <c r="M99" s="465" t="str">
        <f>IF(ISBLANK(D99)," ",(((H99-J99)+I99)*0.225))</f>
        <v xml:space="preserve"> </v>
      </c>
      <c r="N99" s="465"/>
      <c r="O99" s="22"/>
      <c r="P99" s="50"/>
      <c r="R99" s="16"/>
      <c r="S99" s="16"/>
      <c r="T99" s="16"/>
      <c r="U99" s="16"/>
      <c r="V99" s="16"/>
      <c r="W99" s="16"/>
      <c r="X99" s="16"/>
      <c r="Y99" s="16"/>
    </row>
    <row r="100" spans="2:25">
      <c r="B100" s="49" t="str">
        <f t="shared" si="2"/>
        <v/>
      </c>
      <c r="C100" s="338"/>
      <c r="D100" s="18"/>
      <c r="E100" s="33"/>
      <c r="F100" s="19"/>
      <c r="G100" s="20"/>
      <c r="H100" s="21"/>
      <c r="I100" s="21"/>
      <c r="J100" s="21"/>
      <c r="K100" s="465"/>
      <c r="L100" s="164" t="str">
        <f t="shared" si="3"/>
        <v xml:space="preserve"> </v>
      </c>
      <c r="M100" s="465" t="str">
        <f>IF(ISBLANK(D100)," ",(((H100-J100)+I100)*0.225))</f>
        <v xml:space="preserve"> </v>
      </c>
      <c r="N100" s="465"/>
      <c r="O100" s="22"/>
      <c r="P100" s="50"/>
      <c r="R100" s="16"/>
      <c r="S100" s="16"/>
      <c r="T100" s="16"/>
      <c r="U100" s="16"/>
      <c r="V100" s="16"/>
      <c r="W100" s="16"/>
      <c r="X100" s="16"/>
      <c r="Y100" s="16"/>
    </row>
    <row r="101" spans="2:25">
      <c r="B101" s="49" t="str">
        <f t="shared" si="2"/>
        <v/>
      </c>
      <c r="C101" s="338"/>
      <c r="D101" s="18"/>
      <c r="E101" s="33"/>
      <c r="F101" s="19"/>
      <c r="G101" s="20"/>
      <c r="H101" s="21"/>
      <c r="I101" s="21"/>
      <c r="J101" s="21"/>
      <c r="K101" s="465"/>
      <c r="L101" s="164" t="str">
        <f t="shared" si="3"/>
        <v xml:space="preserve"> </v>
      </c>
      <c r="M101" s="465" t="str">
        <f>IF(ISBLANK(D101)," ",(((H101-J101)+I101)*0.225))</f>
        <v xml:space="preserve"> </v>
      </c>
      <c r="N101" s="465"/>
      <c r="O101" s="22"/>
      <c r="P101" s="50"/>
      <c r="R101" s="16"/>
      <c r="S101" s="16"/>
      <c r="T101" s="16"/>
      <c r="U101" s="16"/>
      <c r="V101" s="16"/>
      <c r="W101" s="16"/>
      <c r="X101" s="16"/>
      <c r="Y101" s="16"/>
    </row>
    <row r="102" spans="2:25">
      <c r="B102" s="49" t="str">
        <f t="shared" si="2"/>
        <v/>
      </c>
      <c r="C102" s="338"/>
      <c r="D102" s="18"/>
      <c r="E102" s="33"/>
      <c r="F102" s="19"/>
      <c r="G102" s="20"/>
      <c r="H102" s="21"/>
      <c r="I102" s="21"/>
      <c r="J102" s="21"/>
      <c r="K102" s="465"/>
      <c r="L102" s="164" t="str">
        <f t="shared" si="3"/>
        <v xml:space="preserve"> </v>
      </c>
      <c r="M102" s="465" t="str">
        <f>IF(ISBLANK(D102)," ",(((H102-J102)+I102)*0.225))</f>
        <v xml:space="preserve"> </v>
      </c>
      <c r="N102" s="465"/>
      <c r="O102" s="22"/>
      <c r="P102" s="50"/>
      <c r="R102" s="16"/>
      <c r="S102" s="16"/>
      <c r="T102" s="16"/>
      <c r="U102" s="16"/>
      <c r="V102" s="16"/>
      <c r="W102" s="16"/>
      <c r="X102" s="16"/>
      <c r="Y102" s="16"/>
    </row>
    <row r="103" spans="2:25">
      <c r="B103" s="49" t="str">
        <f t="shared" si="2"/>
        <v/>
      </c>
      <c r="C103" s="338"/>
      <c r="D103" s="18"/>
      <c r="E103" s="33"/>
      <c r="F103" s="19"/>
      <c r="G103" s="20"/>
      <c r="H103" s="21"/>
      <c r="I103" s="21"/>
      <c r="J103" s="21"/>
      <c r="K103" s="465"/>
      <c r="L103" s="164" t="str">
        <f t="shared" si="3"/>
        <v xml:space="preserve"> </v>
      </c>
      <c r="M103" s="465" t="str">
        <f>IF(ISBLANK(D103)," ",(((H103-J103)+I103)*0.225))</f>
        <v xml:space="preserve"> </v>
      </c>
      <c r="N103" s="465"/>
      <c r="O103" s="22"/>
      <c r="P103" s="50"/>
      <c r="R103" s="16"/>
      <c r="S103" s="16"/>
      <c r="T103" s="16"/>
      <c r="U103" s="16"/>
      <c r="V103" s="16"/>
      <c r="W103" s="16"/>
      <c r="X103" s="16"/>
      <c r="Y103" s="16"/>
    </row>
    <row r="104" spans="2:25">
      <c r="B104" s="49" t="str">
        <f t="shared" si="2"/>
        <v/>
      </c>
      <c r="C104" s="338"/>
      <c r="D104" s="18"/>
      <c r="E104" s="33"/>
      <c r="F104" s="19"/>
      <c r="G104" s="20"/>
      <c r="H104" s="21"/>
      <c r="I104" s="21"/>
      <c r="J104" s="21"/>
      <c r="K104" s="465"/>
      <c r="L104" s="164" t="str">
        <f t="shared" si="3"/>
        <v xml:space="preserve"> </v>
      </c>
      <c r="M104" s="465" t="str">
        <f>IF(ISBLANK(D104)," ",(((H104-J104)+I104)*0.225))</f>
        <v xml:space="preserve"> </v>
      </c>
      <c r="N104" s="465"/>
      <c r="O104" s="22"/>
      <c r="P104" s="50"/>
      <c r="R104" s="16"/>
      <c r="S104" s="16"/>
      <c r="T104" s="16"/>
      <c r="U104" s="16"/>
      <c r="V104" s="16"/>
      <c r="W104" s="16"/>
      <c r="X104" s="16"/>
      <c r="Y104" s="16"/>
    </row>
    <row r="105" spans="2:25">
      <c r="B105" s="49" t="str">
        <f t="shared" si="2"/>
        <v/>
      </c>
      <c r="C105" s="338"/>
      <c r="D105" s="18"/>
      <c r="E105" s="33"/>
      <c r="F105" s="19"/>
      <c r="G105" s="20"/>
      <c r="H105" s="21"/>
      <c r="I105" s="21"/>
      <c r="J105" s="21"/>
      <c r="K105" s="465"/>
      <c r="L105" s="164" t="str">
        <f t="shared" si="3"/>
        <v xml:space="preserve"> </v>
      </c>
      <c r="M105" s="465" t="str">
        <f>IF(ISBLANK(D105)," ",(((H105-J105)+I105)*0.225))</f>
        <v xml:space="preserve"> </v>
      </c>
      <c r="N105" s="465"/>
      <c r="O105" s="22"/>
      <c r="P105" s="50"/>
      <c r="R105" s="16"/>
      <c r="S105" s="16"/>
      <c r="T105" s="16"/>
      <c r="U105" s="16"/>
      <c r="V105" s="16"/>
      <c r="W105" s="16"/>
      <c r="X105" s="16"/>
      <c r="Y105" s="16"/>
    </row>
    <row r="106" spans="2:25">
      <c r="B106" s="49" t="str">
        <f t="shared" si="2"/>
        <v/>
      </c>
      <c r="C106" s="338"/>
      <c r="D106" s="18"/>
      <c r="E106" s="33"/>
      <c r="F106" s="19"/>
      <c r="G106" s="20"/>
      <c r="H106" s="21"/>
      <c r="I106" s="21"/>
      <c r="J106" s="21"/>
      <c r="K106" s="465"/>
      <c r="L106" s="164" t="str">
        <f t="shared" si="3"/>
        <v xml:space="preserve"> </v>
      </c>
      <c r="M106" s="465" t="str">
        <f>IF(ISBLANK(D106)," ",(((H106-J106)+I106)*0.225))</f>
        <v xml:space="preserve"> </v>
      </c>
      <c r="N106" s="465"/>
      <c r="O106" s="22"/>
      <c r="P106" s="50"/>
      <c r="R106" s="16"/>
      <c r="S106" s="16"/>
      <c r="T106" s="16"/>
      <c r="U106" s="16"/>
      <c r="V106" s="16"/>
      <c r="W106" s="16"/>
      <c r="X106" s="16"/>
      <c r="Y106" s="16"/>
    </row>
    <row r="107" spans="2:25">
      <c r="B107" s="49" t="str">
        <f t="shared" si="2"/>
        <v/>
      </c>
      <c r="C107" s="338"/>
      <c r="D107" s="18"/>
      <c r="E107" s="33"/>
      <c r="F107" s="19"/>
      <c r="G107" s="20"/>
      <c r="H107" s="21"/>
      <c r="I107" s="21"/>
      <c r="J107" s="21"/>
      <c r="K107" s="465"/>
      <c r="L107" s="164" t="str">
        <f t="shared" si="3"/>
        <v xml:space="preserve"> </v>
      </c>
      <c r="M107" s="465" t="str">
        <f>IF(ISBLANK(D107)," ",(((H107-J107)+I107)*0.225))</f>
        <v xml:space="preserve"> </v>
      </c>
      <c r="N107" s="465"/>
      <c r="O107" s="22"/>
      <c r="P107" s="50"/>
      <c r="R107" s="16"/>
      <c r="S107" s="16"/>
      <c r="T107" s="16"/>
      <c r="U107" s="16"/>
      <c r="V107" s="16"/>
      <c r="W107" s="16"/>
      <c r="X107" s="16"/>
      <c r="Y107" s="16"/>
    </row>
    <row r="108" spans="2:25">
      <c r="B108" s="49" t="str">
        <f t="shared" si="2"/>
        <v/>
      </c>
      <c r="C108" s="338"/>
      <c r="D108" s="18"/>
      <c r="E108" s="33"/>
      <c r="F108" s="19"/>
      <c r="G108" s="20"/>
      <c r="H108" s="21"/>
      <c r="I108" s="21"/>
      <c r="J108" s="21"/>
      <c r="K108" s="465"/>
      <c r="L108" s="164" t="str">
        <f t="shared" si="3"/>
        <v xml:space="preserve"> </v>
      </c>
      <c r="M108" s="465" t="str">
        <f>IF(ISBLANK(D108)," ",(((H108-J108)+I108)*0.225))</f>
        <v xml:space="preserve"> </v>
      </c>
      <c r="N108" s="465"/>
      <c r="O108" s="22"/>
      <c r="P108" s="50"/>
      <c r="R108" s="16"/>
      <c r="S108" s="16"/>
      <c r="T108" s="16"/>
      <c r="U108" s="16"/>
      <c r="V108" s="16"/>
      <c r="W108" s="16"/>
      <c r="X108" s="16"/>
      <c r="Y108" s="16"/>
    </row>
    <row r="109" spans="2:25">
      <c r="B109" s="49" t="str">
        <f t="shared" si="2"/>
        <v/>
      </c>
      <c r="C109" s="338"/>
      <c r="D109" s="18"/>
      <c r="E109" s="33"/>
      <c r="F109" s="19"/>
      <c r="G109" s="20"/>
      <c r="H109" s="21"/>
      <c r="I109" s="21"/>
      <c r="J109" s="21"/>
      <c r="K109" s="465"/>
      <c r="L109" s="164" t="str">
        <f t="shared" si="3"/>
        <v xml:space="preserve"> </v>
      </c>
      <c r="M109" s="465" t="str">
        <f>IF(ISBLANK(D109)," ",(((H109-J109)+I109)*0.225))</f>
        <v xml:space="preserve"> </v>
      </c>
      <c r="N109" s="465"/>
      <c r="O109" s="22"/>
      <c r="P109" s="50" t="str">
        <f>IFERROR((L109+(L109*O109))/M109," ")</f>
        <v xml:space="preserve"> </v>
      </c>
      <c r="R109" s="16"/>
      <c r="S109" s="16"/>
      <c r="T109" s="16"/>
      <c r="U109" s="16"/>
      <c r="V109" s="16"/>
      <c r="W109" s="16"/>
      <c r="X109" s="16"/>
      <c r="Y109" s="16"/>
    </row>
    <row r="110" spans="2:25" s="165" customFormat="1">
      <c r="B110" s="236"/>
      <c r="C110" s="330"/>
      <c r="D110" s="331"/>
      <c r="E110" s="332"/>
      <c r="F110" s="333"/>
      <c r="G110" s="334"/>
      <c r="H110" s="335"/>
      <c r="I110" s="335"/>
      <c r="J110" s="335"/>
      <c r="K110" s="466"/>
      <c r="L110" s="336"/>
      <c r="M110" s="236"/>
      <c r="N110" s="236"/>
      <c r="O110" s="237"/>
      <c r="P110" s="235"/>
    </row>
    <row r="111" spans="2:25">
      <c r="B111" s="361" t="s">
        <v>34</v>
      </c>
      <c r="C111" s="362"/>
      <c r="D111" s="362"/>
      <c r="E111" s="362"/>
      <c r="F111" s="362"/>
      <c r="G111" s="363"/>
      <c r="H111" s="21">
        <f>SUM(H5:H109)</f>
        <v>1000000</v>
      </c>
      <c r="I111" s="21"/>
      <c r="J111" s="21">
        <f>SUM(J24:J44)</f>
        <v>0</v>
      </c>
      <c r="K111" s="465"/>
      <c r="L111" s="168">
        <f>SUM(L5:L44)</f>
        <v>612500</v>
      </c>
      <c r="M111" s="167"/>
      <c r="N111" s="167"/>
      <c r="O111" s="167"/>
      <c r="P111" s="167"/>
      <c r="Q111" s="165"/>
      <c r="R111" s="16"/>
      <c r="S111" s="16"/>
      <c r="T111" s="16"/>
      <c r="U111" s="16"/>
      <c r="V111" s="16"/>
      <c r="W111" s="16"/>
      <c r="X111" s="16"/>
      <c r="Y111" s="16"/>
    </row>
    <row r="112" spans="2:25">
      <c r="H112" s="260">
        <f>H111-J111</f>
        <v>1000000</v>
      </c>
      <c r="I112" s="260"/>
      <c r="R112" s="16"/>
      <c r="S112" s="16"/>
      <c r="T112" s="16"/>
      <c r="U112" s="16"/>
      <c r="V112" s="16"/>
      <c r="W112" s="16"/>
      <c r="X112" s="16"/>
      <c r="Y112" s="16"/>
    </row>
    <row r="113" spans="10:25">
      <c r="R113" s="16"/>
      <c r="S113" s="16"/>
      <c r="T113" s="16"/>
      <c r="U113" s="16"/>
      <c r="V113" s="16"/>
      <c r="W113" s="16"/>
      <c r="X113" s="16"/>
      <c r="Y113" s="16"/>
    </row>
    <row r="114" spans="10:25">
      <c r="J114" s="28">
        <f>L111-H112</f>
        <v>-387500</v>
      </c>
      <c r="L114" s="235"/>
      <c r="M114" s="236"/>
      <c r="N114" s="236"/>
      <c r="O114" s="237"/>
      <c r="P114" s="235"/>
      <c r="R114" s="16"/>
      <c r="S114" s="16"/>
      <c r="T114" s="16"/>
      <c r="U114" s="16"/>
      <c r="V114" s="16"/>
      <c r="W114" s="16"/>
      <c r="X114" s="16"/>
      <c r="Y114" s="16"/>
    </row>
    <row r="115" spans="10:25">
      <c r="L115" s="235"/>
      <c r="M115" s="236"/>
      <c r="N115" s="236"/>
      <c r="O115" s="237"/>
      <c r="P115" s="235"/>
    </row>
    <row r="116" spans="10:25">
      <c r="L116" s="235"/>
      <c r="M116" s="236"/>
      <c r="N116" s="236"/>
      <c r="O116" s="237"/>
      <c r="P116" s="235"/>
    </row>
    <row r="117" spans="10:25">
      <c r="L117" s="235"/>
      <c r="M117" s="236"/>
      <c r="N117" s="236"/>
      <c r="O117" s="237"/>
      <c r="P117" s="235"/>
      <c r="Q117" s="29"/>
    </row>
    <row r="118" spans="10:25">
      <c r="J118" s="228"/>
      <c r="K118" s="468"/>
      <c r="L118" s="235"/>
      <c r="M118" s="236"/>
      <c r="N118" s="236"/>
      <c r="O118" s="237"/>
      <c r="P118" s="235"/>
    </row>
    <row r="119" spans="10:25">
      <c r="L119" s="235"/>
      <c r="M119" s="236"/>
      <c r="N119" s="236"/>
      <c r="O119" s="237"/>
      <c r="P119" s="235"/>
    </row>
    <row r="120" spans="10:25">
      <c r="L120" s="235"/>
      <c r="M120" s="236"/>
      <c r="N120" s="236"/>
      <c r="O120" s="237"/>
      <c r="P120" s="235"/>
    </row>
    <row r="121" spans="10:25">
      <c r="L121" s="235"/>
      <c r="M121" s="236"/>
      <c r="N121" s="236"/>
      <c r="O121" s="237"/>
      <c r="P121" s="235"/>
    </row>
    <row r="122" spans="10:25">
      <c r="L122" s="235"/>
      <c r="M122" s="236"/>
      <c r="N122" s="236"/>
      <c r="O122" s="237"/>
      <c r="P122" s="235"/>
    </row>
    <row r="123" spans="10:25">
      <c r="L123" s="235"/>
      <c r="M123" s="236"/>
      <c r="N123" s="236"/>
      <c r="O123" s="237"/>
      <c r="P123" s="235"/>
    </row>
    <row r="124" spans="10:25">
      <c r="L124" s="235"/>
      <c r="M124" s="236"/>
      <c r="N124" s="236"/>
      <c r="O124" s="237"/>
      <c r="P124" s="235"/>
    </row>
  </sheetData>
  <protectedRanges>
    <protectedRange sqref="B5:B110" name="Range1"/>
  </protectedRanges>
  <mergeCells count="3">
    <mergeCell ref="B1:P1"/>
    <mergeCell ref="B2:P2"/>
    <mergeCell ref="B111:G111"/>
  </mergeCells>
  <pageMargins left="0.17" right="0.12" top="0.22" bottom="0.26" header="0.12"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AI61"/>
  <sheetViews>
    <sheetView showGridLines="0" topLeftCell="A15" zoomScale="120" zoomScaleNormal="120" workbookViewId="0">
      <selection activeCell="G21" sqref="G21"/>
    </sheetView>
  </sheetViews>
  <sheetFormatPr defaultRowHeight="12"/>
  <cols>
    <col min="1" max="1" width="1.140625" style="134" customWidth="1"/>
    <col min="2" max="2" width="18.42578125" style="134" customWidth="1"/>
    <col min="3" max="3" width="2" style="134" customWidth="1"/>
    <col min="4" max="4" width="3.140625" style="134" customWidth="1"/>
    <col min="5" max="5" width="17.28515625" style="134" customWidth="1"/>
    <col min="6" max="6" width="2.42578125" style="134" customWidth="1"/>
    <col min="7" max="7" width="0.85546875" style="134" customWidth="1"/>
    <col min="8" max="8" width="22.5703125" style="134" customWidth="1"/>
    <col min="9" max="9" width="13.140625" style="134" customWidth="1"/>
    <col min="10" max="10" width="17.85546875" style="144" customWidth="1"/>
    <col min="11" max="11" width="0.85546875" style="134" customWidth="1"/>
    <col min="12" max="12" width="0.7109375" style="134" customWidth="1"/>
    <col min="13" max="13" width="18.42578125" style="134" customWidth="1"/>
    <col min="14" max="14" width="2" style="134" customWidth="1"/>
    <col min="15" max="15" width="3.140625" style="134" customWidth="1"/>
    <col min="16" max="16" width="17.28515625" style="134" customWidth="1"/>
    <col min="17" max="17" width="2.42578125" style="134" customWidth="1"/>
    <col min="18" max="18" width="1.28515625" style="134" customWidth="1"/>
    <col min="19" max="19" width="19" style="134" customWidth="1"/>
    <col min="20" max="20" width="9" style="134" customWidth="1"/>
    <col min="21" max="21" width="13.7109375" style="134" customWidth="1"/>
    <col min="22" max="22" width="0.7109375" style="134" customWidth="1"/>
    <col min="23" max="23" width="11.7109375" style="134" customWidth="1"/>
    <col min="24" max="24" width="6" style="134" customWidth="1"/>
    <col min="25" max="25" width="2.7109375" style="134" customWidth="1"/>
    <col min="26" max="26" width="6.140625" style="134" customWidth="1"/>
    <col min="27" max="29" width="2.140625" style="134" customWidth="1"/>
    <col min="30" max="30" width="13.42578125" style="134" customWidth="1"/>
    <col min="31" max="31" width="3.42578125" style="134" customWidth="1"/>
    <col min="32" max="32" width="18" style="134" customWidth="1"/>
    <col min="33" max="33" width="19.5703125" style="135" customWidth="1"/>
    <col min="34" max="34" width="15.85546875" style="135" customWidth="1"/>
    <col min="35" max="35" width="9.140625" style="135"/>
    <col min="36" max="248" width="9.140625" style="134"/>
    <col min="249" max="249" width="1.140625" style="134" customWidth="1"/>
    <col min="250" max="250" width="18.42578125" style="134" customWidth="1"/>
    <col min="251" max="251" width="2" style="134" customWidth="1"/>
    <col min="252" max="252" width="3.140625" style="134" customWidth="1"/>
    <col min="253" max="253" width="17.28515625" style="134" customWidth="1"/>
    <col min="254" max="254" width="2.42578125" style="134" customWidth="1"/>
    <col min="255" max="255" width="0.85546875" style="134" customWidth="1"/>
    <col min="256" max="256" width="34.140625" style="134" customWidth="1"/>
    <col min="257" max="257" width="17.85546875" style="134" customWidth="1"/>
    <col min="258" max="258" width="0.85546875" style="134" customWidth="1"/>
    <col min="259" max="259" width="0.7109375" style="134" customWidth="1"/>
    <col min="260" max="260" width="18.42578125" style="134" customWidth="1"/>
    <col min="261" max="261" width="2" style="134" customWidth="1"/>
    <col min="262" max="262" width="3.140625" style="134" customWidth="1"/>
    <col min="263" max="263" width="17.28515625" style="134" customWidth="1"/>
    <col min="264" max="264" width="2.42578125" style="134" customWidth="1"/>
    <col min="265" max="265" width="0.85546875" style="134" customWidth="1"/>
    <col min="266" max="266" width="51.28515625" style="134" customWidth="1"/>
    <col min="267" max="267" width="0.85546875" style="134" customWidth="1"/>
    <col min="268" max="268" width="9.140625" style="134"/>
    <col min="269" max="269" width="5.42578125" style="134" customWidth="1"/>
    <col min="270" max="270" width="6" style="134" customWidth="1"/>
    <col min="271" max="271" width="2.7109375" style="134" customWidth="1"/>
    <col min="272" max="272" width="6.140625" style="134" customWidth="1"/>
    <col min="273" max="275" width="2.140625" style="134" customWidth="1"/>
    <col min="276" max="276" width="13.42578125" style="134" customWidth="1"/>
    <col min="277" max="277" width="3.28515625" style="134" customWidth="1"/>
    <col min="278" max="278" width="10" style="134" customWidth="1"/>
    <col min="279" max="279" width="5.42578125" style="134" customWidth="1"/>
    <col min="280" max="280" width="6" style="134" customWidth="1"/>
    <col min="281" max="281" width="2.7109375" style="134" customWidth="1"/>
    <col min="282" max="282" width="6.140625" style="134" customWidth="1"/>
    <col min="283" max="285" width="2.140625" style="134" customWidth="1"/>
    <col min="286" max="286" width="13.42578125" style="134" customWidth="1"/>
    <col min="287" max="287" width="3.42578125" style="134" customWidth="1"/>
    <col min="288" max="288" width="18" style="134" customWidth="1"/>
    <col min="289" max="289" width="19.5703125" style="134" customWidth="1"/>
    <col min="290" max="290" width="15.85546875" style="134" customWidth="1"/>
    <col min="291" max="504" width="9.140625" style="134"/>
    <col min="505" max="505" width="1.140625" style="134" customWidth="1"/>
    <col min="506" max="506" width="18.42578125" style="134" customWidth="1"/>
    <col min="507" max="507" width="2" style="134" customWidth="1"/>
    <col min="508" max="508" width="3.140625" style="134" customWidth="1"/>
    <col min="509" max="509" width="17.28515625" style="134" customWidth="1"/>
    <col min="510" max="510" width="2.42578125" style="134" customWidth="1"/>
    <col min="511" max="511" width="0.85546875" style="134" customWidth="1"/>
    <col min="512" max="512" width="34.140625" style="134" customWidth="1"/>
    <col min="513" max="513" width="17.85546875" style="134" customWidth="1"/>
    <col min="514" max="514" width="0.85546875" style="134" customWidth="1"/>
    <col min="515" max="515" width="0.7109375" style="134" customWidth="1"/>
    <col min="516" max="516" width="18.42578125" style="134" customWidth="1"/>
    <col min="517" max="517" width="2" style="134" customWidth="1"/>
    <col min="518" max="518" width="3.140625" style="134" customWidth="1"/>
    <col min="519" max="519" width="17.28515625" style="134" customWidth="1"/>
    <col min="520" max="520" width="2.42578125" style="134" customWidth="1"/>
    <col min="521" max="521" width="0.85546875" style="134" customWidth="1"/>
    <col min="522" max="522" width="51.28515625" style="134" customWidth="1"/>
    <col min="523" max="523" width="0.85546875" style="134" customWidth="1"/>
    <col min="524" max="524" width="9.140625" style="134"/>
    <col min="525" max="525" width="5.42578125" style="134" customWidth="1"/>
    <col min="526" max="526" width="6" style="134" customWidth="1"/>
    <col min="527" max="527" width="2.7109375" style="134" customWidth="1"/>
    <col min="528" max="528" width="6.140625" style="134" customWidth="1"/>
    <col min="529" max="531" width="2.140625" style="134" customWidth="1"/>
    <col min="532" max="532" width="13.42578125" style="134" customWidth="1"/>
    <col min="533" max="533" width="3.28515625" style="134" customWidth="1"/>
    <col min="534" max="534" width="10" style="134" customWidth="1"/>
    <col min="535" max="535" width="5.42578125" style="134" customWidth="1"/>
    <col min="536" max="536" width="6" style="134" customWidth="1"/>
    <col min="537" max="537" width="2.7109375" style="134" customWidth="1"/>
    <col min="538" max="538" width="6.140625" style="134" customWidth="1"/>
    <col min="539" max="541" width="2.140625" style="134" customWidth="1"/>
    <col min="542" max="542" width="13.42578125" style="134" customWidth="1"/>
    <col min="543" max="543" width="3.42578125" style="134" customWidth="1"/>
    <col min="544" max="544" width="18" style="134" customWidth="1"/>
    <col min="545" max="545" width="19.5703125" style="134" customWidth="1"/>
    <col min="546" max="546" width="15.85546875" style="134" customWidth="1"/>
    <col min="547" max="760" width="9.140625" style="134"/>
    <col min="761" max="761" width="1.140625" style="134" customWidth="1"/>
    <col min="762" max="762" width="18.42578125" style="134" customWidth="1"/>
    <col min="763" max="763" width="2" style="134" customWidth="1"/>
    <col min="764" max="764" width="3.140625" style="134" customWidth="1"/>
    <col min="765" max="765" width="17.28515625" style="134" customWidth="1"/>
    <col min="766" max="766" width="2.42578125" style="134" customWidth="1"/>
    <col min="767" max="767" width="0.85546875" style="134" customWidth="1"/>
    <col min="768" max="768" width="34.140625" style="134" customWidth="1"/>
    <col min="769" max="769" width="17.85546875" style="134" customWidth="1"/>
    <col min="770" max="770" width="0.85546875" style="134" customWidth="1"/>
    <col min="771" max="771" width="0.7109375" style="134" customWidth="1"/>
    <col min="772" max="772" width="18.42578125" style="134" customWidth="1"/>
    <col min="773" max="773" width="2" style="134" customWidth="1"/>
    <col min="774" max="774" width="3.140625" style="134" customWidth="1"/>
    <col min="775" max="775" width="17.28515625" style="134" customWidth="1"/>
    <col min="776" max="776" width="2.42578125" style="134" customWidth="1"/>
    <col min="777" max="777" width="0.85546875" style="134" customWidth="1"/>
    <col min="778" max="778" width="51.28515625" style="134" customWidth="1"/>
    <col min="779" max="779" width="0.85546875" style="134" customWidth="1"/>
    <col min="780" max="780" width="9.140625" style="134"/>
    <col min="781" max="781" width="5.42578125" style="134" customWidth="1"/>
    <col min="782" max="782" width="6" style="134" customWidth="1"/>
    <col min="783" max="783" width="2.7109375" style="134" customWidth="1"/>
    <col min="784" max="784" width="6.140625" style="134" customWidth="1"/>
    <col min="785" max="787" width="2.140625" style="134" customWidth="1"/>
    <col min="788" max="788" width="13.42578125" style="134" customWidth="1"/>
    <col min="789" max="789" width="3.28515625" style="134" customWidth="1"/>
    <col min="790" max="790" width="10" style="134" customWidth="1"/>
    <col min="791" max="791" width="5.42578125" style="134" customWidth="1"/>
    <col min="792" max="792" width="6" style="134" customWidth="1"/>
    <col min="793" max="793" width="2.7109375" style="134" customWidth="1"/>
    <col min="794" max="794" width="6.140625" style="134" customWidth="1"/>
    <col min="795" max="797" width="2.140625" style="134" customWidth="1"/>
    <col min="798" max="798" width="13.42578125" style="134" customWidth="1"/>
    <col min="799" max="799" width="3.42578125" style="134" customWidth="1"/>
    <col min="800" max="800" width="18" style="134" customWidth="1"/>
    <col min="801" max="801" width="19.5703125" style="134" customWidth="1"/>
    <col min="802" max="802" width="15.85546875" style="134" customWidth="1"/>
    <col min="803" max="1016" width="9.140625" style="134"/>
    <col min="1017" max="1017" width="1.140625" style="134" customWidth="1"/>
    <col min="1018" max="1018" width="18.42578125" style="134" customWidth="1"/>
    <col min="1019" max="1019" width="2" style="134" customWidth="1"/>
    <col min="1020" max="1020" width="3.140625" style="134" customWidth="1"/>
    <col min="1021" max="1021" width="17.28515625" style="134" customWidth="1"/>
    <col min="1022" max="1022" width="2.42578125" style="134" customWidth="1"/>
    <col min="1023" max="1023" width="0.85546875" style="134" customWidth="1"/>
    <col min="1024" max="1024" width="34.140625" style="134" customWidth="1"/>
    <col min="1025" max="1025" width="17.85546875" style="134" customWidth="1"/>
    <col min="1026" max="1026" width="0.85546875" style="134" customWidth="1"/>
    <col min="1027" max="1027" width="0.7109375" style="134" customWidth="1"/>
    <col min="1028" max="1028" width="18.42578125" style="134" customWidth="1"/>
    <col min="1029" max="1029" width="2" style="134" customWidth="1"/>
    <col min="1030" max="1030" width="3.140625" style="134" customWidth="1"/>
    <col min="1031" max="1031" width="17.28515625" style="134" customWidth="1"/>
    <col min="1032" max="1032" width="2.42578125" style="134" customWidth="1"/>
    <col min="1033" max="1033" width="0.85546875" style="134" customWidth="1"/>
    <col min="1034" max="1034" width="51.28515625" style="134" customWidth="1"/>
    <col min="1035" max="1035" width="0.85546875" style="134" customWidth="1"/>
    <col min="1036" max="1036" width="9.140625" style="134"/>
    <col min="1037" max="1037" width="5.42578125" style="134" customWidth="1"/>
    <col min="1038" max="1038" width="6" style="134" customWidth="1"/>
    <col min="1039" max="1039" width="2.7109375" style="134" customWidth="1"/>
    <col min="1040" max="1040" width="6.140625" style="134" customWidth="1"/>
    <col min="1041" max="1043" width="2.140625" style="134" customWidth="1"/>
    <col min="1044" max="1044" width="13.42578125" style="134" customWidth="1"/>
    <col min="1045" max="1045" width="3.28515625" style="134" customWidth="1"/>
    <col min="1046" max="1046" width="10" style="134" customWidth="1"/>
    <col min="1047" max="1047" width="5.42578125" style="134" customWidth="1"/>
    <col min="1048" max="1048" width="6" style="134" customWidth="1"/>
    <col min="1049" max="1049" width="2.7109375" style="134" customWidth="1"/>
    <col min="1050" max="1050" width="6.140625" style="134" customWidth="1"/>
    <col min="1051" max="1053" width="2.140625" style="134" customWidth="1"/>
    <col min="1054" max="1054" width="13.42578125" style="134" customWidth="1"/>
    <col min="1055" max="1055" width="3.42578125" style="134" customWidth="1"/>
    <col min="1056" max="1056" width="18" style="134" customWidth="1"/>
    <col min="1057" max="1057" width="19.5703125" style="134" customWidth="1"/>
    <col min="1058" max="1058" width="15.85546875" style="134" customWidth="1"/>
    <col min="1059" max="1272" width="9.140625" style="134"/>
    <col min="1273" max="1273" width="1.140625" style="134" customWidth="1"/>
    <col min="1274" max="1274" width="18.42578125" style="134" customWidth="1"/>
    <col min="1275" max="1275" width="2" style="134" customWidth="1"/>
    <col min="1276" max="1276" width="3.140625" style="134" customWidth="1"/>
    <col min="1277" max="1277" width="17.28515625" style="134" customWidth="1"/>
    <col min="1278" max="1278" width="2.42578125" style="134" customWidth="1"/>
    <col min="1279" max="1279" width="0.85546875" style="134" customWidth="1"/>
    <col min="1280" max="1280" width="34.140625" style="134" customWidth="1"/>
    <col min="1281" max="1281" width="17.85546875" style="134" customWidth="1"/>
    <col min="1282" max="1282" width="0.85546875" style="134" customWidth="1"/>
    <col min="1283" max="1283" width="0.7109375" style="134" customWidth="1"/>
    <col min="1284" max="1284" width="18.42578125" style="134" customWidth="1"/>
    <col min="1285" max="1285" width="2" style="134" customWidth="1"/>
    <col min="1286" max="1286" width="3.140625" style="134" customWidth="1"/>
    <col min="1287" max="1287" width="17.28515625" style="134" customWidth="1"/>
    <col min="1288" max="1288" width="2.42578125" style="134" customWidth="1"/>
    <col min="1289" max="1289" width="0.85546875" style="134" customWidth="1"/>
    <col min="1290" max="1290" width="51.28515625" style="134" customWidth="1"/>
    <col min="1291" max="1291" width="0.85546875" style="134" customWidth="1"/>
    <col min="1292" max="1292" width="9.140625" style="134"/>
    <col min="1293" max="1293" width="5.42578125" style="134" customWidth="1"/>
    <col min="1294" max="1294" width="6" style="134" customWidth="1"/>
    <col min="1295" max="1295" width="2.7109375" style="134" customWidth="1"/>
    <col min="1296" max="1296" width="6.140625" style="134" customWidth="1"/>
    <col min="1297" max="1299" width="2.140625" style="134" customWidth="1"/>
    <col min="1300" max="1300" width="13.42578125" style="134" customWidth="1"/>
    <col min="1301" max="1301" width="3.28515625" style="134" customWidth="1"/>
    <col min="1302" max="1302" width="10" style="134" customWidth="1"/>
    <col min="1303" max="1303" width="5.42578125" style="134" customWidth="1"/>
    <col min="1304" max="1304" width="6" style="134" customWidth="1"/>
    <col min="1305" max="1305" width="2.7109375" style="134" customWidth="1"/>
    <col min="1306" max="1306" width="6.140625" style="134" customWidth="1"/>
    <col min="1307" max="1309" width="2.140625" style="134" customWidth="1"/>
    <col min="1310" max="1310" width="13.42578125" style="134" customWidth="1"/>
    <col min="1311" max="1311" width="3.42578125" style="134" customWidth="1"/>
    <col min="1312" max="1312" width="18" style="134" customWidth="1"/>
    <col min="1313" max="1313" width="19.5703125" style="134" customWidth="1"/>
    <col min="1314" max="1314" width="15.85546875" style="134" customWidth="1"/>
    <col min="1315" max="1528" width="9.140625" style="134"/>
    <col min="1529" max="1529" width="1.140625" style="134" customWidth="1"/>
    <col min="1530" max="1530" width="18.42578125" style="134" customWidth="1"/>
    <col min="1531" max="1531" width="2" style="134" customWidth="1"/>
    <col min="1532" max="1532" width="3.140625" style="134" customWidth="1"/>
    <col min="1533" max="1533" width="17.28515625" style="134" customWidth="1"/>
    <col min="1534" max="1534" width="2.42578125" style="134" customWidth="1"/>
    <col min="1535" max="1535" width="0.85546875" style="134" customWidth="1"/>
    <col min="1536" max="1536" width="34.140625" style="134" customWidth="1"/>
    <col min="1537" max="1537" width="17.85546875" style="134" customWidth="1"/>
    <col min="1538" max="1538" width="0.85546875" style="134" customWidth="1"/>
    <col min="1539" max="1539" width="0.7109375" style="134" customWidth="1"/>
    <col min="1540" max="1540" width="18.42578125" style="134" customWidth="1"/>
    <col min="1541" max="1541" width="2" style="134" customWidth="1"/>
    <col min="1542" max="1542" width="3.140625" style="134" customWidth="1"/>
    <col min="1543" max="1543" width="17.28515625" style="134" customWidth="1"/>
    <col min="1544" max="1544" width="2.42578125" style="134" customWidth="1"/>
    <col min="1545" max="1545" width="0.85546875" style="134" customWidth="1"/>
    <col min="1546" max="1546" width="51.28515625" style="134" customWidth="1"/>
    <col min="1547" max="1547" width="0.85546875" style="134" customWidth="1"/>
    <col min="1548" max="1548" width="9.140625" style="134"/>
    <col min="1549" max="1549" width="5.42578125" style="134" customWidth="1"/>
    <col min="1550" max="1550" width="6" style="134" customWidth="1"/>
    <col min="1551" max="1551" width="2.7109375" style="134" customWidth="1"/>
    <col min="1552" max="1552" width="6.140625" style="134" customWidth="1"/>
    <col min="1553" max="1555" width="2.140625" style="134" customWidth="1"/>
    <col min="1556" max="1556" width="13.42578125" style="134" customWidth="1"/>
    <col min="1557" max="1557" width="3.28515625" style="134" customWidth="1"/>
    <col min="1558" max="1558" width="10" style="134" customWidth="1"/>
    <col min="1559" max="1559" width="5.42578125" style="134" customWidth="1"/>
    <col min="1560" max="1560" width="6" style="134" customWidth="1"/>
    <col min="1561" max="1561" width="2.7109375" style="134" customWidth="1"/>
    <col min="1562" max="1562" width="6.140625" style="134" customWidth="1"/>
    <col min="1563" max="1565" width="2.140625" style="134" customWidth="1"/>
    <col min="1566" max="1566" width="13.42578125" style="134" customWidth="1"/>
    <col min="1567" max="1567" width="3.42578125" style="134" customWidth="1"/>
    <col min="1568" max="1568" width="18" style="134" customWidth="1"/>
    <col min="1569" max="1569" width="19.5703125" style="134" customWidth="1"/>
    <col min="1570" max="1570" width="15.85546875" style="134" customWidth="1"/>
    <col min="1571" max="1784" width="9.140625" style="134"/>
    <col min="1785" max="1785" width="1.140625" style="134" customWidth="1"/>
    <col min="1786" max="1786" width="18.42578125" style="134" customWidth="1"/>
    <col min="1787" max="1787" width="2" style="134" customWidth="1"/>
    <col min="1788" max="1788" width="3.140625" style="134" customWidth="1"/>
    <col min="1789" max="1789" width="17.28515625" style="134" customWidth="1"/>
    <col min="1790" max="1790" width="2.42578125" style="134" customWidth="1"/>
    <col min="1791" max="1791" width="0.85546875" style="134" customWidth="1"/>
    <col min="1792" max="1792" width="34.140625" style="134" customWidth="1"/>
    <col min="1793" max="1793" width="17.85546875" style="134" customWidth="1"/>
    <col min="1794" max="1794" width="0.85546875" style="134" customWidth="1"/>
    <col min="1795" max="1795" width="0.7109375" style="134" customWidth="1"/>
    <col min="1796" max="1796" width="18.42578125" style="134" customWidth="1"/>
    <col min="1797" max="1797" width="2" style="134" customWidth="1"/>
    <col min="1798" max="1798" width="3.140625" style="134" customWidth="1"/>
    <col min="1799" max="1799" width="17.28515625" style="134" customWidth="1"/>
    <col min="1800" max="1800" width="2.42578125" style="134" customWidth="1"/>
    <col min="1801" max="1801" width="0.85546875" style="134" customWidth="1"/>
    <col min="1802" max="1802" width="51.28515625" style="134" customWidth="1"/>
    <col min="1803" max="1803" width="0.85546875" style="134" customWidth="1"/>
    <col min="1804" max="1804" width="9.140625" style="134"/>
    <col min="1805" max="1805" width="5.42578125" style="134" customWidth="1"/>
    <col min="1806" max="1806" width="6" style="134" customWidth="1"/>
    <col min="1807" max="1807" width="2.7109375" style="134" customWidth="1"/>
    <col min="1808" max="1808" width="6.140625" style="134" customWidth="1"/>
    <col min="1809" max="1811" width="2.140625" style="134" customWidth="1"/>
    <col min="1812" max="1812" width="13.42578125" style="134" customWidth="1"/>
    <col min="1813" max="1813" width="3.28515625" style="134" customWidth="1"/>
    <col min="1814" max="1814" width="10" style="134" customWidth="1"/>
    <col min="1815" max="1815" width="5.42578125" style="134" customWidth="1"/>
    <col min="1816" max="1816" width="6" style="134" customWidth="1"/>
    <col min="1817" max="1817" width="2.7109375" style="134" customWidth="1"/>
    <col min="1818" max="1818" width="6.140625" style="134" customWidth="1"/>
    <col min="1819" max="1821" width="2.140625" style="134" customWidth="1"/>
    <col min="1822" max="1822" width="13.42578125" style="134" customWidth="1"/>
    <col min="1823" max="1823" width="3.42578125" style="134" customWidth="1"/>
    <col min="1824" max="1824" width="18" style="134" customWidth="1"/>
    <col min="1825" max="1825" width="19.5703125" style="134" customWidth="1"/>
    <col min="1826" max="1826" width="15.85546875" style="134" customWidth="1"/>
    <col min="1827" max="2040" width="9.140625" style="134"/>
    <col min="2041" max="2041" width="1.140625" style="134" customWidth="1"/>
    <col min="2042" max="2042" width="18.42578125" style="134" customWidth="1"/>
    <col min="2043" max="2043" width="2" style="134" customWidth="1"/>
    <col min="2044" max="2044" width="3.140625" style="134" customWidth="1"/>
    <col min="2045" max="2045" width="17.28515625" style="134" customWidth="1"/>
    <col min="2046" max="2046" width="2.42578125" style="134" customWidth="1"/>
    <col min="2047" max="2047" width="0.85546875" style="134" customWidth="1"/>
    <col min="2048" max="2048" width="34.140625" style="134" customWidth="1"/>
    <col min="2049" max="2049" width="17.85546875" style="134" customWidth="1"/>
    <col min="2050" max="2050" width="0.85546875" style="134" customWidth="1"/>
    <col min="2051" max="2051" width="0.7109375" style="134" customWidth="1"/>
    <col min="2052" max="2052" width="18.42578125" style="134" customWidth="1"/>
    <col min="2053" max="2053" width="2" style="134" customWidth="1"/>
    <col min="2054" max="2054" width="3.140625" style="134" customWidth="1"/>
    <col min="2055" max="2055" width="17.28515625" style="134" customWidth="1"/>
    <col min="2056" max="2056" width="2.42578125" style="134" customWidth="1"/>
    <col min="2057" max="2057" width="0.85546875" style="134" customWidth="1"/>
    <col min="2058" max="2058" width="51.28515625" style="134" customWidth="1"/>
    <col min="2059" max="2059" width="0.85546875" style="134" customWidth="1"/>
    <col min="2060" max="2060" width="9.140625" style="134"/>
    <col min="2061" max="2061" width="5.42578125" style="134" customWidth="1"/>
    <col min="2062" max="2062" width="6" style="134" customWidth="1"/>
    <col min="2063" max="2063" width="2.7109375" style="134" customWidth="1"/>
    <col min="2064" max="2064" width="6.140625" style="134" customWidth="1"/>
    <col min="2065" max="2067" width="2.140625" style="134" customWidth="1"/>
    <col min="2068" max="2068" width="13.42578125" style="134" customWidth="1"/>
    <col min="2069" max="2069" width="3.28515625" style="134" customWidth="1"/>
    <col min="2070" max="2070" width="10" style="134" customWidth="1"/>
    <col min="2071" max="2071" width="5.42578125" style="134" customWidth="1"/>
    <col min="2072" max="2072" width="6" style="134" customWidth="1"/>
    <col min="2073" max="2073" width="2.7109375" style="134" customWidth="1"/>
    <col min="2074" max="2074" width="6.140625" style="134" customWidth="1"/>
    <col min="2075" max="2077" width="2.140625" style="134" customWidth="1"/>
    <col min="2078" max="2078" width="13.42578125" style="134" customWidth="1"/>
    <col min="2079" max="2079" width="3.42578125" style="134" customWidth="1"/>
    <col min="2080" max="2080" width="18" style="134" customWidth="1"/>
    <col min="2081" max="2081" width="19.5703125" style="134" customWidth="1"/>
    <col min="2082" max="2082" width="15.85546875" style="134" customWidth="1"/>
    <col min="2083" max="2296" width="9.140625" style="134"/>
    <col min="2297" max="2297" width="1.140625" style="134" customWidth="1"/>
    <col min="2298" max="2298" width="18.42578125" style="134" customWidth="1"/>
    <col min="2299" max="2299" width="2" style="134" customWidth="1"/>
    <col min="2300" max="2300" width="3.140625" style="134" customWidth="1"/>
    <col min="2301" max="2301" width="17.28515625" style="134" customWidth="1"/>
    <col min="2302" max="2302" width="2.42578125" style="134" customWidth="1"/>
    <col min="2303" max="2303" width="0.85546875" style="134" customWidth="1"/>
    <col min="2304" max="2304" width="34.140625" style="134" customWidth="1"/>
    <col min="2305" max="2305" width="17.85546875" style="134" customWidth="1"/>
    <col min="2306" max="2306" width="0.85546875" style="134" customWidth="1"/>
    <col min="2307" max="2307" width="0.7109375" style="134" customWidth="1"/>
    <col min="2308" max="2308" width="18.42578125" style="134" customWidth="1"/>
    <col min="2309" max="2309" width="2" style="134" customWidth="1"/>
    <col min="2310" max="2310" width="3.140625" style="134" customWidth="1"/>
    <col min="2311" max="2311" width="17.28515625" style="134" customWidth="1"/>
    <col min="2312" max="2312" width="2.42578125" style="134" customWidth="1"/>
    <col min="2313" max="2313" width="0.85546875" style="134" customWidth="1"/>
    <col min="2314" max="2314" width="51.28515625" style="134" customWidth="1"/>
    <col min="2315" max="2315" width="0.85546875" style="134" customWidth="1"/>
    <col min="2316" max="2316" width="9.140625" style="134"/>
    <col min="2317" max="2317" width="5.42578125" style="134" customWidth="1"/>
    <col min="2318" max="2318" width="6" style="134" customWidth="1"/>
    <col min="2319" max="2319" width="2.7109375" style="134" customWidth="1"/>
    <col min="2320" max="2320" width="6.140625" style="134" customWidth="1"/>
    <col min="2321" max="2323" width="2.140625" style="134" customWidth="1"/>
    <col min="2324" max="2324" width="13.42578125" style="134" customWidth="1"/>
    <col min="2325" max="2325" width="3.28515625" style="134" customWidth="1"/>
    <col min="2326" max="2326" width="10" style="134" customWidth="1"/>
    <col min="2327" max="2327" width="5.42578125" style="134" customWidth="1"/>
    <col min="2328" max="2328" width="6" style="134" customWidth="1"/>
    <col min="2329" max="2329" width="2.7109375" style="134" customWidth="1"/>
    <col min="2330" max="2330" width="6.140625" style="134" customWidth="1"/>
    <col min="2331" max="2333" width="2.140625" style="134" customWidth="1"/>
    <col min="2334" max="2334" width="13.42578125" style="134" customWidth="1"/>
    <col min="2335" max="2335" width="3.42578125" style="134" customWidth="1"/>
    <col min="2336" max="2336" width="18" style="134" customWidth="1"/>
    <col min="2337" max="2337" width="19.5703125" style="134" customWidth="1"/>
    <col min="2338" max="2338" width="15.85546875" style="134" customWidth="1"/>
    <col min="2339" max="2552" width="9.140625" style="134"/>
    <col min="2553" max="2553" width="1.140625" style="134" customWidth="1"/>
    <col min="2554" max="2554" width="18.42578125" style="134" customWidth="1"/>
    <col min="2555" max="2555" width="2" style="134" customWidth="1"/>
    <col min="2556" max="2556" width="3.140625" style="134" customWidth="1"/>
    <col min="2557" max="2557" width="17.28515625" style="134" customWidth="1"/>
    <col min="2558" max="2558" width="2.42578125" style="134" customWidth="1"/>
    <col min="2559" max="2559" width="0.85546875" style="134" customWidth="1"/>
    <col min="2560" max="2560" width="34.140625" style="134" customWidth="1"/>
    <col min="2561" max="2561" width="17.85546875" style="134" customWidth="1"/>
    <col min="2562" max="2562" width="0.85546875" style="134" customWidth="1"/>
    <col min="2563" max="2563" width="0.7109375" style="134" customWidth="1"/>
    <col min="2564" max="2564" width="18.42578125" style="134" customWidth="1"/>
    <col min="2565" max="2565" width="2" style="134" customWidth="1"/>
    <col min="2566" max="2566" width="3.140625" style="134" customWidth="1"/>
    <col min="2567" max="2567" width="17.28515625" style="134" customWidth="1"/>
    <col min="2568" max="2568" width="2.42578125" style="134" customWidth="1"/>
    <col min="2569" max="2569" width="0.85546875" style="134" customWidth="1"/>
    <col min="2570" max="2570" width="51.28515625" style="134" customWidth="1"/>
    <col min="2571" max="2571" width="0.85546875" style="134" customWidth="1"/>
    <col min="2572" max="2572" width="9.140625" style="134"/>
    <col min="2573" max="2573" width="5.42578125" style="134" customWidth="1"/>
    <col min="2574" max="2574" width="6" style="134" customWidth="1"/>
    <col min="2575" max="2575" width="2.7109375" style="134" customWidth="1"/>
    <col min="2576" max="2576" width="6.140625" style="134" customWidth="1"/>
    <col min="2577" max="2579" width="2.140625" style="134" customWidth="1"/>
    <col min="2580" max="2580" width="13.42578125" style="134" customWidth="1"/>
    <col min="2581" max="2581" width="3.28515625" style="134" customWidth="1"/>
    <col min="2582" max="2582" width="10" style="134" customWidth="1"/>
    <col min="2583" max="2583" width="5.42578125" style="134" customWidth="1"/>
    <col min="2584" max="2584" width="6" style="134" customWidth="1"/>
    <col min="2585" max="2585" width="2.7109375" style="134" customWidth="1"/>
    <col min="2586" max="2586" width="6.140625" style="134" customWidth="1"/>
    <col min="2587" max="2589" width="2.140625" style="134" customWidth="1"/>
    <col min="2590" max="2590" width="13.42578125" style="134" customWidth="1"/>
    <col min="2591" max="2591" width="3.42578125" style="134" customWidth="1"/>
    <col min="2592" max="2592" width="18" style="134" customWidth="1"/>
    <col min="2593" max="2593" width="19.5703125" style="134" customWidth="1"/>
    <col min="2594" max="2594" width="15.85546875" style="134" customWidth="1"/>
    <col min="2595" max="2808" width="9.140625" style="134"/>
    <col min="2809" max="2809" width="1.140625" style="134" customWidth="1"/>
    <col min="2810" max="2810" width="18.42578125" style="134" customWidth="1"/>
    <col min="2811" max="2811" width="2" style="134" customWidth="1"/>
    <col min="2812" max="2812" width="3.140625" style="134" customWidth="1"/>
    <col min="2813" max="2813" width="17.28515625" style="134" customWidth="1"/>
    <col min="2814" max="2814" width="2.42578125" style="134" customWidth="1"/>
    <col min="2815" max="2815" width="0.85546875" style="134" customWidth="1"/>
    <col min="2816" max="2816" width="34.140625" style="134" customWidth="1"/>
    <col min="2817" max="2817" width="17.85546875" style="134" customWidth="1"/>
    <col min="2818" max="2818" width="0.85546875" style="134" customWidth="1"/>
    <col min="2819" max="2819" width="0.7109375" style="134" customWidth="1"/>
    <col min="2820" max="2820" width="18.42578125" style="134" customWidth="1"/>
    <col min="2821" max="2821" width="2" style="134" customWidth="1"/>
    <col min="2822" max="2822" width="3.140625" style="134" customWidth="1"/>
    <col min="2823" max="2823" width="17.28515625" style="134" customWidth="1"/>
    <col min="2824" max="2824" width="2.42578125" style="134" customWidth="1"/>
    <col min="2825" max="2825" width="0.85546875" style="134" customWidth="1"/>
    <col min="2826" max="2826" width="51.28515625" style="134" customWidth="1"/>
    <col min="2827" max="2827" width="0.85546875" style="134" customWidth="1"/>
    <col min="2828" max="2828" width="9.140625" style="134"/>
    <col min="2829" max="2829" width="5.42578125" style="134" customWidth="1"/>
    <col min="2830" max="2830" width="6" style="134" customWidth="1"/>
    <col min="2831" max="2831" width="2.7109375" style="134" customWidth="1"/>
    <col min="2832" max="2832" width="6.140625" style="134" customWidth="1"/>
    <col min="2833" max="2835" width="2.140625" style="134" customWidth="1"/>
    <col min="2836" max="2836" width="13.42578125" style="134" customWidth="1"/>
    <col min="2837" max="2837" width="3.28515625" style="134" customWidth="1"/>
    <col min="2838" max="2838" width="10" style="134" customWidth="1"/>
    <col min="2839" max="2839" width="5.42578125" style="134" customWidth="1"/>
    <col min="2840" max="2840" width="6" style="134" customWidth="1"/>
    <col min="2841" max="2841" width="2.7109375" style="134" customWidth="1"/>
    <col min="2842" max="2842" width="6.140625" style="134" customWidth="1"/>
    <col min="2843" max="2845" width="2.140625" style="134" customWidth="1"/>
    <col min="2846" max="2846" width="13.42578125" style="134" customWidth="1"/>
    <col min="2847" max="2847" width="3.42578125" style="134" customWidth="1"/>
    <col min="2848" max="2848" width="18" style="134" customWidth="1"/>
    <col min="2849" max="2849" width="19.5703125" style="134" customWidth="1"/>
    <col min="2850" max="2850" width="15.85546875" style="134" customWidth="1"/>
    <col min="2851" max="3064" width="9.140625" style="134"/>
    <col min="3065" max="3065" width="1.140625" style="134" customWidth="1"/>
    <col min="3066" max="3066" width="18.42578125" style="134" customWidth="1"/>
    <col min="3067" max="3067" width="2" style="134" customWidth="1"/>
    <col min="3068" max="3068" width="3.140625" style="134" customWidth="1"/>
    <col min="3069" max="3069" width="17.28515625" style="134" customWidth="1"/>
    <col min="3070" max="3070" width="2.42578125" style="134" customWidth="1"/>
    <col min="3071" max="3071" width="0.85546875" style="134" customWidth="1"/>
    <col min="3072" max="3072" width="34.140625" style="134" customWidth="1"/>
    <col min="3073" max="3073" width="17.85546875" style="134" customWidth="1"/>
    <col min="3074" max="3074" width="0.85546875" style="134" customWidth="1"/>
    <col min="3075" max="3075" width="0.7109375" style="134" customWidth="1"/>
    <col min="3076" max="3076" width="18.42578125" style="134" customWidth="1"/>
    <col min="3077" max="3077" width="2" style="134" customWidth="1"/>
    <col min="3078" max="3078" width="3.140625" style="134" customWidth="1"/>
    <col min="3079" max="3079" width="17.28515625" style="134" customWidth="1"/>
    <col min="3080" max="3080" width="2.42578125" style="134" customWidth="1"/>
    <col min="3081" max="3081" width="0.85546875" style="134" customWidth="1"/>
    <col min="3082" max="3082" width="51.28515625" style="134" customWidth="1"/>
    <col min="3083" max="3083" width="0.85546875" style="134" customWidth="1"/>
    <col min="3084" max="3084" width="9.140625" style="134"/>
    <col min="3085" max="3085" width="5.42578125" style="134" customWidth="1"/>
    <col min="3086" max="3086" width="6" style="134" customWidth="1"/>
    <col min="3087" max="3087" width="2.7109375" style="134" customWidth="1"/>
    <col min="3088" max="3088" width="6.140625" style="134" customWidth="1"/>
    <col min="3089" max="3091" width="2.140625" style="134" customWidth="1"/>
    <col min="3092" max="3092" width="13.42578125" style="134" customWidth="1"/>
    <col min="3093" max="3093" width="3.28515625" style="134" customWidth="1"/>
    <col min="3094" max="3094" width="10" style="134" customWidth="1"/>
    <col min="3095" max="3095" width="5.42578125" style="134" customWidth="1"/>
    <col min="3096" max="3096" width="6" style="134" customWidth="1"/>
    <col min="3097" max="3097" width="2.7109375" style="134" customWidth="1"/>
    <col min="3098" max="3098" width="6.140625" style="134" customWidth="1"/>
    <col min="3099" max="3101" width="2.140625" style="134" customWidth="1"/>
    <col min="3102" max="3102" width="13.42578125" style="134" customWidth="1"/>
    <col min="3103" max="3103" width="3.42578125" style="134" customWidth="1"/>
    <col min="3104" max="3104" width="18" style="134" customWidth="1"/>
    <col min="3105" max="3105" width="19.5703125" style="134" customWidth="1"/>
    <col min="3106" max="3106" width="15.85546875" style="134" customWidth="1"/>
    <col min="3107" max="3320" width="9.140625" style="134"/>
    <col min="3321" max="3321" width="1.140625" style="134" customWidth="1"/>
    <col min="3322" max="3322" width="18.42578125" style="134" customWidth="1"/>
    <col min="3323" max="3323" width="2" style="134" customWidth="1"/>
    <col min="3324" max="3324" width="3.140625" style="134" customWidth="1"/>
    <col min="3325" max="3325" width="17.28515625" style="134" customWidth="1"/>
    <col min="3326" max="3326" width="2.42578125" style="134" customWidth="1"/>
    <col min="3327" max="3327" width="0.85546875" style="134" customWidth="1"/>
    <col min="3328" max="3328" width="34.140625" style="134" customWidth="1"/>
    <col min="3329" max="3329" width="17.85546875" style="134" customWidth="1"/>
    <col min="3330" max="3330" width="0.85546875" style="134" customWidth="1"/>
    <col min="3331" max="3331" width="0.7109375" style="134" customWidth="1"/>
    <col min="3332" max="3332" width="18.42578125" style="134" customWidth="1"/>
    <col min="3333" max="3333" width="2" style="134" customWidth="1"/>
    <col min="3334" max="3334" width="3.140625" style="134" customWidth="1"/>
    <col min="3335" max="3335" width="17.28515625" style="134" customWidth="1"/>
    <col min="3336" max="3336" width="2.42578125" style="134" customWidth="1"/>
    <col min="3337" max="3337" width="0.85546875" style="134" customWidth="1"/>
    <col min="3338" max="3338" width="51.28515625" style="134" customWidth="1"/>
    <col min="3339" max="3339" width="0.85546875" style="134" customWidth="1"/>
    <col min="3340" max="3340" width="9.140625" style="134"/>
    <col min="3341" max="3341" width="5.42578125" style="134" customWidth="1"/>
    <col min="3342" max="3342" width="6" style="134" customWidth="1"/>
    <col min="3343" max="3343" width="2.7109375" style="134" customWidth="1"/>
    <col min="3344" max="3344" width="6.140625" style="134" customWidth="1"/>
    <col min="3345" max="3347" width="2.140625" style="134" customWidth="1"/>
    <col min="3348" max="3348" width="13.42578125" style="134" customWidth="1"/>
    <col min="3349" max="3349" width="3.28515625" style="134" customWidth="1"/>
    <col min="3350" max="3350" width="10" style="134" customWidth="1"/>
    <col min="3351" max="3351" width="5.42578125" style="134" customWidth="1"/>
    <col min="3352" max="3352" width="6" style="134" customWidth="1"/>
    <col min="3353" max="3353" width="2.7109375" style="134" customWidth="1"/>
    <col min="3354" max="3354" width="6.140625" style="134" customWidth="1"/>
    <col min="3355" max="3357" width="2.140625" style="134" customWidth="1"/>
    <col min="3358" max="3358" width="13.42578125" style="134" customWidth="1"/>
    <col min="3359" max="3359" width="3.42578125" style="134" customWidth="1"/>
    <col min="3360" max="3360" width="18" style="134" customWidth="1"/>
    <col min="3361" max="3361" width="19.5703125" style="134" customWidth="1"/>
    <col min="3362" max="3362" width="15.85546875" style="134" customWidth="1"/>
    <col min="3363" max="3576" width="9.140625" style="134"/>
    <col min="3577" max="3577" width="1.140625" style="134" customWidth="1"/>
    <col min="3578" max="3578" width="18.42578125" style="134" customWidth="1"/>
    <col min="3579" max="3579" width="2" style="134" customWidth="1"/>
    <col min="3580" max="3580" width="3.140625" style="134" customWidth="1"/>
    <col min="3581" max="3581" width="17.28515625" style="134" customWidth="1"/>
    <col min="3582" max="3582" width="2.42578125" style="134" customWidth="1"/>
    <col min="3583" max="3583" width="0.85546875" style="134" customWidth="1"/>
    <col min="3584" max="3584" width="34.140625" style="134" customWidth="1"/>
    <col min="3585" max="3585" width="17.85546875" style="134" customWidth="1"/>
    <col min="3586" max="3586" width="0.85546875" style="134" customWidth="1"/>
    <col min="3587" max="3587" width="0.7109375" style="134" customWidth="1"/>
    <col min="3588" max="3588" width="18.42578125" style="134" customWidth="1"/>
    <col min="3589" max="3589" width="2" style="134" customWidth="1"/>
    <col min="3590" max="3590" width="3.140625" style="134" customWidth="1"/>
    <col min="3591" max="3591" width="17.28515625" style="134" customWidth="1"/>
    <col min="3592" max="3592" width="2.42578125" style="134" customWidth="1"/>
    <col min="3593" max="3593" width="0.85546875" style="134" customWidth="1"/>
    <col min="3594" max="3594" width="51.28515625" style="134" customWidth="1"/>
    <col min="3595" max="3595" width="0.85546875" style="134" customWidth="1"/>
    <col min="3596" max="3596" width="9.140625" style="134"/>
    <col min="3597" max="3597" width="5.42578125" style="134" customWidth="1"/>
    <col min="3598" max="3598" width="6" style="134" customWidth="1"/>
    <col min="3599" max="3599" width="2.7109375" style="134" customWidth="1"/>
    <col min="3600" max="3600" width="6.140625" style="134" customWidth="1"/>
    <col min="3601" max="3603" width="2.140625" style="134" customWidth="1"/>
    <col min="3604" max="3604" width="13.42578125" style="134" customWidth="1"/>
    <col min="3605" max="3605" width="3.28515625" style="134" customWidth="1"/>
    <col min="3606" max="3606" width="10" style="134" customWidth="1"/>
    <col min="3607" max="3607" width="5.42578125" style="134" customWidth="1"/>
    <col min="3608" max="3608" width="6" style="134" customWidth="1"/>
    <col min="3609" max="3609" width="2.7109375" style="134" customWidth="1"/>
    <col min="3610" max="3610" width="6.140625" style="134" customWidth="1"/>
    <col min="3611" max="3613" width="2.140625" style="134" customWidth="1"/>
    <col min="3614" max="3614" width="13.42578125" style="134" customWidth="1"/>
    <col min="3615" max="3615" width="3.42578125" style="134" customWidth="1"/>
    <col min="3616" max="3616" width="18" style="134" customWidth="1"/>
    <col min="3617" max="3617" width="19.5703125" style="134" customWidth="1"/>
    <col min="3618" max="3618" width="15.85546875" style="134" customWidth="1"/>
    <col min="3619" max="3832" width="9.140625" style="134"/>
    <col min="3833" max="3833" width="1.140625" style="134" customWidth="1"/>
    <col min="3834" max="3834" width="18.42578125" style="134" customWidth="1"/>
    <col min="3835" max="3835" width="2" style="134" customWidth="1"/>
    <col min="3836" max="3836" width="3.140625" style="134" customWidth="1"/>
    <col min="3837" max="3837" width="17.28515625" style="134" customWidth="1"/>
    <col min="3838" max="3838" width="2.42578125" style="134" customWidth="1"/>
    <col min="3839" max="3839" width="0.85546875" style="134" customWidth="1"/>
    <col min="3840" max="3840" width="34.140625" style="134" customWidth="1"/>
    <col min="3841" max="3841" width="17.85546875" style="134" customWidth="1"/>
    <col min="3842" max="3842" width="0.85546875" style="134" customWidth="1"/>
    <col min="3843" max="3843" width="0.7109375" style="134" customWidth="1"/>
    <col min="3844" max="3844" width="18.42578125" style="134" customWidth="1"/>
    <col min="3845" max="3845" width="2" style="134" customWidth="1"/>
    <col min="3846" max="3846" width="3.140625" style="134" customWidth="1"/>
    <col min="3847" max="3847" width="17.28515625" style="134" customWidth="1"/>
    <col min="3848" max="3848" width="2.42578125" style="134" customWidth="1"/>
    <col min="3849" max="3849" width="0.85546875" style="134" customWidth="1"/>
    <col min="3850" max="3850" width="51.28515625" style="134" customWidth="1"/>
    <col min="3851" max="3851" width="0.85546875" style="134" customWidth="1"/>
    <col min="3852" max="3852" width="9.140625" style="134"/>
    <col min="3853" max="3853" width="5.42578125" style="134" customWidth="1"/>
    <col min="3854" max="3854" width="6" style="134" customWidth="1"/>
    <col min="3855" max="3855" width="2.7109375" style="134" customWidth="1"/>
    <col min="3856" max="3856" width="6.140625" style="134" customWidth="1"/>
    <col min="3857" max="3859" width="2.140625" style="134" customWidth="1"/>
    <col min="3860" max="3860" width="13.42578125" style="134" customWidth="1"/>
    <col min="3861" max="3861" width="3.28515625" style="134" customWidth="1"/>
    <col min="3862" max="3862" width="10" style="134" customWidth="1"/>
    <col min="3863" max="3863" width="5.42578125" style="134" customWidth="1"/>
    <col min="3864" max="3864" width="6" style="134" customWidth="1"/>
    <col min="3865" max="3865" width="2.7109375" style="134" customWidth="1"/>
    <col min="3866" max="3866" width="6.140625" style="134" customWidth="1"/>
    <col min="3867" max="3869" width="2.140625" style="134" customWidth="1"/>
    <col min="3870" max="3870" width="13.42578125" style="134" customWidth="1"/>
    <col min="3871" max="3871" width="3.42578125" style="134" customWidth="1"/>
    <col min="3872" max="3872" width="18" style="134" customWidth="1"/>
    <col min="3873" max="3873" width="19.5703125" style="134" customWidth="1"/>
    <col min="3874" max="3874" width="15.85546875" style="134" customWidth="1"/>
    <col min="3875" max="4088" width="9.140625" style="134"/>
    <col min="4089" max="4089" width="1.140625" style="134" customWidth="1"/>
    <col min="4090" max="4090" width="18.42578125" style="134" customWidth="1"/>
    <col min="4091" max="4091" width="2" style="134" customWidth="1"/>
    <col min="4092" max="4092" width="3.140625" style="134" customWidth="1"/>
    <col min="4093" max="4093" width="17.28515625" style="134" customWidth="1"/>
    <col min="4094" max="4094" width="2.42578125" style="134" customWidth="1"/>
    <col min="4095" max="4095" width="0.85546875" style="134" customWidth="1"/>
    <col min="4096" max="4096" width="34.140625" style="134" customWidth="1"/>
    <col min="4097" max="4097" width="17.85546875" style="134" customWidth="1"/>
    <col min="4098" max="4098" width="0.85546875" style="134" customWidth="1"/>
    <col min="4099" max="4099" width="0.7109375" style="134" customWidth="1"/>
    <col min="4100" max="4100" width="18.42578125" style="134" customWidth="1"/>
    <col min="4101" max="4101" width="2" style="134" customWidth="1"/>
    <col min="4102" max="4102" width="3.140625" style="134" customWidth="1"/>
    <col min="4103" max="4103" width="17.28515625" style="134" customWidth="1"/>
    <col min="4104" max="4104" width="2.42578125" style="134" customWidth="1"/>
    <col min="4105" max="4105" width="0.85546875" style="134" customWidth="1"/>
    <col min="4106" max="4106" width="51.28515625" style="134" customWidth="1"/>
    <col min="4107" max="4107" width="0.85546875" style="134" customWidth="1"/>
    <col min="4108" max="4108" width="9.140625" style="134"/>
    <col min="4109" max="4109" width="5.42578125" style="134" customWidth="1"/>
    <col min="4110" max="4110" width="6" style="134" customWidth="1"/>
    <col min="4111" max="4111" width="2.7109375" style="134" customWidth="1"/>
    <col min="4112" max="4112" width="6.140625" style="134" customWidth="1"/>
    <col min="4113" max="4115" width="2.140625" style="134" customWidth="1"/>
    <col min="4116" max="4116" width="13.42578125" style="134" customWidth="1"/>
    <col min="4117" max="4117" width="3.28515625" style="134" customWidth="1"/>
    <col min="4118" max="4118" width="10" style="134" customWidth="1"/>
    <col min="4119" max="4119" width="5.42578125" style="134" customWidth="1"/>
    <col min="4120" max="4120" width="6" style="134" customWidth="1"/>
    <col min="4121" max="4121" width="2.7109375" style="134" customWidth="1"/>
    <col min="4122" max="4122" width="6.140625" style="134" customWidth="1"/>
    <col min="4123" max="4125" width="2.140625" style="134" customWidth="1"/>
    <col min="4126" max="4126" width="13.42578125" style="134" customWidth="1"/>
    <col min="4127" max="4127" width="3.42578125" style="134" customWidth="1"/>
    <col min="4128" max="4128" width="18" style="134" customWidth="1"/>
    <col min="4129" max="4129" width="19.5703125" style="134" customWidth="1"/>
    <col min="4130" max="4130" width="15.85546875" style="134" customWidth="1"/>
    <col min="4131" max="4344" width="9.140625" style="134"/>
    <col min="4345" max="4345" width="1.140625" style="134" customWidth="1"/>
    <col min="4346" max="4346" width="18.42578125" style="134" customWidth="1"/>
    <col min="4347" max="4347" width="2" style="134" customWidth="1"/>
    <col min="4348" max="4348" width="3.140625" style="134" customWidth="1"/>
    <col min="4349" max="4349" width="17.28515625" style="134" customWidth="1"/>
    <col min="4350" max="4350" width="2.42578125" style="134" customWidth="1"/>
    <col min="4351" max="4351" width="0.85546875" style="134" customWidth="1"/>
    <col min="4352" max="4352" width="34.140625" style="134" customWidth="1"/>
    <col min="4353" max="4353" width="17.85546875" style="134" customWidth="1"/>
    <col min="4354" max="4354" width="0.85546875" style="134" customWidth="1"/>
    <col min="4355" max="4355" width="0.7109375" style="134" customWidth="1"/>
    <col min="4356" max="4356" width="18.42578125" style="134" customWidth="1"/>
    <col min="4357" max="4357" width="2" style="134" customWidth="1"/>
    <col min="4358" max="4358" width="3.140625" style="134" customWidth="1"/>
    <col min="4359" max="4359" width="17.28515625" style="134" customWidth="1"/>
    <col min="4360" max="4360" width="2.42578125" style="134" customWidth="1"/>
    <col min="4361" max="4361" width="0.85546875" style="134" customWidth="1"/>
    <col min="4362" max="4362" width="51.28515625" style="134" customWidth="1"/>
    <col min="4363" max="4363" width="0.85546875" style="134" customWidth="1"/>
    <col min="4364" max="4364" width="9.140625" style="134"/>
    <col min="4365" max="4365" width="5.42578125" style="134" customWidth="1"/>
    <col min="4366" max="4366" width="6" style="134" customWidth="1"/>
    <col min="4367" max="4367" width="2.7109375" style="134" customWidth="1"/>
    <col min="4368" max="4368" width="6.140625" style="134" customWidth="1"/>
    <col min="4369" max="4371" width="2.140625" style="134" customWidth="1"/>
    <col min="4372" max="4372" width="13.42578125" style="134" customWidth="1"/>
    <col min="4373" max="4373" width="3.28515625" style="134" customWidth="1"/>
    <col min="4374" max="4374" width="10" style="134" customWidth="1"/>
    <col min="4375" max="4375" width="5.42578125" style="134" customWidth="1"/>
    <col min="4376" max="4376" width="6" style="134" customWidth="1"/>
    <col min="4377" max="4377" width="2.7109375" style="134" customWidth="1"/>
    <col min="4378" max="4378" width="6.140625" style="134" customWidth="1"/>
    <col min="4379" max="4381" width="2.140625" style="134" customWidth="1"/>
    <col min="4382" max="4382" width="13.42578125" style="134" customWidth="1"/>
    <col min="4383" max="4383" width="3.42578125" style="134" customWidth="1"/>
    <col min="4384" max="4384" width="18" style="134" customWidth="1"/>
    <col min="4385" max="4385" width="19.5703125" style="134" customWidth="1"/>
    <col min="4386" max="4386" width="15.85546875" style="134" customWidth="1"/>
    <col min="4387" max="4600" width="9.140625" style="134"/>
    <col min="4601" max="4601" width="1.140625" style="134" customWidth="1"/>
    <col min="4602" max="4602" width="18.42578125" style="134" customWidth="1"/>
    <col min="4603" max="4603" width="2" style="134" customWidth="1"/>
    <col min="4604" max="4604" width="3.140625" style="134" customWidth="1"/>
    <col min="4605" max="4605" width="17.28515625" style="134" customWidth="1"/>
    <col min="4606" max="4606" width="2.42578125" style="134" customWidth="1"/>
    <col min="4607" max="4607" width="0.85546875" style="134" customWidth="1"/>
    <col min="4608" max="4608" width="34.140625" style="134" customWidth="1"/>
    <col min="4609" max="4609" width="17.85546875" style="134" customWidth="1"/>
    <col min="4610" max="4610" width="0.85546875" style="134" customWidth="1"/>
    <col min="4611" max="4611" width="0.7109375" style="134" customWidth="1"/>
    <col min="4612" max="4612" width="18.42578125" style="134" customWidth="1"/>
    <col min="4613" max="4613" width="2" style="134" customWidth="1"/>
    <col min="4614" max="4614" width="3.140625" style="134" customWidth="1"/>
    <col min="4615" max="4615" width="17.28515625" style="134" customWidth="1"/>
    <col min="4616" max="4616" width="2.42578125" style="134" customWidth="1"/>
    <col min="4617" max="4617" width="0.85546875" style="134" customWidth="1"/>
    <col min="4618" max="4618" width="51.28515625" style="134" customWidth="1"/>
    <col min="4619" max="4619" width="0.85546875" style="134" customWidth="1"/>
    <col min="4620" max="4620" width="9.140625" style="134"/>
    <col min="4621" max="4621" width="5.42578125" style="134" customWidth="1"/>
    <col min="4622" max="4622" width="6" style="134" customWidth="1"/>
    <col min="4623" max="4623" width="2.7109375" style="134" customWidth="1"/>
    <col min="4624" max="4624" width="6.140625" style="134" customWidth="1"/>
    <col min="4625" max="4627" width="2.140625" style="134" customWidth="1"/>
    <col min="4628" max="4628" width="13.42578125" style="134" customWidth="1"/>
    <col min="4629" max="4629" width="3.28515625" style="134" customWidth="1"/>
    <col min="4630" max="4630" width="10" style="134" customWidth="1"/>
    <col min="4631" max="4631" width="5.42578125" style="134" customWidth="1"/>
    <col min="4632" max="4632" width="6" style="134" customWidth="1"/>
    <col min="4633" max="4633" width="2.7109375" style="134" customWidth="1"/>
    <col min="4634" max="4634" width="6.140625" style="134" customWidth="1"/>
    <col min="4635" max="4637" width="2.140625" style="134" customWidth="1"/>
    <col min="4638" max="4638" width="13.42578125" style="134" customWidth="1"/>
    <col min="4639" max="4639" width="3.42578125" style="134" customWidth="1"/>
    <col min="4640" max="4640" width="18" style="134" customWidth="1"/>
    <col min="4641" max="4641" width="19.5703125" style="134" customWidth="1"/>
    <col min="4642" max="4642" width="15.85546875" style="134" customWidth="1"/>
    <col min="4643" max="4856" width="9.140625" style="134"/>
    <col min="4857" max="4857" width="1.140625" style="134" customWidth="1"/>
    <col min="4858" max="4858" width="18.42578125" style="134" customWidth="1"/>
    <col min="4859" max="4859" width="2" style="134" customWidth="1"/>
    <col min="4860" max="4860" width="3.140625" style="134" customWidth="1"/>
    <col min="4861" max="4861" width="17.28515625" style="134" customWidth="1"/>
    <col min="4862" max="4862" width="2.42578125" style="134" customWidth="1"/>
    <col min="4863" max="4863" width="0.85546875" style="134" customWidth="1"/>
    <col min="4864" max="4864" width="34.140625" style="134" customWidth="1"/>
    <col min="4865" max="4865" width="17.85546875" style="134" customWidth="1"/>
    <col min="4866" max="4866" width="0.85546875" style="134" customWidth="1"/>
    <col min="4867" max="4867" width="0.7109375" style="134" customWidth="1"/>
    <col min="4868" max="4868" width="18.42578125" style="134" customWidth="1"/>
    <col min="4869" max="4869" width="2" style="134" customWidth="1"/>
    <col min="4870" max="4870" width="3.140625" style="134" customWidth="1"/>
    <col min="4871" max="4871" width="17.28515625" style="134" customWidth="1"/>
    <col min="4872" max="4872" width="2.42578125" style="134" customWidth="1"/>
    <col min="4873" max="4873" width="0.85546875" style="134" customWidth="1"/>
    <col min="4874" max="4874" width="51.28515625" style="134" customWidth="1"/>
    <col min="4875" max="4875" width="0.85546875" style="134" customWidth="1"/>
    <col min="4876" max="4876" width="9.140625" style="134"/>
    <col min="4877" max="4877" width="5.42578125" style="134" customWidth="1"/>
    <col min="4878" max="4878" width="6" style="134" customWidth="1"/>
    <col min="4879" max="4879" width="2.7109375" style="134" customWidth="1"/>
    <col min="4880" max="4880" width="6.140625" style="134" customWidth="1"/>
    <col min="4881" max="4883" width="2.140625" style="134" customWidth="1"/>
    <col min="4884" max="4884" width="13.42578125" style="134" customWidth="1"/>
    <col min="4885" max="4885" width="3.28515625" style="134" customWidth="1"/>
    <col min="4886" max="4886" width="10" style="134" customWidth="1"/>
    <col min="4887" max="4887" width="5.42578125" style="134" customWidth="1"/>
    <col min="4888" max="4888" width="6" style="134" customWidth="1"/>
    <col min="4889" max="4889" width="2.7109375" style="134" customWidth="1"/>
    <col min="4890" max="4890" width="6.140625" style="134" customWidth="1"/>
    <col min="4891" max="4893" width="2.140625" style="134" customWidth="1"/>
    <col min="4894" max="4894" width="13.42578125" style="134" customWidth="1"/>
    <col min="4895" max="4895" width="3.42578125" style="134" customWidth="1"/>
    <col min="4896" max="4896" width="18" style="134" customWidth="1"/>
    <col min="4897" max="4897" width="19.5703125" style="134" customWidth="1"/>
    <col min="4898" max="4898" width="15.85546875" style="134" customWidth="1"/>
    <col min="4899" max="5112" width="9.140625" style="134"/>
    <col min="5113" max="5113" width="1.140625" style="134" customWidth="1"/>
    <col min="5114" max="5114" width="18.42578125" style="134" customWidth="1"/>
    <col min="5115" max="5115" width="2" style="134" customWidth="1"/>
    <col min="5116" max="5116" width="3.140625" style="134" customWidth="1"/>
    <col min="5117" max="5117" width="17.28515625" style="134" customWidth="1"/>
    <col min="5118" max="5118" width="2.42578125" style="134" customWidth="1"/>
    <col min="5119" max="5119" width="0.85546875" style="134" customWidth="1"/>
    <col min="5120" max="5120" width="34.140625" style="134" customWidth="1"/>
    <col min="5121" max="5121" width="17.85546875" style="134" customWidth="1"/>
    <col min="5122" max="5122" width="0.85546875" style="134" customWidth="1"/>
    <col min="5123" max="5123" width="0.7109375" style="134" customWidth="1"/>
    <col min="5124" max="5124" width="18.42578125" style="134" customWidth="1"/>
    <col min="5125" max="5125" width="2" style="134" customWidth="1"/>
    <col min="5126" max="5126" width="3.140625" style="134" customWidth="1"/>
    <col min="5127" max="5127" width="17.28515625" style="134" customWidth="1"/>
    <col min="5128" max="5128" width="2.42578125" style="134" customWidth="1"/>
    <col min="5129" max="5129" width="0.85546875" style="134" customWidth="1"/>
    <col min="5130" max="5130" width="51.28515625" style="134" customWidth="1"/>
    <col min="5131" max="5131" width="0.85546875" style="134" customWidth="1"/>
    <col min="5132" max="5132" width="9.140625" style="134"/>
    <col min="5133" max="5133" width="5.42578125" style="134" customWidth="1"/>
    <col min="5134" max="5134" width="6" style="134" customWidth="1"/>
    <col min="5135" max="5135" width="2.7109375" style="134" customWidth="1"/>
    <col min="5136" max="5136" width="6.140625" style="134" customWidth="1"/>
    <col min="5137" max="5139" width="2.140625" style="134" customWidth="1"/>
    <col min="5140" max="5140" width="13.42578125" style="134" customWidth="1"/>
    <col min="5141" max="5141" width="3.28515625" style="134" customWidth="1"/>
    <col min="5142" max="5142" width="10" style="134" customWidth="1"/>
    <col min="5143" max="5143" width="5.42578125" style="134" customWidth="1"/>
    <col min="5144" max="5144" width="6" style="134" customWidth="1"/>
    <col min="5145" max="5145" width="2.7109375" style="134" customWidth="1"/>
    <col min="5146" max="5146" width="6.140625" style="134" customWidth="1"/>
    <col min="5147" max="5149" width="2.140625" style="134" customWidth="1"/>
    <col min="5150" max="5150" width="13.42578125" style="134" customWidth="1"/>
    <col min="5151" max="5151" width="3.42578125" style="134" customWidth="1"/>
    <col min="5152" max="5152" width="18" style="134" customWidth="1"/>
    <col min="5153" max="5153" width="19.5703125" style="134" customWidth="1"/>
    <col min="5154" max="5154" width="15.85546875" style="134" customWidth="1"/>
    <col min="5155" max="5368" width="9.140625" style="134"/>
    <col min="5369" max="5369" width="1.140625" style="134" customWidth="1"/>
    <col min="5370" max="5370" width="18.42578125" style="134" customWidth="1"/>
    <col min="5371" max="5371" width="2" style="134" customWidth="1"/>
    <col min="5372" max="5372" width="3.140625" style="134" customWidth="1"/>
    <col min="5373" max="5373" width="17.28515625" style="134" customWidth="1"/>
    <col min="5374" max="5374" width="2.42578125" style="134" customWidth="1"/>
    <col min="5375" max="5375" width="0.85546875" style="134" customWidth="1"/>
    <col min="5376" max="5376" width="34.140625" style="134" customWidth="1"/>
    <col min="5377" max="5377" width="17.85546875" style="134" customWidth="1"/>
    <col min="5378" max="5378" width="0.85546875" style="134" customWidth="1"/>
    <col min="5379" max="5379" width="0.7109375" style="134" customWidth="1"/>
    <col min="5380" max="5380" width="18.42578125" style="134" customWidth="1"/>
    <col min="5381" max="5381" width="2" style="134" customWidth="1"/>
    <col min="5382" max="5382" width="3.140625" style="134" customWidth="1"/>
    <col min="5383" max="5383" width="17.28515625" style="134" customWidth="1"/>
    <col min="5384" max="5384" width="2.42578125" style="134" customWidth="1"/>
    <col min="5385" max="5385" width="0.85546875" style="134" customWidth="1"/>
    <col min="5386" max="5386" width="51.28515625" style="134" customWidth="1"/>
    <col min="5387" max="5387" width="0.85546875" style="134" customWidth="1"/>
    <col min="5388" max="5388" width="9.140625" style="134"/>
    <col min="5389" max="5389" width="5.42578125" style="134" customWidth="1"/>
    <col min="5390" max="5390" width="6" style="134" customWidth="1"/>
    <col min="5391" max="5391" width="2.7109375" style="134" customWidth="1"/>
    <col min="5392" max="5392" width="6.140625" style="134" customWidth="1"/>
    <col min="5393" max="5395" width="2.140625" style="134" customWidth="1"/>
    <col min="5396" max="5396" width="13.42578125" style="134" customWidth="1"/>
    <col min="5397" max="5397" width="3.28515625" style="134" customWidth="1"/>
    <col min="5398" max="5398" width="10" style="134" customWidth="1"/>
    <col min="5399" max="5399" width="5.42578125" style="134" customWidth="1"/>
    <col min="5400" max="5400" width="6" style="134" customWidth="1"/>
    <col min="5401" max="5401" width="2.7109375" style="134" customWidth="1"/>
    <col min="5402" max="5402" width="6.140625" style="134" customWidth="1"/>
    <col min="5403" max="5405" width="2.140625" style="134" customWidth="1"/>
    <col min="5406" max="5406" width="13.42578125" style="134" customWidth="1"/>
    <col min="5407" max="5407" width="3.42578125" style="134" customWidth="1"/>
    <col min="5408" max="5408" width="18" style="134" customWidth="1"/>
    <col min="5409" max="5409" width="19.5703125" style="134" customWidth="1"/>
    <col min="5410" max="5410" width="15.85546875" style="134" customWidth="1"/>
    <col min="5411" max="5624" width="9.140625" style="134"/>
    <col min="5625" max="5625" width="1.140625" style="134" customWidth="1"/>
    <col min="5626" max="5626" width="18.42578125" style="134" customWidth="1"/>
    <col min="5627" max="5627" width="2" style="134" customWidth="1"/>
    <col min="5628" max="5628" width="3.140625" style="134" customWidth="1"/>
    <col min="5629" max="5629" width="17.28515625" style="134" customWidth="1"/>
    <col min="5630" max="5630" width="2.42578125" style="134" customWidth="1"/>
    <col min="5631" max="5631" width="0.85546875" style="134" customWidth="1"/>
    <col min="5632" max="5632" width="34.140625" style="134" customWidth="1"/>
    <col min="5633" max="5633" width="17.85546875" style="134" customWidth="1"/>
    <col min="5634" max="5634" width="0.85546875" style="134" customWidth="1"/>
    <col min="5635" max="5635" width="0.7109375" style="134" customWidth="1"/>
    <col min="5636" max="5636" width="18.42578125" style="134" customWidth="1"/>
    <col min="5637" max="5637" width="2" style="134" customWidth="1"/>
    <col min="5638" max="5638" width="3.140625" style="134" customWidth="1"/>
    <col min="5639" max="5639" width="17.28515625" style="134" customWidth="1"/>
    <col min="5640" max="5640" width="2.42578125" style="134" customWidth="1"/>
    <col min="5641" max="5641" width="0.85546875" style="134" customWidth="1"/>
    <col min="5642" max="5642" width="51.28515625" style="134" customWidth="1"/>
    <col min="5643" max="5643" width="0.85546875" style="134" customWidth="1"/>
    <col min="5644" max="5644" width="9.140625" style="134"/>
    <col min="5645" max="5645" width="5.42578125" style="134" customWidth="1"/>
    <col min="5646" max="5646" width="6" style="134" customWidth="1"/>
    <col min="5647" max="5647" width="2.7109375" style="134" customWidth="1"/>
    <col min="5648" max="5648" width="6.140625" style="134" customWidth="1"/>
    <col min="5649" max="5651" width="2.140625" style="134" customWidth="1"/>
    <col min="5652" max="5652" width="13.42578125" style="134" customWidth="1"/>
    <col min="5653" max="5653" width="3.28515625" style="134" customWidth="1"/>
    <col min="5654" max="5654" width="10" style="134" customWidth="1"/>
    <col min="5655" max="5655" width="5.42578125" style="134" customWidth="1"/>
    <col min="5656" max="5656" width="6" style="134" customWidth="1"/>
    <col min="5657" max="5657" width="2.7109375" style="134" customWidth="1"/>
    <col min="5658" max="5658" width="6.140625" style="134" customWidth="1"/>
    <col min="5659" max="5661" width="2.140625" style="134" customWidth="1"/>
    <col min="5662" max="5662" width="13.42578125" style="134" customWidth="1"/>
    <col min="5663" max="5663" width="3.42578125" style="134" customWidth="1"/>
    <col min="5664" max="5664" width="18" style="134" customWidth="1"/>
    <col min="5665" max="5665" width="19.5703125" style="134" customWidth="1"/>
    <col min="5666" max="5666" width="15.85546875" style="134" customWidth="1"/>
    <col min="5667" max="5880" width="9.140625" style="134"/>
    <col min="5881" max="5881" width="1.140625" style="134" customWidth="1"/>
    <col min="5882" max="5882" width="18.42578125" style="134" customWidth="1"/>
    <col min="5883" max="5883" width="2" style="134" customWidth="1"/>
    <col min="5884" max="5884" width="3.140625" style="134" customWidth="1"/>
    <col min="5885" max="5885" width="17.28515625" style="134" customWidth="1"/>
    <col min="5886" max="5886" width="2.42578125" style="134" customWidth="1"/>
    <col min="5887" max="5887" width="0.85546875" style="134" customWidth="1"/>
    <col min="5888" max="5888" width="34.140625" style="134" customWidth="1"/>
    <col min="5889" max="5889" width="17.85546875" style="134" customWidth="1"/>
    <col min="5890" max="5890" width="0.85546875" style="134" customWidth="1"/>
    <col min="5891" max="5891" width="0.7109375" style="134" customWidth="1"/>
    <col min="5892" max="5892" width="18.42578125" style="134" customWidth="1"/>
    <col min="5893" max="5893" width="2" style="134" customWidth="1"/>
    <col min="5894" max="5894" width="3.140625" style="134" customWidth="1"/>
    <col min="5895" max="5895" width="17.28515625" style="134" customWidth="1"/>
    <col min="5896" max="5896" width="2.42578125" style="134" customWidth="1"/>
    <col min="5897" max="5897" width="0.85546875" style="134" customWidth="1"/>
    <col min="5898" max="5898" width="51.28515625" style="134" customWidth="1"/>
    <col min="5899" max="5899" width="0.85546875" style="134" customWidth="1"/>
    <col min="5900" max="5900" width="9.140625" style="134"/>
    <col min="5901" max="5901" width="5.42578125" style="134" customWidth="1"/>
    <col min="5902" max="5902" width="6" style="134" customWidth="1"/>
    <col min="5903" max="5903" width="2.7109375" style="134" customWidth="1"/>
    <col min="5904" max="5904" width="6.140625" style="134" customWidth="1"/>
    <col min="5905" max="5907" width="2.140625" style="134" customWidth="1"/>
    <col min="5908" max="5908" width="13.42578125" style="134" customWidth="1"/>
    <col min="5909" max="5909" width="3.28515625" style="134" customWidth="1"/>
    <col min="5910" max="5910" width="10" style="134" customWidth="1"/>
    <col min="5911" max="5911" width="5.42578125" style="134" customWidth="1"/>
    <col min="5912" max="5912" width="6" style="134" customWidth="1"/>
    <col min="5913" max="5913" width="2.7109375" style="134" customWidth="1"/>
    <col min="5914" max="5914" width="6.140625" style="134" customWidth="1"/>
    <col min="5915" max="5917" width="2.140625" style="134" customWidth="1"/>
    <col min="5918" max="5918" width="13.42578125" style="134" customWidth="1"/>
    <col min="5919" max="5919" width="3.42578125" style="134" customWidth="1"/>
    <col min="5920" max="5920" width="18" style="134" customWidth="1"/>
    <col min="5921" max="5921" width="19.5703125" style="134" customWidth="1"/>
    <col min="5922" max="5922" width="15.85546875" style="134" customWidth="1"/>
    <col min="5923" max="6136" width="9.140625" style="134"/>
    <col min="6137" max="6137" width="1.140625" style="134" customWidth="1"/>
    <col min="6138" max="6138" width="18.42578125" style="134" customWidth="1"/>
    <col min="6139" max="6139" width="2" style="134" customWidth="1"/>
    <col min="6140" max="6140" width="3.140625" style="134" customWidth="1"/>
    <col min="6141" max="6141" width="17.28515625" style="134" customWidth="1"/>
    <col min="6142" max="6142" width="2.42578125" style="134" customWidth="1"/>
    <col min="6143" max="6143" width="0.85546875" style="134" customWidth="1"/>
    <col min="6144" max="6144" width="34.140625" style="134" customWidth="1"/>
    <col min="6145" max="6145" width="17.85546875" style="134" customWidth="1"/>
    <col min="6146" max="6146" width="0.85546875" style="134" customWidth="1"/>
    <col min="6147" max="6147" width="0.7109375" style="134" customWidth="1"/>
    <col min="6148" max="6148" width="18.42578125" style="134" customWidth="1"/>
    <col min="6149" max="6149" width="2" style="134" customWidth="1"/>
    <col min="6150" max="6150" width="3.140625" style="134" customWidth="1"/>
    <col min="6151" max="6151" width="17.28515625" style="134" customWidth="1"/>
    <col min="6152" max="6152" width="2.42578125" style="134" customWidth="1"/>
    <col min="6153" max="6153" width="0.85546875" style="134" customWidth="1"/>
    <col min="6154" max="6154" width="51.28515625" style="134" customWidth="1"/>
    <col min="6155" max="6155" width="0.85546875" style="134" customWidth="1"/>
    <col min="6156" max="6156" width="9.140625" style="134"/>
    <col min="6157" max="6157" width="5.42578125" style="134" customWidth="1"/>
    <col min="6158" max="6158" width="6" style="134" customWidth="1"/>
    <col min="6159" max="6159" width="2.7109375" style="134" customWidth="1"/>
    <col min="6160" max="6160" width="6.140625" style="134" customWidth="1"/>
    <col min="6161" max="6163" width="2.140625" style="134" customWidth="1"/>
    <col min="6164" max="6164" width="13.42578125" style="134" customWidth="1"/>
    <col min="6165" max="6165" width="3.28515625" style="134" customWidth="1"/>
    <col min="6166" max="6166" width="10" style="134" customWidth="1"/>
    <col min="6167" max="6167" width="5.42578125" style="134" customWidth="1"/>
    <col min="6168" max="6168" width="6" style="134" customWidth="1"/>
    <col min="6169" max="6169" width="2.7109375" style="134" customWidth="1"/>
    <col min="6170" max="6170" width="6.140625" style="134" customWidth="1"/>
    <col min="6171" max="6173" width="2.140625" style="134" customWidth="1"/>
    <col min="6174" max="6174" width="13.42578125" style="134" customWidth="1"/>
    <col min="6175" max="6175" width="3.42578125" style="134" customWidth="1"/>
    <col min="6176" max="6176" width="18" style="134" customWidth="1"/>
    <col min="6177" max="6177" width="19.5703125" style="134" customWidth="1"/>
    <col min="6178" max="6178" width="15.85546875" style="134" customWidth="1"/>
    <col min="6179" max="6392" width="9.140625" style="134"/>
    <col min="6393" max="6393" width="1.140625" style="134" customWidth="1"/>
    <col min="6394" max="6394" width="18.42578125" style="134" customWidth="1"/>
    <col min="6395" max="6395" width="2" style="134" customWidth="1"/>
    <col min="6396" max="6396" width="3.140625" style="134" customWidth="1"/>
    <col min="6397" max="6397" width="17.28515625" style="134" customWidth="1"/>
    <col min="6398" max="6398" width="2.42578125" style="134" customWidth="1"/>
    <col min="6399" max="6399" width="0.85546875" style="134" customWidth="1"/>
    <col min="6400" max="6400" width="34.140625" style="134" customWidth="1"/>
    <col min="6401" max="6401" width="17.85546875" style="134" customWidth="1"/>
    <col min="6402" max="6402" width="0.85546875" style="134" customWidth="1"/>
    <col min="6403" max="6403" width="0.7109375" style="134" customWidth="1"/>
    <col min="6404" max="6404" width="18.42578125" style="134" customWidth="1"/>
    <col min="6405" max="6405" width="2" style="134" customWidth="1"/>
    <col min="6406" max="6406" width="3.140625" style="134" customWidth="1"/>
    <col min="6407" max="6407" width="17.28515625" style="134" customWidth="1"/>
    <col min="6408" max="6408" width="2.42578125" style="134" customWidth="1"/>
    <col min="6409" max="6409" width="0.85546875" style="134" customWidth="1"/>
    <col min="6410" max="6410" width="51.28515625" style="134" customWidth="1"/>
    <col min="6411" max="6411" width="0.85546875" style="134" customWidth="1"/>
    <col min="6412" max="6412" width="9.140625" style="134"/>
    <col min="6413" max="6413" width="5.42578125" style="134" customWidth="1"/>
    <col min="6414" max="6414" width="6" style="134" customWidth="1"/>
    <col min="6415" max="6415" width="2.7109375" style="134" customWidth="1"/>
    <col min="6416" max="6416" width="6.140625" style="134" customWidth="1"/>
    <col min="6417" max="6419" width="2.140625" style="134" customWidth="1"/>
    <col min="6420" max="6420" width="13.42578125" style="134" customWidth="1"/>
    <col min="6421" max="6421" width="3.28515625" style="134" customWidth="1"/>
    <col min="6422" max="6422" width="10" style="134" customWidth="1"/>
    <col min="6423" max="6423" width="5.42578125" style="134" customWidth="1"/>
    <col min="6424" max="6424" width="6" style="134" customWidth="1"/>
    <col min="6425" max="6425" width="2.7109375" style="134" customWidth="1"/>
    <col min="6426" max="6426" width="6.140625" style="134" customWidth="1"/>
    <col min="6427" max="6429" width="2.140625" style="134" customWidth="1"/>
    <col min="6430" max="6430" width="13.42578125" style="134" customWidth="1"/>
    <col min="6431" max="6431" width="3.42578125" style="134" customWidth="1"/>
    <col min="6432" max="6432" width="18" style="134" customWidth="1"/>
    <col min="6433" max="6433" width="19.5703125" style="134" customWidth="1"/>
    <col min="6434" max="6434" width="15.85546875" style="134" customWidth="1"/>
    <col min="6435" max="6648" width="9.140625" style="134"/>
    <col min="6649" max="6649" width="1.140625" style="134" customWidth="1"/>
    <col min="6650" max="6650" width="18.42578125" style="134" customWidth="1"/>
    <col min="6651" max="6651" width="2" style="134" customWidth="1"/>
    <col min="6652" max="6652" width="3.140625" style="134" customWidth="1"/>
    <col min="6653" max="6653" width="17.28515625" style="134" customWidth="1"/>
    <col min="6654" max="6654" width="2.42578125" style="134" customWidth="1"/>
    <col min="6655" max="6655" width="0.85546875" style="134" customWidth="1"/>
    <col min="6656" max="6656" width="34.140625" style="134" customWidth="1"/>
    <col min="6657" max="6657" width="17.85546875" style="134" customWidth="1"/>
    <col min="6658" max="6658" width="0.85546875" style="134" customWidth="1"/>
    <col min="6659" max="6659" width="0.7109375" style="134" customWidth="1"/>
    <col min="6660" max="6660" width="18.42578125" style="134" customWidth="1"/>
    <col min="6661" max="6661" width="2" style="134" customWidth="1"/>
    <col min="6662" max="6662" width="3.140625" style="134" customWidth="1"/>
    <col min="6663" max="6663" width="17.28515625" style="134" customWidth="1"/>
    <col min="6664" max="6664" width="2.42578125" style="134" customWidth="1"/>
    <col min="6665" max="6665" width="0.85546875" style="134" customWidth="1"/>
    <col min="6666" max="6666" width="51.28515625" style="134" customWidth="1"/>
    <col min="6667" max="6667" width="0.85546875" style="134" customWidth="1"/>
    <col min="6668" max="6668" width="9.140625" style="134"/>
    <col min="6669" max="6669" width="5.42578125" style="134" customWidth="1"/>
    <col min="6670" max="6670" width="6" style="134" customWidth="1"/>
    <col min="6671" max="6671" width="2.7109375" style="134" customWidth="1"/>
    <col min="6672" max="6672" width="6.140625" style="134" customWidth="1"/>
    <col min="6673" max="6675" width="2.140625" style="134" customWidth="1"/>
    <col min="6676" max="6676" width="13.42578125" style="134" customWidth="1"/>
    <col min="6677" max="6677" width="3.28515625" style="134" customWidth="1"/>
    <col min="6678" max="6678" width="10" style="134" customWidth="1"/>
    <col min="6679" max="6679" width="5.42578125" style="134" customWidth="1"/>
    <col min="6680" max="6680" width="6" style="134" customWidth="1"/>
    <col min="6681" max="6681" width="2.7109375" style="134" customWidth="1"/>
    <col min="6682" max="6682" width="6.140625" style="134" customWidth="1"/>
    <col min="6683" max="6685" width="2.140625" style="134" customWidth="1"/>
    <col min="6686" max="6686" width="13.42578125" style="134" customWidth="1"/>
    <col min="6687" max="6687" width="3.42578125" style="134" customWidth="1"/>
    <col min="6688" max="6688" width="18" style="134" customWidth="1"/>
    <col min="6689" max="6689" width="19.5703125" style="134" customWidth="1"/>
    <col min="6690" max="6690" width="15.85546875" style="134" customWidth="1"/>
    <col min="6691" max="6904" width="9.140625" style="134"/>
    <col min="6905" max="6905" width="1.140625" style="134" customWidth="1"/>
    <col min="6906" max="6906" width="18.42578125" style="134" customWidth="1"/>
    <col min="6907" max="6907" width="2" style="134" customWidth="1"/>
    <col min="6908" max="6908" width="3.140625" style="134" customWidth="1"/>
    <col min="6909" max="6909" width="17.28515625" style="134" customWidth="1"/>
    <col min="6910" max="6910" width="2.42578125" style="134" customWidth="1"/>
    <col min="6911" max="6911" width="0.85546875" style="134" customWidth="1"/>
    <col min="6912" max="6912" width="34.140625" style="134" customWidth="1"/>
    <col min="6913" max="6913" width="17.85546875" style="134" customWidth="1"/>
    <col min="6914" max="6914" width="0.85546875" style="134" customWidth="1"/>
    <col min="6915" max="6915" width="0.7109375" style="134" customWidth="1"/>
    <col min="6916" max="6916" width="18.42578125" style="134" customWidth="1"/>
    <col min="6917" max="6917" width="2" style="134" customWidth="1"/>
    <col min="6918" max="6918" width="3.140625" style="134" customWidth="1"/>
    <col min="6919" max="6919" width="17.28515625" style="134" customWidth="1"/>
    <col min="6920" max="6920" width="2.42578125" style="134" customWidth="1"/>
    <col min="6921" max="6921" width="0.85546875" style="134" customWidth="1"/>
    <col min="6922" max="6922" width="51.28515625" style="134" customWidth="1"/>
    <col min="6923" max="6923" width="0.85546875" style="134" customWidth="1"/>
    <col min="6924" max="6924" width="9.140625" style="134"/>
    <col min="6925" max="6925" width="5.42578125" style="134" customWidth="1"/>
    <col min="6926" max="6926" width="6" style="134" customWidth="1"/>
    <col min="6927" max="6927" width="2.7109375" style="134" customWidth="1"/>
    <col min="6928" max="6928" width="6.140625" style="134" customWidth="1"/>
    <col min="6929" max="6931" width="2.140625" style="134" customWidth="1"/>
    <col min="6932" max="6932" width="13.42578125" style="134" customWidth="1"/>
    <col min="6933" max="6933" width="3.28515625" style="134" customWidth="1"/>
    <col min="6934" max="6934" width="10" style="134" customWidth="1"/>
    <col min="6935" max="6935" width="5.42578125" style="134" customWidth="1"/>
    <col min="6936" max="6936" width="6" style="134" customWidth="1"/>
    <col min="6937" max="6937" width="2.7109375" style="134" customWidth="1"/>
    <col min="6938" max="6938" width="6.140625" style="134" customWidth="1"/>
    <col min="6939" max="6941" width="2.140625" style="134" customWidth="1"/>
    <col min="6942" max="6942" width="13.42578125" style="134" customWidth="1"/>
    <col min="6943" max="6943" width="3.42578125" style="134" customWidth="1"/>
    <col min="6944" max="6944" width="18" style="134" customWidth="1"/>
    <col min="6945" max="6945" width="19.5703125" style="134" customWidth="1"/>
    <col min="6946" max="6946" width="15.85546875" style="134" customWidth="1"/>
    <col min="6947" max="7160" width="9.140625" style="134"/>
    <col min="7161" max="7161" width="1.140625" style="134" customWidth="1"/>
    <col min="7162" max="7162" width="18.42578125" style="134" customWidth="1"/>
    <col min="7163" max="7163" width="2" style="134" customWidth="1"/>
    <col min="7164" max="7164" width="3.140625" style="134" customWidth="1"/>
    <col min="7165" max="7165" width="17.28515625" style="134" customWidth="1"/>
    <col min="7166" max="7166" width="2.42578125" style="134" customWidth="1"/>
    <col min="7167" max="7167" width="0.85546875" style="134" customWidth="1"/>
    <col min="7168" max="7168" width="34.140625" style="134" customWidth="1"/>
    <col min="7169" max="7169" width="17.85546875" style="134" customWidth="1"/>
    <col min="7170" max="7170" width="0.85546875" style="134" customWidth="1"/>
    <col min="7171" max="7171" width="0.7109375" style="134" customWidth="1"/>
    <col min="7172" max="7172" width="18.42578125" style="134" customWidth="1"/>
    <col min="7173" max="7173" width="2" style="134" customWidth="1"/>
    <col min="7174" max="7174" width="3.140625" style="134" customWidth="1"/>
    <col min="7175" max="7175" width="17.28515625" style="134" customWidth="1"/>
    <col min="7176" max="7176" width="2.42578125" style="134" customWidth="1"/>
    <col min="7177" max="7177" width="0.85546875" style="134" customWidth="1"/>
    <col min="7178" max="7178" width="51.28515625" style="134" customWidth="1"/>
    <col min="7179" max="7179" width="0.85546875" style="134" customWidth="1"/>
    <col min="7180" max="7180" width="9.140625" style="134"/>
    <col min="7181" max="7181" width="5.42578125" style="134" customWidth="1"/>
    <col min="7182" max="7182" width="6" style="134" customWidth="1"/>
    <col min="7183" max="7183" width="2.7109375" style="134" customWidth="1"/>
    <col min="7184" max="7184" width="6.140625" style="134" customWidth="1"/>
    <col min="7185" max="7187" width="2.140625" style="134" customWidth="1"/>
    <col min="7188" max="7188" width="13.42578125" style="134" customWidth="1"/>
    <col min="7189" max="7189" width="3.28515625" style="134" customWidth="1"/>
    <col min="7190" max="7190" width="10" style="134" customWidth="1"/>
    <col min="7191" max="7191" width="5.42578125" style="134" customWidth="1"/>
    <col min="7192" max="7192" width="6" style="134" customWidth="1"/>
    <col min="7193" max="7193" width="2.7109375" style="134" customWidth="1"/>
    <col min="7194" max="7194" width="6.140625" style="134" customWidth="1"/>
    <col min="7195" max="7197" width="2.140625" style="134" customWidth="1"/>
    <col min="7198" max="7198" width="13.42578125" style="134" customWidth="1"/>
    <col min="7199" max="7199" width="3.42578125" style="134" customWidth="1"/>
    <col min="7200" max="7200" width="18" style="134" customWidth="1"/>
    <col min="7201" max="7201" width="19.5703125" style="134" customWidth="1"/>
    <col min="7202" max="7202" width="15.85546875" style="134" customWidth="1"/>
    <col min="7203" max="7416" width="9.140625" style="134"/>
    <col min="7417" max="7417" width="1.140625" style="134" customWidth="1"/>
    <col min="7418" max="7418" width="18.42578125" style="134" customWidth="1"/>
    <col min="7419" max="7419" width="2" style="134" customWidth="1"/>
    <col min="7420" max="7420" width="3.140625" style="134" customWidth="1"/>
    <col min="7421" max="7421" width="17.28515625" style="134" customWidth="1"/>
    <col min="7422" max="7422" width="2.42578125" style="134" customWidth="1"/>
    <col min="7423" max="7423" width="0.85546875" style="134" customWidth="1"/>
    <col min="7424" max="7424" width="34.140625" style="134" customWidth="1"/>
    <col min="7425" max="7425" width="17.85546875" style="134" customWidth="1"/>
    <col min="7426" max="7426" width="0.85546875" style="134" customWidth="1"/>
    <col min="7427" max="7427" width="0.7109375" style="134" customWidth="1"/>
    <col min="7428" max="7428" width="18.42578125" style="134" customWidth="1"/>
    <col min="7429" max="7429" width="2" style="134" customWidth="1"/>
    <col min="7430" max="7430" width="3.140625" style="134" customWidth="1"/>
    <col min="7431" max="7431" width="17.28515625" style="134" customWidth="1"/>
    <col min="7432" max="7432" width="2.42578125" style="134" customWidth="1"/>
    <col min="7433" max="7433" width="0.85546875" style="134" customWidth="1"/>
    <col min="7434" max="7434" width="51.28515625" style="134" customWidth="1"/>
    <col min="7435" max="7435" width="0.85546875" style="134" customWidth="1"/>
    <col min="7436" max="7436" width="9.140625" style="134"/>
    <col min="7437" max="7437" width="5.42578125" style="134" customWidth="1"/>
    <col min="7438" max="7438" width="6" style="134" customWidth="1"/>
    <col min="7439" max="7439" width="2.7109375" style="134" customWidth="1"/>
    <col min="7440" max="7440" width="6.140625" style="134" customWidth="1"/>
    <col min="7441" max="7443" width="2.140625" style="134" customWidth="1"/>
    <col min="7444" max="7444" width="13.42578125" style="134" customWidth="1"/>
    <col min="7445" max="7445" width="3.28515625" style="134" customWidth="1"/>
    <col min="7446" max="7446" width="10" style="134" customWidth="1"/>
    <col min="7447" max="7447" width="5.42578125" style="134" customWidth="1"/>
    <col min="7448" max="7448" width="6" style="134" customWidth="1"/>
    <col min="7449" max="7449" width="2.7109375" style="134" customWidth="1"/>
    <col min="7450" max="7450" width="6.140625" style="134" customWidth="1"/>
    <col min="7451" max="7453" width="2.140625" style="134" customWidth="1"/>
    <col min="7454" max="7454" width="13.42578125" style="134" customWidth="1"/>
    <col min="7455" max="7455" width="3.42578125" style="134" customWidth="1"/>
    <col min="7456" max="7456" width="18" style="134" customWidth="1"/>
    <col min="7457" max="7457" width="19.5703125" style="134" customWidth="1"/>
    <col min="7458" max="7458" width="15.85546875" style="134" customWidth="1"/>
    <col min="7459" max="7672" width="9.140625" style="134"/>
    <col min="7673" max="7673" width="1.140625" style="134" customWidth="1"/>
    <col min="7674" max="7674" width="18.42578125" style="134" customWidth="1"/>
    <col min="7675" max="7675" width="2" style="134" customWidth="1"/>
    <col min="7676" max="7676" width="3.140625" style="134" customWidth="1"/>
    <col min="7677" max="7677" width="17.28515625" style="134" customWidth="1"/>
    <col min="7678" max="7678" width="2.42578125" style="134" customWidth="1"/>
    <col min="7679" max="7679" width="0.85546875" style="134" customWidth="1"/>
    <col min="7680" max="7680" width="34.140625" style="134" customWidth="1"/>
    <col min="7681" max="7681" width="17.85546875" style="134" customWidth="1"/>
    <col min="7682" max="7682" width="0.85546875" style="134" customWidth="1"/>
    <col min="7683" max="7683" width="0.7109375" style="134" customWidth="1"/>
    <col min="7684" max="7684" width="18.42578125" style="134" customWidth="1"/>
    <col min="7685" max="7685" width="2" style="134" customWidth="1"/>
    <col min="7686" max="7686" width="3.140625" style="134" customWidth="1"/>
    <col min="7687" max="7687" width="17.28515625" style="134" customWidth="1"/>
    <col min="7688" max="7688" width="2.42578125" style="134" customWidth="1"/>
    <col min="7689" max="7689" width="0.85546875" style="134" customWidth="1"/>
    <col min="7690" max="7690" width="51.28515625" style="134" customWidth="1"/>
    <col min="7691" max="7691" width="0.85546875" style="134" customWidth="1"/>
    <col min="7692" max="7692" width="9.140625" style="134"/>
    <col min="7693" max="7693" width="5.42578125" style="134" customWidth="1"/>
    <col min="7694" max="7694" width="6" style="134" customWidth="1"/>
    <col min="7695" max="7695" width="2.7109375" style="134" customWidth="1"/>
    <col min="7696" max="7696" width="6.140625" style="134" customWidth="1"/>
    <col min="7697" max="7699" width="2.140625" style="134" customWidth="1"/>
    <col min="7700" max="7700" width="13.42578125" style="134" customWidth="1"/>
    <col min="7701" max="7701" width="3.28515625" style="134" customWidth="1"/>
    <col min="7702" max="7702" width="10" style="134" customWidth="1"/>
    <col min="7703" max="7703" width="5.42578125" style="134" customWidth="1"/>
    <col min="7704" max="7704" width="6" style="134" customWidth="1"/>
    <col min="7705" max="7705" width="2.7109375" style="134" customWidth="1"/>
    <col min="7706" max="7706" width="6.140625" style="134" customWidth="1"/>
    <col min="7707" max="7709" width="2.140625" style="134" customWidth="1"/>
    <col min="7710" max="7710" width="13.42578125" style="134" customWidth="1"/>
    <col min="7711" max="7711" width="3.42578125" style="134" customWidth="1"/>
    <col min="7712" max="7712" width="18" style="134" customWidth="1"/>
    <col min="7713" max="7713" width="19.5703125" style="134" customWidth="1"/>
    <col min="7714" max="7714" width="15.85546875" style="134" customWidth="1"/>
    <col min="7715" max="7928" width="9.140625" style="134"/>
    <col min="7929" max="7929" width="1.140625" style="134" customWidth="1"/>
    <col min="7930" max="7930" width="18.42578125" style="134" customWidth="1"/>
    <col min="7931" max="7931" width="2" style="134" customWidth="1"/>
    <col min="7932" max="7932" width="3.140625" style="134" customWidth="1"/>
    <col min="7933" max="7933" width="17.28515625" style="134" customWidth="1"/>
    <col min="7934" max="7934" width="2.42578125" style="134" customWidth="1"/>
    <col min="7935" max="7935" width="0.85546875" style="134" customWidth="1"/>
    <col min="7936" max="7936" width="34.140625" style="134" customWidth="1"/>
    <col min="7937" max="7937" width="17.85546875" style="134" customWidth="1"/>
    <col min="7938" max="7938" width="0.85546875" style="134" customWidth="1"/>
    <col min="7939" max="7939" width="0.7109375" style="134" customWidth="1"/>
    <col min="7940" max="7940" width="18.42578125" style="134" customWidth="1"/>
    <col min="7941" max="7941" width="2" style="134" customWidth="1"/>
    <col min="7942" max="7942" width="3.140625" style="134" customWidth="1"/>
    <col min="7943" max="7943" width="17.28515625" style="134" customWidth="1"/>
    <col min="7944" max="7944" width="2.42578125" style="134" customWidth="1"/>
    <col min="7945" max="7945" width="0.85546875" style="134" customWidth="1"/>
    <col min="7946" max="7946" width="51.28515625" style="134" customWidth="1"/>
    <col min="7947" max="7947" width="0.85546875" style="134" customWidth="1"/>
    <col min="7948" max="7948" width="9.140625" style="134"/>
    <col min="7949" max="7949" width="5.42578125" style="134" customWidth="1"/>
    <col min="7950" max="7950" width="6" style="134" customWidth="1"/>
    <col min="7951" max="7951" width="2.7109375" style="134" customWidth="1"/>
    <col min="7952" max="7952" width="6.140625" style="134" customWidth="1"/>
    <col min="7953" max="7955" width="2.140625" style="134" customWidth="1"/>
    <col min="7956" max="7956" width="13.42578125" style="134" customWidth="1"/>
    <col min="7957" max="7957" width="3.28515625" style="134" customWidth="1"/>
    <col min="7958" max="7958" width="10" style="134" customWidth="1"/>
    <col min="7959" max="7959" width="5.42578125" style="134" customWidth="1"/>
    <col min="7960" max="7960" width="6" style="134" customWidth="1"/>
    <col min="7961" max="7961" width="2.7109375" style="134" customWidth="1"/>
    <col min="7962" max="7962" width="6.140625" style="134" customWidth="1"/>
    <col min="7963" max="7965" width="2.140625" style="134" customWidth="1"/>
    <col min="7966" max="7966" width="13.42578125" style="134" customWidth="1"/>
    <col min="7967" max="7967" width="3.42578125" style="134" customWidth="1"/>
    <col min="7968" max="7968" width="18" style="134" customWidth="1"/>
    <col min="7969" max="7969" width="19.5703125" style="134" customWidth="1"/>
    <col min="7970" max="7970" width="15.85546875" style="134" customWidth="1"/>
    <col min="7971" max="8184" width="9.140625" style="134"/>
    <col min="8185" max="8185" width="1.140625" style="134" customWidth="1"/>
    <col min="8186" max="8186" width="18.42578125" style="134" customWidth="1"/>
    <col min="8187" max="8187" width="2" style="134" customWidth="1"/>
    <col min="8188" max="8188" width="3.140625" style="134" customWidth="1"/>
    <col min="8189" max="8189" width="17.28515625" style="134" customWidth="1"/>
    <col min="8190" max="8190" width="2.42578125" style="134" customWidth="1"/>
    <col min="8191" max="8191" width="0.85546875" style="134" customWidth="1"/>
    <col min="8192" max="8192" width="34.140625" style="134" customWidth="1"/>
    <col min="8193" max="8193" width="17.85546875" style="134" customWidth="1"/>
    <col min="8194" max="8194" width="0.85546875" style="134" customWidth="1"/>
    <col min="8195" max="8195" width="0.7109375" style="134" customWidth="1"/>
    <col min="8196" max="8196" width="18.42578125" style="134" customWidth="1"/>
    <col min="8197" max="8197" width="2" style="134" customWidth="1"/>
    <col min="8198" max="8198" width="3.140625" style="134" customWidth="1"/>
    <col min="8199" max="8199" width="17.28515625" style="134" customWidth="1"/>
    <col min="8200" max="8200" width="2.42578125" style="134" customWidth="1"/>
    <col min="8201" max="8201" width="0.85546875" style="134" customWidth="1"/>
    <col min="8202" max="8202" width="51.28515625" style="134" customWidth="1"/>
    <col min="8203" max="8203" width="0.85546875" style="134" customWidth="1"/>
    <col min="8204" max="8204" width="9.140625" style="134"/>
    <col min="8205" max="8205" width="5.42578125" style="134" customWidth="1"/>
    <col min="8206" max="8206" width="6" style="134" customWidth="1"/>
    <col min="8207" max="8207" width="2.7109375" style="134" customWidth="1"/>
    <col min="8208" max="8208" width="6.140625" style="134" customWidth="1"/>
    <col min="8209" max="8211" width="2.140625" style="134" customWidth="1"/>
    <col min="8212" max="8212" width="13.42578125" style="134" customWidth="1"/>
    <col min="8213" max="8213" width="3.28515625" style="134" customWidth="1"/>
    <col min="8214" max="8214" width="10" style="134" customWidth="1"/>
    <col min="8215" max="8215" width="5.42578125" style="134" customWidth="1"/>
    <col min="8216" max="8216" width="6" style="134" customWidth="1"/>
    <col min="8217" max="8217" width="2.7109375" style="134" customWidth="1"/>
    <col min="8218" max="8218" width="6.140625" style="134" customWidth="1"/>
    <col min="8219" max="8221" width="2.140625" style="134" customWidth="1"/>
    <col min="8222" max="8222" width="13.42578125" style="134" customWidth="1"/>
    <col min="8223" max="8223" width="3.42578125" style="134" customWidth="1"/>
    <col min="8224" max="8224" width="18" style="134" customWidth="1"/>
    <col min="8225" max="8225" width="19.5703125" style="134" customWidth="1"/>
    <col min="8226" max="8226" width="15.85546875" style="134" customWidth="1"/>
    <col min="8227" max="8440" width="9.140625" style="134"/>
    <col min="8441" max="8441" width="1.140625" style="134" customWidth="1"/>
    <col min="8442" max="8442" width="18.42578125" style="134" customWidth="1"/>
    <col min="8443" max="8443" width="2" style="134" customWidth="1"/>
    <col min="8444" max="8444" width="3.140625" style="134" customWidth="1"/>
    <col min="8445" max="8445" width="17.28515625" style="134" customWidth="1"/>
    <col min="8446" max="8446" width="2.42578125" style="134" customWidth="1"/>
    <col min="8447" max="8447" width="0.85546875" style="134" customWidth="1"/>
    <col min="8448" max="8448" width="34.140625" style="134" customWidth="1"/>
    <col min="8449" max="8449" width="17.85546875" style="134" customWidth="1"/>
    <col min="8450" max="8450" width="0.85546875" style="134" customWidth="1"/>
    <col min="8451" max="8451" width="0.7109375" style="134" customWidth="1"/>
    <col min="8452" max="8452" width="18.42578125" style="134" customWidth="1"/>
    <col min="8453" max="8453" width="2" style="134" customWidth="1"/>
    <col min="8454" max="8454" width="3.140625" style="134" customWidth="1"/>
    <col min="8455" max="8455" width="17.28515625" style="134" customWidth="1"/>
    <col min="8456" max="8456" width="2.42578125" style="134" customWidth="1"/>
    <col min="8457" max="8457" width="0.85546875" style="134" customWidth="1"/>
    <col min="8458" max="8458" width="51.28515625" style="134" customWidth="1"/>
    <col min="8459" max="8459" width="0.85546875" style="134" customWidth="1"/>
    <col min="8460" max="8460" width="9.140625" style="134"/>
    <col min="8461" max="8461" width="5.42578125" style="134" customWidth="1"/>
    <col min="8462" max="8462" width="6" style="134" customWidth="1"/>
    <col min="8463" max="8463" width="2.7109375" style="134" customWidth="1"/>
    <col min="8464" max="8464" width="6.140625" style="134" customWidth="1"/>
    <col min="8465" max="8467" width="2.140625" style="134" customWidth="1"/>
    <col min="8468" max="8468" width="13.42578125" style="134" customWidth="1"/>
    <col min="8469" max="8469" width="3.28515625" style="134" customWidth="1"/>
    <col min="8470" max="8470" width="10" style="134" customWidth="1"/>
    <col min="8471" max="8471" width="5.42578125" style="134" customWidth="1"/>
    <col min="8472" max="8472" width="6" style="134" customWidth="1"/>
    <col min="8473" max="8473" width="2.7109375" style="134" customWidth="1"/>
    <col min="8474" max="8474" width="6.140625" style="134" customWidth="1"/>
    <col min="8475" max="8477" width="2.140625" style="134" customWidth="1"/>
    <col min="8478" max="8478" width="13.42578125" style="134" customWidth="1"/>
    <col min="8479" max="8479" width="3.42578125" style="134" customWidth="1"/>
    <col min="8480" max="8480" width="18" style="134" customWidth="1"/>
    <col min="8481" max="8481" width="19.5703125" style="134" customWidth="1"/>
    <col min="8482" max="8482" width="15.85546875" style="134" customWidth="1"/>
    <col min="8483" max="8696" width="9.140625" style="134"/>
    <col min="8697" max="8697" width="1.140625" style="134" customWidth="1"/>
    <col min="8698" max="8698" width="18.42578125" style="134" customWidth="1"/>
    <col min="8699" max="8699" width="2" style="134" customWidth="1"/>
    <col min="8700" max="8700" width="3.140625" style="134" customWidth="1"/>
    <col min="8701" max="8701" width="17.28515625" style="134" customWidth="1"/>
    <col min="8702" max="8702" width="2.42578125" style="134" customWidth="1"/>
    <col min="8703" max="8703" width="0.85546875" style="134" customWidth="1"/>
    <col min="8704" max="8704" width="34.140625" style="134" customWidth="1"/>
    <col min="8705" max="8705" width="17.85546875" style="134" customWidth="1"/>
    <col min="8706" max="8706" width="0.85546875" style="134" customWidth="1"/>
    <col min="8707" max="8707" width="0.7109375" style="134" customWidth="1"/>
    <col min="8708" max="8708" width="18.42578125" style="134" customWidth="1"/>
    <col min="8709" max="8709" width="2" style="134" customWidth="1"/>
    <col min="8710" max="8710" width="3.140625" style="134" customWidth="1"/>
    <col min="8711" max="8711" width="17.28515625" style="134" customWidth="1"/>
    <col min="8712" max="8712" width="2.42578125" style="134" customWidth="1"/>
    <col min="8713" max="8713" width="0.85546875" style="134" customWidth="1"/>
    <col min="8714" max="8714" width="51.28515625" style="134" customWidth="1"/>
    <col min="8715" max="8715" width="0.85546875" style="134" customWidth="1"/>
    <col min="8716" max="8716" width="9.140625" style="134"/>
    <col min="8717" max="8717" width="5.42578125" style="134" customWidth="1"/>
    <col min="8718" max="8718" width="6" style="134" customWidth="1"/>
    <col min="8719" max="8719" width="2.7109375" style="134" customWidth="1"/>
    <col min="8720" max="8720" width="6.140625" style="134" customWidth="1"/>
    <col min="8721" max="8723" width="2.140625" style="134" customWidth="1"/>
    <col min="8724" max="8724" width="13.42578125" style="134" customWidth="1"/>
    <col min="8725" max="8725" width="3.28515625" style="134" customWidth="1"/>
    <col min="8726" max="8726" width="10" style="134" customWidth="1"/>
    <col min="8727" max="8727" width="5.42578125" style="134" customWidth="1"/>
    <col min="8728" max="8728" width="6" style="134" customWidth="1"/>
    <col min="8729" max="8729" width="2.7109375" style="134" customWidth="1"/>
    <col min="8730" max="8730" width="6.140625" style="134" customWidth="1"/>
    <col min="8731" max="8733" width="2.140625" style="134" customWidth="1"/>
    <col min="8734" max="8734" width="13.42578125" style="134" customWidth="1"/>
    <col min="8735" max="8735" width="3.42578125" style="134" customWidth="1"/>
    <col min="8736" max="8736" width="18" style="134" customWidth="1"/>
    <col min="8737" max="8737" width="19.5703125" style="134" customWidth="1"/>
    <col min="8738" max="8738" width="15.85546875" style="134" customWidth="1"/>
    <col min="8739" max="8952" width="9.140625" style="134"/>
    <col min="8953" max="8953" width="1.140625" style="134" customWidth="1"/>
    <col min="8954" max="8954" width="18.42578125" style="134" customWidth="1"/>
    <col min="8955" max="8955" width="2" style="134" customWidth="1"/>
    <col min="8956" max="8956" width="3.140625" style="134" customWidth="1"/>
    <col min="8957" max="8957" width="17.28515625" style="134" customWidth="1"/>
    <col min="8958" max="8958" width="2.42578125" style="134" customWidth="1"/>
    <col min="8959" max="8959" width="0.85546875" style="134" customWidth="1"/>
    <col min="8960" max="8960" width="34.140625" style="134" customWidth="1"/>
    <col min="8961" max="8961" width="17.85546875" style="134" customWidth="1"/>
    <col min="8962" max="8962" width="0.85546875" style="134" customWidth="1"/>
    <col min="8963" max="8963" width="0.7109375" style="134" customWidth="1"/>
    <col min="8964" max="8964" width="18.42578125" style="134" customWidth="1"/>
    <col min="8965" max="8965" width="2" style="134" customWidth="1"/>
    <col min="8966" max="8966" width="3.140625" style="134" customWidth="1"/>
    <col min="8967" max="8967" width="17.28515625" style="134" customWidth="1"/>
    <col min="8968" max="8968" width="2.42578125" style="134" customWidth="1"/>
    <col min="8969" max="8969" width="0.85546875" style="134" customWidth="1"/>
    <col min="8970" max="8970" width="51.28515625" style="134" customWidth="1"/>
    <col min="8971" max="8971" width="0.85546875" style="134" customWidth="1"/>
    <col min="8972" max="8972" width="9.140625" style="134"/>
    <col min="8973" max="8973" width="5.42578125" style="134" customWidth="1"/>
    <col min="8974" max="8974" width="6" style="134" customWidth="1"/>
    <col min="8975" max="8975" width="2.7109375" style="134" customWidth="1"/>
    <col min="8976" max="8976" width="6.140625" style="134" customWidth="1"/>
    <col min="8977" max="8979" width="2.140625" style="134" customWidth="1"/>
    <col min="8980" max="8980" width="13.42578125" style="134" customWidth="1"/>
    <col min="8981" max="8981" width="3.28515625" style="134" customWidth="1"/>
    <col min="8982" max="8982" width="10" style="134" customWidth="1"/>
    <col min="8983" max="8983" width="5.42578125" style="134" customWidth="1"/>
    <col min="8984" max="8984" width="6" style="134" customWidth="1"/>
    <col min="8985" max="8985" width="2.7109375" style="134" customWidth="1"/>
    <col min="8986" max="8986" width="6.140625" style="134" customWidth="1"/>
    <col min="8987" max="8989" width="2.140625" style="134" customWidth="1"/>
    <col min="8990" max="8990" width="13.42578125" style="134" customWidth="1"/>
    <col min="8991" max="8991" width="3.42578125" style="134" customWidth="1"/>
    <col min="8992" max="8992" width="18" style="134" customWidth="1"/>
    <col min="8993" max="8993" width="19.5703125" style="134" customWidth="1"/>
    <col min="8994" max="8994" width="15.85546875" style="134" customWidth="1"/>
    <col min="8995" max="9208" width="9.140625" style="134"/>
    <col min="9209" max="9209" width="1.140625" style="134" customWidth="1"/>
    <col min="9210" max="9210" width="18.42578125" style="134" customWidth="1"/>
    <col min="9211" max="9211" width="2" style="134" customWidth="1"/>
    <col min="9212" max="9212" width="3.140625" style="134" customWidth="1"/>
    <col min="9213" max="9213" width="17.28515625" style="134" customWidth="1"/>
    <col min="9214" max="9214" width="2.42578125" style="134" customWidth="1"/>
    <col min="9215" max="9215" width="0.85546875" style="134" customWidth="1"/>
    <col min="9216" max="9216" width="34.140625" style="134" customWidth="1"/>
    <col min="9217" max="9217" width="17.85546875" style="134" customWidth="1"/>
    <col min="9218" max="9218" width="0.85546875" style="134" customWidth="1"/>
    <col min="9219" max="9219" width="0.7109375" style="134" customWidth="1"/>
    <col min="9220" max="9220" width="18.42578125" style="134" customWidth="1"/>
    <col min="9221" max="9221" width="2" style="134" customWidth="1"/>
    <col min="9222" max="9222" width="3.140625" style="134" customWidth="1"/>
    <col min="9223" max="9223" width="17.28515625" style="134" customWidth="1"/>
    <col min="9224" max="9224" width="2.42578125" style="134" customWidth="1"/>
    <col min="9225" max="9225" width="0.85546875" style="134" customWidth="1"/>
    <col min="9226" max="9226" width="51.28515625" style="134" customWidth="1"/>
    <col min="9227" max="9227" width="0.85546875" style="134" customWidth="1"/>
    <col min="9228" max="9228" width="9.140625" style="134"/>
    <col min="9229" max="9229" width="5.42578125" style="134" customWidth="1"/>
    <col min="9230" max="9230" width="6" style="134" customWidth="1"/>
    <col min="9231" max="9231" width="2.7109375" style="134" customWidth="1"/>
    <col min="9232" max="9232" width="6.140625" style="134" customWidth="1"/>
    <col min="9233" max="9235" width="2.140625" style="134" customWidth="1"/>
    <col min="9236" max="9236" width="13.42578125" style="134" customWidth="1"/>
    <col min="9237" max="9237" width="3.28515625" style="134" customWidth="1"/>
    <col min="9238" max="9238" width="10" style="134" customWidth="1"/>
    <col min="9239" max="9239" width="5.42578125" style="134" customWidth="1"/>
    <col min="9240" max="9240" width="6" style="134" customWidth="1"/>
    <col min="9241" max="9241" width="2.7109375" style="134" customWidth="1"/>
    <col min="9242" max="9242" width="6.140625" style="134" customWidth="1"/>
    <col min="9243" max="9245" width="2.140625" style="134" customWidth="1"/>
    <col min="9246" max="9246" width="13.42578125" style="134" customWidth="1"/>
    <col min="9247" max="9247" width="3.42578125" style="134" customWidth="1"/>
    <col min="9248" max="9248" width="18" style="134" customWidth="1"/>
    <col min="9249" max="9249" width="19.5703125" style="134" customWidth="1"/>
    <col min="9250" max="9250" width="15.85546875" style="134" customWidth="1"/>
    <col min="9251" max="9464" width="9.140625" style="134"/>
    <col min="9465" max="9465" width="1.140625" style="134" customWidth="1"/>
    <col min="9466" max="9466" width="18.42578125" style="134" customWidth="1"/>
    <col min="9467" max="9467" width="2" style="134" customWidth="1"/>
    <col min="9468" max="9468" width="3.140625" style="134" customWidth="1"/>
    <col min="9469" max="9469" width="17.28515625" style="134" customWidth="1"/>
    <col min="9470" max="9470" width="2.42578125" style="134" customWidth="1"/>
    <col min="9471" max="9471" width="0.85546875" style="134" customWidth="1"/>
    <col min="9472" max="9472" width="34.140625" style="134" customWidth="1"/>
    <col min="9473" max="9473" width="17.85546875" style="134" customWidth="1"/>
    <col min="9474" max="9474" width="0.85546875" style="134" customWidth="1"/>
    <col min="9475" max="9475" width="0.7109375" style="134" customWidth="1"/>
    <col min="9476" max="9476" width="18.42578125" style="134" customWidth="1"/>
    <col min="9477" max="9477" width="2" style="134" customWidth="1"/>
    <col min="9478" max="9478" width="3.140625" style="134" customWidth="1"/>
    <col min="9479" max="9479" width="17.28515625" style="134" customWidth="1"/>
    <col min="9480" max="9480" width="2.42578125" style="134" customWidth="1"/>
    <col min="9481" max="9481" width="0.85546875" style="134" customWidth="1"/>
    <col min="9482" max="9482" width="51.28515625" style="134" customWidth="1"/>
    <col min="9483" max="9483" width="0.85546875" style="134" customWidth="1"/>
    <col min="9484" max="9484" width="9.140625" style="134"/>
    <col min="9485" max="9485" width="5.42578125" style="134" customWidth="1"/>
    <col min="9486" max="9486" width="6" style="134" customWidth="1"/>
    <col min="9487" max="9487" width="2.7109375" style="134" customWidth="1"/>
    <col min="9488" max="9488" width="6.140625" style="134" customWidth="1"/>
    <col min="9489" max="9491" width="2.140625" style="134" customWidth="1"/>
    <col min="9492" max="9492" width="13.42578125" style="134" customWidth="1"/>
    <col min="9493" max="9493" width="3.28515625" style="134" customWidth="1"/>
    <col min="9494" max="9494" width="10" style="134" customWidth="1"/>
    <col min="9495" max="9495" width="5.42578125" style="134" customWidth="1"/>
    <col min="9496" max="9496" width="6" style="134" customWidth="1"/>
    <col min="9497" max="9497" width="2.7109375" style="134" customWidth="1"/>
    <col min="9498" max="9498" width="6.140625" style="134" customWidth="1"/>
    <col min="9499" max="9501" width="2.140625" style="134" customWidth="1"/>
    <col min="9502" max="9502" width="13.42578125" style="134" customWidth="1"/>
    <col min="9503" max="9503" width="3.42578125" style="134" customWidth="1"/>
    <col min="9504" max="9504" width="18" style="134" customWidth="1"/>
    <col min="9505" max="9505" width="19.5703125" style="134" customWidth="1"/>
    <col min="9506" max="9506" width="15.85546875" style="134" customWidth="1"/>
    <col min="9507" max="9720" width="9.140625" style="134"/>
    <col min="9721" max="9721" width="1.140625" style="134" customWidth="1"/>
    <col min="9722" max="9722" width="18.42578125" style="134" customWidth="1"/>
    <col min="9723" max="9723" width="2" style="134" customWidth="1"/>
    <col min="9724" max="9724" width="3.140625" style="134" customWidth="1"/>
    <col min="9725" max="9725" width="17.28515625" style="134" customWidth="1"/>
    <col min="9726" max="9726" width="2.42578125" style="134" customWidth="1"/>
    <col min="9727" max="9727" width="0.85546875" style="134" customWidth="1"/>
    <col min="9728" max="9728" width="34.140625" style="134" customWidth="1"/>
    <col min="9729" max="9729" width="17.85546875" style="134" customWidth="1"/>
    <col min="9730" max="9730" width="0.85546875" style="134" customWidth="1"/>
    <col min="9731" max="9731" width="0.7109375" style="134" customWidth="1"/>
    <col min="9732" max="9732" width="18.42578125" style="134" customWidth="1"/>
    <col min="9733" max="9733" width="2" style="134" customWidth="1"/>
    <col min="9734" max="9734" width="3.140625" style="134" customWidth="1"/>
    <col min="9735" max="9735" width="17.28515625" style="134" customWidth="1"/>
    <col min="9736" max="9736" width="2.42578125" style="134" customWidth="1"/>
    <col min="9737" max="9737" width="0.85546875" style="134" customWidth="1"/>
    <col min="9738" max="9738" width="51.28515625" style="134" customWidth="1"/>
    <col min="9739" max="9739" width="0.85546875" style="134" customWidth="1"/>
    <col min="9740" max="9740" width="9.140625" style="134"/>
    <col min="9741" max="9741" width="5.42578125" style="134" customWidth="1"/>
    <col min="9742" max="9742" width="6" style="134" customWidth="1"/>
    <col min="9743" max="9743" width="2.7109375" style="134" customWidth="1"/>
    <col min="9744" max="9744" width="6.140625" style="134" customWidth="1"/>
    <col min="9745" max="9747" width="2.140625" style="134" customWidth="1"/>
    <col min="9748" max="9748" width="13.42578125" style="134" customWidth="1"/>
    <col min="9749" max="9749" width="3.28515625" style="134" customWidth="1"/>
    <col min="9750" max="9750" width="10" style="134" customWidth="1"/>
    <col min="9751" max="9751" width="5.42578125" style="134" customWidth="1"/>
    <col min="9752" max="9752" width="6" style="134" customWidth="1"/>
    <col min="9753" max="9753" width="2.7109375" style="134" customWidth="1"/>
    <col min="9754" max="9754" width="6.140625" style="134" customWidth="1"/>
    <col min="9755" max="9757" width="2.140625" style="134" customWidth="1"/>
    <col min="9758" max="9758" width="13.42578125" style="134" customWidth="1"/>
    <col min="9759" max="9759" width="3.42578125" style="134" customWidth="1"/>
    <col min="9760" max="9760" width="18" style="134" customWidth="1"/>
    <col min="9761" max="9761" width="19.5703125" style="134" customWidth="1"/>
    <col min="9762" max="9762" width="15.85546875" style="134" customWidth="1"/>
    <col min="9763" max="9976" width="9.140625" style="134"/>
    <col min="9977" max="9977" width="1.140625" style="134" customWidth="1"/>
    <col min="9978" max="9978" width="18.42578125" style="134" customWidth="1"/>
    <col min="9979" max="9979" width="2" style="134" customWidth="1"/>
    <col min="9980" max="9980" width="3.140625" style="134" customWidth="1"/>
    <col min="9981" max="9981" width="17.28515625" style="134" customWidth="1"/>
    <col min="9982" max="9982" width="2.42578125" style="134" customWidth="1"/>
    <col min="9983" max="9983" width="0.85546875" style="134" customWidth="1"/>
    <col min="9984" max="9984" width="34.140625" style="134" customWidth="1"/>
    <col min="9985" max="9985" width="17.85546875" style="134" customWidth="1"/>
    <col min="9986" max="9986" width="0.85546875" style="134" customWidth="1"/>
    <col min="9987" max="9987" width="0.7109375" style="134" customWidth="1"/>
    <col min="9988" max="9988" width="18.42578125" style="134" customWidth="1"/>
    <col min="9989" max="9989" width="2" style="134" customWidth="1"/>
    <col min="9990" max="9990" width="3.140625" style="134" customWidth="1"/>
    <col min="9991" max="9991" width="17.28515625" style="134" customWidth="1"/>
    <col min="9992" max="9992" width="2.42578125" style="134" customWidth="1"/>
    <col min="9993" max="9993" width="0.85546875" style="134" customWidth="1"/>
    <col min="9994" max="9994" width="51.28515625" style="134" customWidth="1"/>
    <col min="9995" max="9995" width="0.85546875" style="134" customWidth="1"/>
    <col min="9996" max="9996" width="9.140625" style="134"/>
    <col min="9997" max="9997" width="5.42578125" style="134" customWidth="1"/>
    <col min="9998" max="9998" width="6" style="134" customWidth="1"/>
    <col min="9999" max="9999" width="2.7109375" style="134" customWidth="1"/>
    <col min="10000" max="10000" width="6.140625" style="134" customWidth="1"/>
    <col min="10001" max="10003" width="2.140625" style="134" customWidth="1"/>
    <col min="10004" max="10004" width="13.42578125" style="134" customWidth="1"/>
    <col min="10005" max="10005" width="3.28515625" style="134" customWidth="1"/>
    <col min="10006" max="10006" width="10" style="134" customWidth="1"/>
    <col min="10007" max="10007" width="5.42578125" style="134" customWidth="1"/>
    <col min="10008" max="10008" width="6" style="134" customWidth="1"/>
    <col min="10009" max="10009" width="2.7109375" style="134" customWidth="1"/>
    <col min="10010" max="10010" width="6.140625" style="134" customWidth="1"/>
    <col min="10011" max="10013" width="2.140625" style="134" customWidth="1"/>
    <col min="10014" max="10014" width="13.42578125" style="134" customWidth="1"/>
    <col min="10015" max="10015" width="3.42578125" style="134" customWidth="1"/>
    <col min="10016" max="10016" width="18" style="134" customWidth="1"/>
    <col min="10017" max="10017" width="19.5703125" style="134" customWidth="1"/>
    <col min="10018" max="10018" width="15.85546875" style="134" customWidth="1"/>
    <col min="10019" max="10232" width="9.140625" style="134"/>
    <col min="10233" max="10233" width="1.140625" style="134" customWidth="1"/>
    <col min="10234" max="10234" width="18.42578125" style="134" customWidth="1"/>
    <col min="10235" max="10235" width="2" style="134" customWidth="1"/>
    <col min="10236" max="10236" width="3.140625" style="134" customWidth="1"/>
    <col min="10237" max="10237" width="17.28515625" style="134" customWidth="1"/>
    <col min="10238" max="10238" width="2.42578125" style="134" customWidth="1"/>
    <col min="10239" max="10239" width="0.85546875" style="134" customWidth="1"/>
    <col min="10240" max="10240" width="34.140625" style="134" customWidth="1"/>
    <col min="10241" max="10241" width="17.85546875" style="134" customWidth="1"/>
    <col min="10242" max="10242" width="0.85546875" style="134" customWidth="1"/>
    <col min="10243" max="10243" width="0.7109375" style="134" customWidth="1"/>
    <col min="10244" max="10244" width="18.42578125" style="134" customWidth="1"/>
    <col min="10245" max="10245" width="2" style="134" customWidth="1"/>
    <col min="10246" max="10246" width="3.140625" style="134" customWidth="1"/>
    <col min="10247" max="10247" width="17.28515625" style="134" customWidth="1"/>
    <col min="10248" max="10248" width="2.42578125" style="134" customWidth="1"/>
    <col min="10249" max="10249" width="0.85546875" style="134" customWidth="1"/>
    <col min="10250" max="10250" width="51.28515625" style="134" customWidth="1"/>
    <col min="10251" max="10251" width="0.85546875" style="134" customWidth="1"/>
    <col min="10252" max="10252" width="9.140625" style="134"/>
    <col min="10253" max="10253" width="5.42578125" style="134" customWidth="1"/>
    <col min="10254" max="10254" width="6" style="134" customWidth="1"/>
    <col min="10255" max="10255" width="2.7109375" style="134" customWidth="1"/>
    <col min="10256" max="10256" width="6.140625" style="134" customWidth="1"/>
    <col min="10257" max="10259" width="2.140625" style="134" customWidth="1"/>
    <col min="10260" max="10260" width="13.42578125" style="134" customWidth="1"/>
    <col min="10261" max="10261" width="3.28515625" style="134" customWidth="1"/>
    <col min="10262" max="10262" width="10" style="134" customWidth="1"/>
    <col min="10263" max="10263" width="5.42578125" style="134" customWidth="1"/>
    <col min="10264" max="10264" width="6" style="134" customWidth="1"/>
    <col min="10265" max="10265" width="2.7109375" style="134" customWidth="1"/>
    <col min="10266" max="10266" width="6.140625" style="134" customWidth="1"/>
    <col min="10267" max="10269" width="2.140625" style="134" customWidth="1"/>
    <col min="10270" max="10270" width="13.42578125" style="134" customWidth="1"/>
    <col min="10271" max="10271" width="3.42578125" style="134" customWidth="1"/>
    <col min="10272" max="10272" width="18" style="134" customWidth="1"/>
    <col min="10273" max="10273" width="19.5703125" style="134" customWidth="1"/>
    <col min="10274" max="10274" width="15.85546875" style="134" customWidth="1"/>
    <col min="10275" max="10488" width="9.140625" style="134"/>
    <col min="10489" max="10489" width="1.140625" style="134" customWidth="1"/>
    <col min="10490" max="10490" width="18.42578125" style="134" customWidth="1"/>
    <col min="10491" max="10491" width="2" style="134" customWidth="1"/>
    <col min="10492" max="10492" width="3.140625" style="134" customWidth="1"/>
    <col min="10493" max="10493" width="17.28515625" style="134" customWidth="1"/>
    <col min="10494" max="10494" width="2.42578125" style="134" customWidth="1"/>
    <col min="10495" max="10495" width="0.85546875" style="134" customWidth="1"/>
    <col min="10496" max="10496" width="34.140625" style="134" customWidth="1"/>
    <col min="10497" max="10497" width="17.85546875" style="134" customWidth="1"/>
    <col min="10498" max="10498" width="0.85546875" style="134" customWidth="1"/>
    <col min="10499" max="10499" width="0.7109375" style="134" customWidth="1"/>
    <col min="10500" max="10500" width="18.42578125" style="134" customWidth="1"/>
    <col min="10501" max="10501" width="2" style="134" customWidth="1"/>
    <col min="10502" max="10502" width="3.140625" style="134" customWidth="1"/>
    <col min="10503" max="10503" width="17.28515625" style="134" customWidth="1"/>
    <col min="10504" max="10504" width="2.42578125" style="134" customWidth="1"/>
    <col min="10505" max="10505" width="0.85546875" style="134" customWidth="1"/>
    <col min="10506" max="10506" width="51.28515625" style="134" customWidth="1"/>
    <col min="10507" max="10507" width="0.85546875" style="134" customWidth="1"/>
    <col min="10508" max="10508" width="9.140625" style="134"/>
    <col min="10509" max="10509" width="5.42578125" style="134" customWidth="1"/>
    <col min="10510" max="10510" width="6" style="134" customWidth="1"/>
    <col min="10511" max="10511" width="2.7109375" style="134" customWidth="1"/>
    <col min="10512" max="10512" width="6.140625" style="134" customWidth="1"/>
    <col min="10513" max="10515" width="2.140625" style="134" customWidth="1"/>
    <col min="10516" max="10516" width="13.42578125" style="134" customWidth="1"/>
    <col min="10517" max="10517" width="3.28515625" style="134" customWidth="1"/>
    <col min="10518" max="10518" width="10" style="134" customWidth="1"/>
    <col min="10519" max="10519" width="5.42578125" style="134" customWidth="1"/>
    <col min="10520" max="10520" width="6" style="134" customWidth="1"/>
    <col min="10521" max="10521" width="2.7109375" style="134" customWidth="1"/>
    <col min="10522" max="10522" width="6.140625" style="134" customWidth="1"/>
    <col min="10523" max="10525" width="2.140625" style="134" customWidth="1"/>
    <col min="10526" max="10526" width="13.42578125" style="134" customWidth="1"/>
    <col min="10527" max="10527" width="3.42578125" style="134" customWidth="1"/>
    <col min="10528" max="10528" width="18" style="134" customWidth="1"/>
    <col min="10529" max="10529" width="19.5703125" style="134" customWidth="1"/>
    <col min="10530" max="10530" width="15.85546875" style="134" customWidth="1"/>
    <col min="10531" max="10744" width="9.140625" style="134"/>
    <col min="10745" max="10745" width="1.140625" style="134" customWidth="1"/>
    <col min="10746" max="10746" width="18.42578125" style="134" customWidth="1"/>
    <col min="10747" max="10747" width="2" style="134" customWidth="1"/>
    <col min="10748" max="10748" width="3.140625" style="134" customWidth="1"/>
    <col min="10749" max="10749" width="17.28515625" style="134" customWidth="1"/>
    <col min="10750" max="10750" width="2.42578125" style="134" customWidth="1"/>
    <col min="10751" max="10751" width="0.85546875" style="134" customWidth="1"/>
    <col min="10752" max="10752" width="34.140625" style="134" customWidth="1"/>
    <col min="10753" max="10753" width="17.85546875" style="134" customWidth="1"/>
    <col min="10754" max="10754" width="0.85546875" style="134" customWidth="1"/>
    <col min="10755" max="10755" width="0.7109375" style="134" customWidth="1"/>
    <col min="10756" max="10756" width="18.42578125" style="134" customWidth="1"/>
    <col min="10757" max="10757" width="2" style="134" customWidth="1"/>
    <col min="10758" max="10758" width="3.140625" style="134" customWidth="1"/>
    <col min="10759" max="10759" width="17.28515625" style="134" customWidth="1"/>
    <col min="10760" max="10760" width="2.42578125" style="134" customWidth="1"/>
    <col min="10761" max="10761" width="0.85546875" style="134" customWidth="1"/>
    <col min="10762" max="10762" width="51.28515625" style="134" customWidth="1"/>
    <col min="10763" max="10763" width="0.85546875" style="134" customWidth="1"/>
    <col min="10764" max="10764" width="9.140625" style="134"/>
    <col min="10765" max="10765" width="5.42578125" style="134" customWidth="1"/>
    <col min="10766" max="10766" width="6" style="134" customWidth="1"/>
    <col min="10767" max="10767" width="2.7109375" style="134" customWidth="1"/>
    <col min="10768" max="10768" width="6.140625" style="134" customWidth="1"/>
    <col min="10769" max="10771" width="2.140625" style="134" customWidth="1"/>
    <col min="10772" max="10772" width="13.42578125" style="134" customWidth="1"/>
    <col min="10773" max="10773" width="3.28515625" style="134" customWidth="1"/>
    <col min="10774" max="10774" width="10" style="134" customWidth="1"/>
    <col min="10775" max="10775" width="5.42578125" style="134" customWidth="1"/>
    <col min="10776" max="10776" width="6" style="134" customWidth="1"/>
    <col min="10777" max="10777" width="2.7109375" style="134" customWidth="1"/>
    <col min="10778" max="10778" width="6.140625" style="134" customWidth="1"/>
    <col min="10779" max="10781" width="2.140625" style="134" customWidth="1"/>
    <col min="10782" max="10782" width="13.42578125" style="134" customWidth="1"/>
    <col min="10783" max="10783" width="3.42578125" style="134" customWidth="1"/>
    <col min="10784" max="10784" width="18" style="134" customWidth="1"/>
    <col min="10785" max="10785" width="19.5703125" style="134" customWidth="1"/>
    <col min="10786" max="10786" width="15.85546875" style="134" customWidth="1"/>
    <col min="10787" max="11000" width="9.140625" style="134"/>
    <col min="11001" max="11001" width="1.140625" style="134" customWidth="1"/>
    <col min="11002" max="11002" width="18.42578125" style="134" customWidth="1"/>
    <col min="11003" max="11003" width="2" style="134" customWidth="1"/>
    <col min="11004" max="11004" width="3.140625" style="134" customWidth="1"/>
    <col min="11005" max="11005" width="17.28515625" style="134" customWidth="1"/>
    <col min="11006" max="11006" width="2.42578125" style="134" customWidth="1"/>
    <col min="11007" max="11007" width="0.85546875" style="134" customWidth="1"/>
    <col min="11008" max="11008" width="34.140625" style="134" customWidth="1"/>
    <col min="11009" max="11009" width="17.85546875" style="134" customWidth="1"/>
    <col min="11010" max="11010" width="0.85546875" style="134" customWidth="1"/>
    <col min="11011" max="11011" width="0.7109375" style="134" customWidth="1"/>
    <col min="11012" max="11012" width="18.42578125" style="134" customWidth="1"/>
    <col min="11013" max="11013" width="2" style="134" customWidth="1"/>
    <col min="11014" max="11014" width="3.140625" style="134" customWidth="1"/>
    <col min="11015" max="11015" width="17.28515625" style="134" customWidth="1"/>
    <col min="11016" max="11016" width="2.42578125" style="134" customWidth="1"/>
    <col min="11017" max="11017" width="0.85546875" style="134" customWidth="1"/>
    <col min="11018" max="11018" width="51.28515625" style="134" customWidth="1"/>
    <col min="11019" max="11019" width="0.85546875" style="134" customWidth="1"/>
    <col min="11020" max="11020" width="9.140625" style="134"/>
    <col min="11021" max="11021" width="5.42578125" style="134" customWidth="1"/>
    <col min="11022" max="11022" width="6" style="134" customWidth="1"/>
    <col min="11023" max="11023" width="2.7109375" style="134" customWidth="1"/>
    <col min="11024" max="11024" width="6.140625" style="134" customWidth="1"/>
    <col min="11025" max="11027" width="2.140625" style="134" customWidth="1"/>
    <col min="11028" max="11028" width="13.42578125" style="134" customWidth="1"/>
    <col min="11029" max="11029" width="3.28515625" style="134" customWidth="1"/>
    <col min="11030" max="11030" width="10" style="134" customWidth="1"/>
    <col min="11031" max="11031" width="5.42578125" style="134" customWidth="1"/>
    <col min="11032" max="11032" width="6" style="134" customWidth="1"/>
    <col min="11033" max="11033" width="2.7109375" style="134" customWidth="1"/>
    <col min="11034" max="11034" width="6.140625" style="134" customWidth="1"/>
    <col min="11035" max="11037" width="2.140625" style="134" customWidth="1"/>
    <col min="11038" max="11038" width="13.42578125" style="134" customWidth="1"/>
    <col min="11039" max="11039" width="3.42578125" style="134" customWidth="1"/>
    <col min="11040" max="11040" width="18" style="134" customWidth="1"/>
    <col min="11041" max="11041" width="19.5703125" style="134" customWidth="1"/>
    <col min="11042" max="11042" width="15.85546875" style="134" customWidth="1"/>
    <col min="11043" max="11256" width="9.140625" style="134"/>
    <col min="11257" max="11257" width="1.140625" style="134" customWidth="1"/>
    <col min="11258" max="11258" width="18.42578125" style="134" customWidth="1"/>
    <col min="11259" max="11259" width="2" style="134" customWidth="1"/>
    <col min="11260" max="11260" width="3.140625" style="134" customWidth="1"/>
    <col min="11261" max="11261" width="17.28515625" style="134" customWidth="1"/>
    <col min="11262" max="11262" width="2.42578125" style="134" customWidth="1"/>
    <col min="11263" max="11263" width="0.85546875" style="134" customWidth="1"/>
    <col min="11264" max="11264" width="34.140625" style="134" customWidth="1"/>
    <col min="11265" max="11265" width="17.85546875" style="134" customWidth="1"/>
    <col min="11266" max="11266" width="0.85546875" style="134" customWidth="1"/>
    <col min="11267" max="11267" width="0.7109375" style="134" customWidth="1"/>
    <col min="11268" max="11268" width="18.42578125" style="134" customWidth="1"/>
    <col min="11269" max="11269" width="2" style="134" customWidth="1"/>
    <col min="11270" max="11270" width="3.140625" style="134" customWidth="1"/>
    <col min="11271" max="11271" width="17.28515625" style="134" customWidth="1"/>
    <col min="11272" max="11272" width="2.42578125" style="134" customWidth="1"/>
    <col min="11273" max="11273" width="0.85546875" style="134" customWidth="1"/>
    <col min="11274" max="11274" width="51.28515625" style="134" customWidth="1"/>
    <col min="11275" max="11275" width="0.85546875" style="134" customWidth="1"/>
    <col min="11276" max="11276" width="9.140625" style="134"/>
    <col min="11277" max="11277" width="5.42578125" style="134" customWidth="1"/>
    <col min="11278" max="11278" width="6" style="134" customWidth="1"/>
    <col min="11279" max="11279" width="2.7109375" style="134" customWidth="1"/>
    <col min="11280" max="11280" width="6.140625" style="134" customWidth="1"/>
    <col min="11281" max="11283" width="2.140625" style="134" customWidth="1"/>
    <col min="11284" max="11284" width="13.42578125" style="134" customWidth="1"/>
    <col min="11285" max="11285" width="3.28515625" style="134" customWidth="1"/>
    <col min="11286" max="11286" width="10" style="134" customWidth="1"/>
    <col min="11287" max="11287" width="5.42578125" style="134" customWidth="1"/>
    <col min="11288" max="11288" width="6" style="134" customWidth="1"/>
    <col min="11289" max="11289" width="2.7109375" style="134" customWidth="1"/>
    <col min="11290" max="11290" width="6.140625" style="134" customWidth="1"/>
    <col min="11291" max="11293" width="2.140625" style="134" customWidth="1"/>
    <col min="11294" max="11294" width="13.42578125" style="134" customWidth="1"/>
    <col min="11295" max="11295" width="3.42578125" style="134" customWidth="1"/>
    <col min="11296" max="11296" width="18" style="134" customWidth="1"/>
    <col min="11297" max="11297" width="19.5703125" style="134" customWidth="1"/>
    <col min="11298" max="11298" width="15.85546875" style="134" customWidth="1"/>
    <col min="11299" max="11512" width="9.140625" style="134"/>
    <col min="11513" max="11513" width="1.140625" style="134" customWidth="1"/>
    <col min="11514" max="11514" width="18.42578125" style="134" customWidth="1"/>
    <col min="11515" max="11515" width="2" style="134" customWidth="1"/>
    <col min="11516" max="11516" width="3.140625" style="134" customWidth="1"/>
    <col min="11517" max="11517" width="17.28515625" style="134" customWidth="1"/>
    <col min="11518" max="11518" width="2.42578125" style="134" customWidth="1"/>
    <col min="11519" max="11519" width="0.85546875" style="134" customWidth="1"/>
    <col min="11520" max="11520" width="34.140625" style="134" customWidth="1"/>
    <col min="11521" max="11521" width="17.85546875" style="134" customWidth="1"/>
    <col min="11522" max="11522" width="0.85546875" style="134" customWidth="1"/>
    <col min="11523" max="11523" width="0.7109375" style="134" customWidth="1"/>
    <col min="11524" max="11524" width="18.42578125" style="134" customWidth="1"/>
    <col min="11525" max="11525" width="2" style="134" customWidth="1"/>
    <col min="11526" max="11526" width="3.140625" style="134" customWidth="1"/>
    <col min="11527" max="11527" width="17.28515625" style="134" customWidth="1"/>
    <col min="11528" max="11528" width="2.42578125" style="134" customWidth="1"/>
    <col min="11529" max="11529" width="0.85546875" style="134" customWidth="1"/>
    <col min="11530" max="11530" width="51.28515625" style="134" customWidth="1"/>
    <col min="11531" max="11531" width="0.85546875" style="134" customWidth="1"/>
    <col min="11532" max="11532" width="9.140625" style="134"/>
    <col min="11533" max="11533" width="5.42578125" style="134" customWidth="1"/>
    <col min="11534" max="11534" width="6" style="134" customWidth="1"/>
    <col min="11535" max="11535" width="2.7109375" style="134" customWidth="1"/>
    <col min="11536" max="11536" width="6.140625" style="134" customWidth="1"/>
    <col min="11537" max="11539" width="2.140625" style="134" customWidth="1"/>
    <col min="11540" max="11540" width="13.42578125" style="134" customWidth="1"/>
    <col min="11541" max="11541" width="3.28515625" style="134" customWidth="1"/>
    <col min="11542" max="11542" width="10" style="134" customWidth="1"/>
    <col min="11543" max="11543" width="5.42578125" style="134" customWidth="1"/>
    <col min="11544" max="11544" width="6" style="134" customWidth="1"/>
    <col min="11545" max="11545" width="2.7109375" style="134" customWidth="1"/>
    <col min="11546" max="11546" width="6.140625" style="134" customWidth="1"/>
    <col min="11547" max="11549" width="2.140625" style="134" customWidth="1"/>
    <col min="11550" max="11550" width="13.42578125" style="134" customWidth="1"/>
    <col min="11551" max="11551" width="3.42578125" style="134" customWidth="1"/>
    <col min="11552" max="11552" width="18" style="134" customWidth="1"/>
    <col min="11553" max="11553" width="19.5703125" style="134" customWidth="1"/>
    <col min="11554" max="11554" width="15.85546875" style="134" customWidth="1"/>
    <col min="11555" max="11768" width="9.140625" style="134"/>
    <col min="11769" max="11769" width="1.140625" style="134" customWidth="1"/>
    <col min="11770" max="11770" width="18.42578125" style="134" customWidth="1"/>
    <col min="11771" max="11771" width="2" style="134" customWidth="1"/>
    <col min="11772" max="11772" width="3.140625" style="134" customWidth="1"/>
    <col min="11773" max="11773" width="17.28515625" style="134" customWidth="1"/>
    <col min="11774" max="11774" width="2.42578125" style="134" customWidth="1"/>
    <col min="11775" max="11775" width="0.85546875" style="134" customWidth="1"/>
    <col min="11776" max="11776" width="34.140625" style="134" customWidth="1"/>
    <col min="11777" max="11777" width="17.85546875" style="134" customWidth="1"/>
    <col min="11778" max="11778" width="0.85546875" style="134" customWidth="1"/>
    <col min="11779" max="11779" width="0.7109375" style="134" customWidth="1"/>
    <col min="11780" max="11780" width="18.42578125" style="134" customWidth="1"/>
    <col min="11781" max="11781" width="2" style="134" customWidth="1"/>
    <col min="11782" max="11782" width="3.140625" style="134" customWidth="1"/>
    <col min="11783" max="11783" width="17.28515625" style="134" customWidth="1"/>
    <col min="11784" max="11784" width="2.42578125" style="134" customWidth="1"/>
    <col min="11785" max="11785" width="0.85546875" style="134" customWidth="1"/>
    <col min="11786" max="11786" width="51.28515625" style="134" customWidth="1"/>
    <col min="11787" max="11787" width="0.85546875" style="134" customWidth="1"/>
    <col min="11788" max="11788" width="9.140625" style="134"/>
    <col min="11789" max="11789" width="5.42578125" style="134" customWidth="1"/>
    <col min="11790" max="11790" width="6" style="134" customWidth="1"/>
    <col min="11791" max="11791" width="2.7109375" style="134" customWidth="1"/>
    <col min="11792" max="11792" width="6.140625" style="134" customWidth="1"/>
    <col min="11793" max="11795" width="2.140625" style="134" customWidth="1"/>
    <col min="11796" max="11796" width="13.42578125" style="134" customWidth="1"/>
    <col min="11797" max="11797" width="3.28515625" style="134" customWidth="1"/>
    <col min="11798" max="11798" width="10" style="134" customWidth="1"/>
    <col min="11799" max="11799" width="5.42578125" style="134" customWidth="1"/>
    <col min="11800" max="11800" width="6" style="134" customWidth="1"/>
    <col min="11801" max="11801" width="2.7109375" style="134" customWidth="1"/>
    <col min="11802" max="11802" width="6.140625" style="134" customWidth="1"/>
    <col min="11803" max="11805" width="2.140625" style="134" customWidth="1"/>
    <col min="11806" max="11806" width="13.42578125" style="134" customWidth="1"/>
    <col min="11807" max="11807" width="3.42578125" style="134" customWidth="1"/>
    <col min="11808" max="11808" width="18" style="134" customWidth="1"/>
    <col min="11809" max="11809" width="19.5703125" style="134" customWidth="1"/>
    <col min="11810" max="11810" width="15.85546875" style="134" customWidth="1"/>
    <col min="11811" max="12024" width="9.140625" style="134"/>
    <col min="12025" max="12025" width="1.140625" style="134" customWidth="1"/>
    <col min="12026" max="12026" width="18.42578125" style="134" customWidth="1"/>
    <col min="12027" max="12027" width="2" style="134" customWidth="1"/>
    <col min="12028" max="12028" width="3.140625" style="134" customWidth="1"/>
    <col min="12029" max="12029" width="17.28515625" style="134" customWidth="1"/>
    <col min="12030" max="12030" width="2.42578125" style="134" customWidth="1"/>
    <col min="12031" max="12031" width="0.85546875" style="134" customWidth="1"/>
    <col min="12032" max="12032" width="34.140625" style="134" customWidth="1"/>
    <col min="12033" max="12033" width="17.85546875" style="134" customWidth="1"/>
    <col min="12034" max="12034" width="0.85546875" style="134" customWidth="1"/>
    <col min="12035" max="12035" width="0.7109375" style="134" customWidth="1"/>
    <col min="12036" max="12036" width="18.42578125" style="134" customWidth="1"/>
    <col min="12037" max="12037" width="2" style="134" customWidth="1"/>
    <col min="12038" max="12038" width="3.140625" style="134" customWidth="1"/>
    <col min="12039" max="12039" width="17.28515625" style="134" customWidth="1"/>
    <col min="12040" max="12040" width="2.42578125" style="134" customWidth="1"/>
    <col min="12041" max="12041" width="0.85546875" style="134" customWidth="1"/>
    <col min="12042" max="12042" width="51.28515625" style="134" customWidth="1"/>
    <col min="12043" max="12043" width="0.85546875" style="134" customWidth="1"/>
    <col min="12044" max="12044" width="9.140625" style="134"/>
    <col min="12045" max="12045" width="5.42578125" style="134" customWidth="1"/>
    <col min="12046" max="12046" width="6" style="134" customWidth="1"/>
    <col min="12047" max="12047" width="2.7109375" style="134" customWidth="1"/>
    <col min="12048" max="12048" width="6.140625" style="134" customWidth="1"/>
    <col min="12049" max="12051" width="2.140625" style="134" customWidth="1"/>
    <col min="12052" max="12052" width="13.42578125" style="134" customWidth="1"/>
    <col min="12053" max="12053" width="3.28515625" style="134" customWidth="1"/>
    <col min="12054" max="12054" width="10" style="134" customWidth="1"/>
    <col min="12055" max="12055" width="5.42578125" style="134" customWidth="1"/>
    <col min="12056" max="12056" width="6" style="134" customWidth="1"/>
    <col min="12057" max="12057" width="2.7109375" style="134" customWidth="1"/>
    <col min="12058" max="12058" width="6.140625" style="134" customWidth="1"/>
    <col min="12059" max="12061" width="2.140625" style="134" customWidth="1"/>
    <col min="12062" max="12062" width="13.42578125" style="134" customWidth="1"/>
    <col min="12063" max="12063" width="3.42578125" style="134" customWidth="1"/>
    <col min="12064" max="12064" width="18" style="134" customWidth="1"/>
    <col min="12065" max="12065" width="19.5703125" style="134" customWidth="1"/>
    <col min="12066" max="12066" width="15.85546875" style="134" customWidth="1"/>
    <col min="12067" max="12280" width="9.140625" style="134"/>
    <col min="12281" max="12281" width="1.140625" style="134" customWidth="1"/>
    <col min="12282" max="12282" width="18.42578125" style="134" customWidth="1"/>
    <col min="12283" max="12283" width="2" style="134" customWidth="1"/>
    <col min="12284" max="12284" width="3.140625" style="134" customWidth="1"/>
    <col min="12285" max="12285" width="17.28515625" style="134" customWidth="1"/>
    <col min="12286" max="12286" width="2.42578125" style="134" customWidth="1"/>
    <col min="12287" max="12287" width="0.85546875" style="134" customWidth="1"/>
    <col min="12288" max="12288" width="34.140625" style="134" customWidth="1"/>
    <col min="12289" max="12289" width="17.85546875" style="134" customWidth="1"/>
    <col min="12290" max="12290" width="0.85546875" style="134" customWidth="1"/>
    <col min="12291" max="12291" width="0.7109375" style="134" customWidth="1"/>
    <col min="12292" max="12292" width="18.42578125" style="134" customWidth="1"/>
    <col min="12293" max="12293" width="2" style="134" customWidth="1"/>
    <col min="12294" max="12294" width="3.140625" style="134" customWidth="1"/>
    <col min="12295" max="12295" width="17.28515625" style="134" customWidth="1"/>
    <col min="12296" max="12296" width="2.42578125" style="134" customWidth="1"/>
    <col min="12297" max="12297" width="0.85546875" style="134" customWidth="1"/>
    <col min="12298" max="12298" width="51.28515625" style="134" customWidth="1"/>
    <col min="12299" max="12299" width="0.85546875" style="134" customWidth="1"/>
    <col min="12300" max="12300" width="9.140625" style="134"/>
    <col min="12301" max="12301" width="5.42578125" style="134" customWidth="1"/>
    <col min="12302" max="12302" width="6" style="134" customWidth="1"/>
    <col min="12303" max="12303" width="2.7109375" style="134" customWidth="1"/>
    <col min="12304" max="12304" width="6.140625" style="134" customWidth="1"/>
    <col min="12305" max="12307" width="2.140625" style="134" customWidth="1"/>
    <col min="12308" max="12308" width="13.42578125" style="134" customWidth="1"/>
    <col min="12309" max="12309" width="3.28515625" style="134" customWidth="1"/>
    <col min="12310" max="12310" width="10" style="134" customWidth="1"/>
    <col min="12311" max="12311" width="5.42578125" style="134" customWidth="1"/>
    <col min="12312" max="12312" width="6" style="134" customWidth="1"/>
    <col min="12313" max="12313" width="2.7109375" style="134" customWidth="1"/>
    <col min="12314" max="12314" width="6.140625" style="134" customWidth="1"/>
    <col min="12315" max="12317" width="2.140625" style="134" customWidth="1"/>
    <col min="12318" max="12318" width="13.42578125" style="134" customWidth="1"/>
    <col min="12319" max="12319" width="3.42578125" style="134" customWidth="1"/>
    <col min="12320" max="12320" width="18" style="134" customWidth="1"/>
    <col min="12321" max="12321" width="19.5703125" style="134" customWidth="1"/>
    <col min="12322" max="12322" width="15.85546875" style="134" customWidth="1"/>
    <col min="12323" max="12536" width="9.140625" style="134"/>
    <col min="12537" max="12537" width="1.140625" style="134" customWidth="1"/>
    <col min="12538" max="12538" width="18.42578125" style="134" customWidth="1"/>
    <col min="12539" max="12539" width="2" style="134" customWidth="1"/>
    <col min="12540" max="12540" width="3.140625" style="134" customWidth="1"/>
    <col min="12541" max="12541" width="17.28515625" style="134" customWidth="1"/>
    <col min="12542" max="12542" width="2.42578125" style="134" customWidth="1"/>
    <col min="12543" max="12543" width="0.85546875" style="134" customWidth="1"/>
    <col min="12544" max="12544" width="34.140625" style="134" customWidth="1"/>
    <col min="12545" max="12545" width="17.85546875" style="134" customWidth="1"/>
    <col min="12546" max="12546" width="0.85546875" style="134" customWidth="1"/>
    <col min="12547" max="12547" width="0.7109375" style="134" customWidth="1"/>
    <col min="12548" max="12548" width="18.42578125" style="134" customWidth="1"/>
    <col min="12549" max="12549" width="2" style="134" customWidth="1"/>
    <col min="12550" max="12550" width="3.140625" style="134" customWidth="1"/>
    <col min="12551" max="12551" width="17.28515625" style="134" customWidth="1"/>
    <col min="12552" max="12552" width="2.42578125" style="134" customWidth="1"/>
    <col min="12553" max="12553" width="0.85546875" style="134" customWidth="1"/>
    <col min="12554" max="12554" width="51.28515625" style="134" customWidth="1"/>
    <col min="12555" max="12555" width="0.85546875" style="134" customWidth="1"/>
    <col min="12556" max="12556" width="9.140625" style="134"/>
    <col min="12557" max="12557" width="5.42578125" style="134" customWidth="1"/>
    <col min="12558" max="12558" width="6" style="134" customWidth="1"/>
    <col min="12559" max="12559" width="2.7109375" style="134" customWidth="1"/>
    <col min="12560" max="12560" width="6.140625" style="134" customWidth="1"/>
    <col min="12561" max="12563" width="2.140625" style="134" customWidth="1"/>
    <col min="12564" max="12564" width="13.42578125" style="134" customWidth="1"/>
    <col min="12565" max="12565" width="3.28515625" style="134" customWidth="1"/>
    <col min="12566" max="12566" width="10" style="134" customWidth="1"/>
    <col min="12567" max="12567" width="5.42578125" style="134" customWidth="1"/>
    <col min="12568" max="12568" width="6" style="134" customWidth="1"/>
    <col min="12569" max="12569" width="2.7109375" style="134" customWidth="1"/>
    <col min="12570" max="12570" width="6.140625" style="134" customWidth="1"/>
    <col min="12571" max="12573" width="2.140625" style="134" customWidth="1"/>
    <col min="12574" max="12574" width="13.42578125" style="134" customWidth="1"/>
    <col min="12575" max="12575" width="3.42578125" style="134" customWidth="1"/>
    <col min="12576" max="12576" width="18" style="134" customWidth="1"/>
    <col min="12577" max="12577" width="19.5703125" style="134" customWidth="1"/>
    <col min="12578" max="12578" width="15.85546875" style="134" customWidth="1"/>
    <col min="12579" max="12792" width="9.140625" style="134"/>
    <col min="12793" max="12793" width="1.140625" style="134" customWidth="1"/>
    <col min="12794" max="12794" width="18.42578125" style="134" customWidth="1"/>
    <col min="12795" max="12795" width="2" style="134" customWidth="1"/>
    <col min="12796" max="12796" width="3.140625" style="134" customWidth="1"/>
    <col min="12797" max="12797" width="17.28515625" style="134" customWidth="1"/>
    <col min="12798" max="12798" width="2.42578125" style="134" customWidth="1"/>
    <col min="12799" max="12799" width="0.85546875" style="134" customWidth="1"/>
    <col min="12800" max="12800" width="34.140625" style="134" customWidth="1"/>
    <col min="12801" max="12801" width="17.85546875" style="134" customWidth="1"/>
    <col min="12802" max="12802" width="0.85546875" style="134" customWidth="1"/>
    <col min="12803" max="12803" width="0.7109375" style="134" customWidth="1"/>
    <col min="12804" max="12804" width="18.42578125" style="134" customWidth="1"/>
    <col min="12805" max="12805" width="2" style="134" customWidth="1"/>
    <col min="12806" max="12806" width="3.140625" style="134" customWidth="1"/>
    <col min="12807" max="12807" width="17.28515625" style="134" customWidth="1"/>
    <col min="12808" max="12808" width="2.42578125" style="134" customWidth="1"/>
    <col min="12809" max="12809" width="0.85546875" style="134" customWidth="1"/>
    <col min="12810" max="12810" width="51.28515625" style="134" customWidth="1"/>
    <col min="12811" max="12811" width="0.85546875" style="134" customWidth="1"/>
    <col min="12812" max="12812" width="9.140625" style="134"/>
    <col min="12813" max="12813" width="5.42578125" style="134" customWidth="1"/>
    <col min="12814" max="12814" width="6" style="134" customWidth="1"/>
    <col min="12815" max="12815" width="2.7109375" style="134" customWidth="1"/>
    <col min="12816" max="12816" width="6.140625" style="134" customWidth="1"/>
    <col min="12817" max="12819" width="2.140625" style="134" customWidth="1"/>
    <col min="12820" max="12820" width="13.42578125" style="134" customWidth="1"/>
    <col min="12821" max="12821" width="3.28515625" style="134" customWidth="1"/>
    <col min="12822" max="12822" width="10" style="134" customWidth="1"/>
    <col min="12823" max="12823" width="5.42578125" style="134" customWidth="1"/>
    <col min="12824" max="12824" width="6" style="134" customWidth="1"/>
    <col min="12825" max="12825" width="2.7109375" style="134" customWidth="1"/>
    <col min="12826" max="12826" width="6.140625" style="134" customWidth="1"/>
    <col min="12827" max="12829" width="2.140625" style="134" customWidth="1"/>
    <col min="12830" max="12830" width="13.42578125" style="134" customWidth="1"/>
    <col min="12831" max="12831" width="3.42578125" style="134" customWidth="1"/>
    <col min="12832" max="12832" width="18" style="134" customWidth="1"/>
    <col min="12833" max="12833" width="19.5703125" style="134" customWidth="1"/>
    <col min="12834" max="12834" width="15.85546875" style="134" customWidth="1"/>
    <col min="12835" max="13048" width="9.140625" style="134"/>
    <col min="13049" max="13049" width="1.140625" style="134" customWidth="1"/>
    <col min="13050" max="13050" width="18.42578125" style="134" customWidth="1"/>
    <col min="13051" max="13051" width="2" style="134" customWidth="1"/>
    <col min="13052" max="13052" width="3.140625" style="134" customWidth="1"/>
    <col min="13053" max="13053" width="17.28515625" style="134" customWidth="1"/>
    <col min="13054" max="13054" width="2.42578125" style="134" customWidth="1"/>
    <col min="13055" max="13055" width="0.85546875" style="134" customWidth="1"/>
    <col min="13056" max="13056" width="34.140625" style="134" customWidth="1"/>
    <col min="13057" max="13057" width="17.85546875" style="134" customWidth="1"/>
    <col min="13058" max="13058" width="0.85546875" style="134" customWidth="1"/>
    <col min="13059" max="13059" width="0.7109375" style="134" customWidth="1"/>
    <col min="13060" max="13060" width="18.42578125" style="134" customWidth="1"/>
    <col min="13061" max="13061" width="2" style="134" customWidth="1"/>
    <col min="13062" max="13062" width="3.140625" style="134" customWidth="1"/>
    <col min="13063" max="13063" width="17.28515625" style="134" customWidth="1"/>
    <col min="13064" max="13064" width="2.42578125" style="134" customWidth="1"/>
    <col min="13065" max="13065" width="0.85546875" style="134" customWidth="1"/>
    <col min="13066" max="13066" width="51.28515625" style="134" customWidth="1"/>
    <col min="13067" max="13067" width="0.85546875" style="134" customWidth="1"/>
    <col min="13068" max="13068" width="9.140625" style="134"/>
    <col min="13069" max="13069" width="5.42578125" style="134" customWidth="1"/>
    <col min="13070" max="13070" width="6" style="134" customWidth="1"/>
    <col min="13071" max="13071" width="2.7109375" style="134" customWidth="1"/>
    <col min="13072" max="13072" width="6.140625" style="134" customWidth="1"/>
    <col min="13073" max="13075" width="2.140625" style="134" customWidth="1"/>
    <col min="13076" max="13076" width="13.42578125" style="134" customWidth="1"/>
    <col min="13077" max="13077" width="3.28515625" style="134" customWidth="1"/>
    <col min="13078" max="13078" width="10" style="134" customWidth="1"/>
    <col min="13079" max="13079" width="5.42578125" style="134" customWidth="1"/>
    <col min="13080" max="13080" width="6" style="134" customWidth="1"/>
    <col min="13081" max="13081" width="2.7109375" style="134" customWidth="1"/>
    <col min="13082" max="13082" width="6.140625" style="134" customWidth="1"/>
    <col min="13083" max="13085" width="2.140625" style="134" customWidth="1"/>
    <col min="13086" max="13086" width="13.42578125" style="134" customWidth="1"/>
    <col min="13087" max="13087" width="3.42578125" style="134" customWidth="1"/>
    <col min="13088" max="13088" width="18" style="134" customWidth="1"/>
    <col min="13089" max="13089" width="19.5703125" style="134" customWidth="1"/>
    <col min="13090" max="13090" width="15.85546875" style="134" customWidth="1"/>
    <col min="13091" max="13304" width="9.140625" style="134"/>
    <col min="13305" max="13305" width="1.140625" style="134" customWidth="1"/>
    <col min="13306" max="13306" width="18.42578125" style="134" customWidth="1"/>
    <col min="13307" max="13307" width="2" style="134" customWidth="1"/>
    <col min="13308" max="13308" width="3.140625" style="134" customWidth="1"/>
    <col min="13309" max="13309" width="17.28515625" style="134" customWidth="1"/>
    <col min="13310" max="13310" width="2.42578125" style="134" customWidth="1"/>
    <col min="13311" max="13311" width="0.85546875" style="134" customWidth="1"/>
    <col min="13312" max="13312" width="34.140625" style="134" customWidth="1"/>
    <col min="13313" max="13313" width="17.85546875" style="134" customWidth="1"/>
    <col min="13314" max="13314" width="0.85546875" style="134" customWidth="1"/>
    <col min="13315" max="13315" width="0.7109375" style="134" customWidth="1"/>
    <col min="13316" max="13316" width="18.42578125" style="134" customWidth="1"/>
    <col min="13317" max="13317" width="2" style="134" customWidth="1"/>
    <col min="13318" max="13318" width="3.140625" style="134" customWidth="1"/>
    <col min="13319" max="13319" width="17.28515625" style="134" customWidth="1"/>
    <col min="13320" max="13320" width="2.42578125" style="134" customWidth="1"/>
    <col min="13321" max="13321" width="0.85546875" style="134" customWidth="1"/>
    <col min="13322" max="13322" width="51.28515625" style="134" customWidth="1"/>
    <col min="13323" max="13323" width="0.85546875" style="134" customWidth="1"/>
    <col min="13324" max="13324" width="9.140625" style="134"/>
    <col min="13325" max="13325" width="5.42578125" style="134" customWidth="1"/>
    <col min="13326" max="13326" width="6" style="134" customWidth="1"/>
    <col min="13327" max="13327" width="2.7109375" style="134" customWidth="1"/>
    <col min="13328" max="13328" width="6.140625" style="134" customWidth="1"/>
    <col min="13329" max="13331" width="2.140625" style="134" customWidth="1"/>
    <col min="13332" max="13332" width="13.42578125" style="134" customWidth="1"/>
    <col min="13333" max="13333" width="3.28515625" style="134" customWidth="1"/>
    <col min="13334" max="13334" width="10" style="134" customWidth="1"/>
    <col min="13335" max="13335" width="5.42578125" style="134" customWidth="1"/>
    <col min="13336" max="13336" width="6" style="134" customWidth="1"/>
    <col min="13337" max="13337" width="2.7109375" style="134" customWidth="1"/>
    <col min="13338" max="13338" width="6.140625" style="134" customWidth="1"/>
    <col min="13339" max="13341" width="2.140625" style="134" customWidth="1"/>
    <col min="13342" max="13342" width="13.42578125" style="134" customWidth="1"/>
    <col min="13343" max="13343" width="3.42578125" style="134" customWidth="1"/>
    <col min="13344" max="13344" width="18" style="134" customWidth="1"/>
    <col min="13345" max="13345" width="19.5703125" style="134" customWidth="1"/>
    <col min="13346" max="13346" width="15.85546875" style="134" customWidth="1"/>
    <col min="13347" max="13560" width="9.140625" style="134"/>
    <col min="13561" max="13561" width="1.140625" style="134" customWidth="1"/>
    <col min="13562" max="13562" width="18.42578125" style="134" customWidth="1"/>
    <col min="13563" max="13563" width="2" style="134" customWidth="1"/>
    <col min="13564" max="13564" width="3.140625" style="134" customWidth="1"/>
    <col min="13565" max="13565" width="17.28515625" style="134" customWidth="1"/>
    <col min="13566" max="13566" width="2.42578125" style="134" customWidth="1"/>
    <col min="13567" max="13567" width="0.85546875" style="134" customWidth="1"/>
    <col min="13568" max="13568" width="34.140625" style="134" customWidth="1"/>
    <col min="13569" max="13569" width="17.85546875" style="134" customWidth="1"/>
    <col min="13570" max="13570" width="0.85546875" style="134" customWidth="1"/>
    <col min="13571" max="13571" width="0.7109375" style="134" customWidth="1"/>
    <col min="13572" max="13572" width="18.42578125" style="134" customWidth="1"/>
    <col min="13573" max="13573" width="2" style="134" customWidth="1"/>
    <col min="13574" max="13574" width="3.140625" style="134" customWidth="1"/>
    <col min="13575" max="13575" width="17.28515625" style="134" customWidth="1"/>
    <col min="13576" max="13576" width="2.42578125" style="134" customWidth="1"/>
    <col min="13577" max="13577" width="0.85546875" style="134" customWidth="1"/>
    <col min="13578" max="13578" width="51.28515625" style="134" customWidth="1"/>
    <col min="13579" max="13579" width="0.85546875" style="134" customWidth="1"/>
    <col min="13580" max="13580" width="9.140625" style="134"/>
    <col min="13581" max="13581" width="5.42578125" style="134" customWidth="1"/>
    <col min="13582" max="13582" width="6" style="134" customWidth="1"/>
    <col min="13583" max="13583" width="2.7109375" style="134" customWidth="1"/>
    <col min="13584" max="13584" width="6.140625" style="134" customWidth="1"/>
    <col min="13585" max="13587" width="2.140625" style="134" customWidth="1"/>
    <col min="13588" max="13588" width="13.42578125" style="134" customWidth="1"/>
    <col min="13589" max="13589" width="3.28515625" style="134" customWidth="1"/>
    <col min="13590" max="13590" width="10" style="134" customWidth="1"/>
    <col min="13591" max="13591" width="5.42578125" style="134" customWidth="1"/>
    <col min="13592" max="13592" width="6" style="134" customWidth="1"/>
    <col min="13593" max="13593" width="2.7109375" style="134" customWidth="1"/>
    <col min="13594" max="13594" width="6.140625" style="134" customWidth="1"/>
    <col min="13595" max="13597" width="2.140625" style="134" customWidth="1"/>
    <col min="13598" max="13598" width="13.42578125" style="134" customWidth="1"/>
    <col min="13599" max="13599" width="3.42578125" style="134" customWidth="1"/>
    <col min="13600" max="13600" width="18" style="134" customWidth="1"/>
    <col min="13601" max="13601" width="19.5703125" style="134" customWidth="1"/>
    <col min="13602" max="13602" width="15.85546875" style="134" customWidth="1"/>
    <col min="13603" max="13816" width="9.140625" style="134"/>
    <col min="13817" max="13817" width="1.140625" style="134" customWidth="1"/>
    <col min="13818" max="13818" width="18.42578125" style="134" customWidth="1"/>
    <col min="13819" max="13819" width="2" style="134" customWidth="1"/>
    <col min="13820" max="13820" width="3.140625" style="134" customWidth="1"/>
    <col min="13821" max="13821" width="17.28515625" style="134" customWidth="1"/>
    <col min="13822" max="13822" width="2.42578125" style="134" customWidth="1"/>
    <col min="13823" max="13823" width="0.85546875" style="134" customWidth="1"/>
    <col min="13824" max="13824" width="34.140625" style="134" customWidth="1"/>
    <col min="13825" max="13825" width="17.85546875" style="134" customWidth="1"/>
    <col min="13826" max="13826" width="0.85546875" style="134" customWidth="1"/>
    <col min="13827" max="13827" width="0.7109375" style="134" customWidth="1"/>
    <col min="13828" max="13828" width="18.42578125" style="134" customWidth="1"/>
    <col min="13829" max="13829" width="2" style="134" customWidth="1"/>
    <col min="13830" max="13830" width="3.140625" style="134" customWidth="1"/>
    <col min="13831" max="13831" width="17.28515625" style="134" customWidth="1"/>
    <col min="13832" max="13832" width="2.42578125" style="134" customWidth="1"/>
    <col min="13833" max="13833" width="0.85546875" style="134" customWidth="1"/>
    <col min="13834" max="13834" width="51.28515625" style="134" customWidth="1"/>
    <col min="13835" max="13835" width="0.85546875" style="134" customWidth="1"/>
    <col min="13836" max="13836" width="9.140625" style="134"/>
    <col min="13837" max="13837" width="5.42578125" style="134" customWidth="1"/>
    <col min="13838" max="13838" width="6" style="134" customWidth="1"/>
    <col min="13839" max="13839" width="2.7109375" style="134" customWidth="1"/>
    <col min="13840" max="13840" width="6.140625" style="134" customWidth="1"/>
    <col min="13841" max="13843" width="2.140625" style="134" customWidth="1"/>
    <col min="13844" max="13844" width="13.42578125" style="134" customWidth="1"/>
    <col min="13845" max="13845" width="3.28515625" style="134" customWidth="1"/>
    <col min="13846" max="13846" width="10" style="134" customWidth="1"/>
    <col min="13847" max="13847" width="5.42578125" style="134" customWidth="1"/>
    <col min="13848" max="13848" width="6" style="134" customWidth="1"/>
    <col min="13849" max="13849" width="2.7109375" style="134" customWidth="1"/>
    <col min="13850" max="13850" width="6.140625" style="134" customWidth="1"/>
    <col min="13851" max="13853" width="2.140625" style="134" customWidth="1"/>
    <col min="13854" max="13854" width="13.42578125" style="134" customWidth="1"/>
    <col min="13855" max="13855" width="3.42578125" style="134" customWidth="1"/>
    <col min="13856" max="13856" width="18" style="134" customWidth="1"/>
    <col min="13857" max="13857" width="19.5703125" style="134" customWidth="1"/>
    <col min="13858" max="13858" width="15.85546875" style="134" customWidth="1"/>
    <col min="13859" max="14072" width="9.140625" style="134"/>
    <col min="14073" max="14073" width="1.140625" style="134" customWidth="1"/>
    <col min="14074" max="14074" width="18.42578125" style="134" customWidth="1"/>
    <col min="14075" max="14075" width="2" style="134" customWidth="1"/>
    <col min="14076" max="14076" width="3.140625" style="134" customWidth="1"/>
    <col min="14077" max="14077" width="17.28515625" style="134" customWidth="1"/>
    <col min="14078" max="14078" width="2.42578125" style="134" customWidth="1"/>
    <col min="14079" max="14079" width="0.85546875" style="134" customWidth="1"/>
    <col min="14080" max="14080" width="34.140625" style="134" customWidth="1"/>
    <col min="14081" max="14081" width="17.85546875" style="134" customWidth="1"/>
    <col min="14082" max="14082" width="0.85546875" style="134" customWidth="1"/>
    <col min="14083" max="14083" width="0.7109375" style="134" customWidth="1"/>
    <col min="14084" max="14084" width="18.42578125" style="134" customWidth="1"/>
    <col min="14085" max="14085" width="2" style="134" customWidth="1"/>
    <col min="14086" max="14086" width="3.140625" style="134" customWidth="1"/>
    <col min="14087" max="14087" width="17.28515625" style="134" customWidth="1"/>
    <col min="14088" max="14088" width="2.42578125" style="134" customWidth="1"/>
    <col min="14089" max="14089" width="0.85546875" style="134" customWidth="1"/>
    <col min="14090" max="14090" width="51.28515625" style="134" customWidth="1"/>
    <col min="14091" max="14091" width="0.85546875" style="134" customWidth="1"/>
    <col min="14092" max="14092" width="9.140625" style="134"/>
    <col min="14093" max="14093" width="5.42578125" style="134" customWidth="1"/>
    <col min="14094" max="14094" width="6" style="134" customWidth="1"/>
    <col min="14095" max="14095" width="2.7109375" style="134" customWidth="1"/>
    <col min="14096" max="14096" width="6.140625" style="134" customWidth="1"/>
    <col min="14097" max="14099" width="2.140625" style="134" customWidth="1"/>
    <col min="14100" max="14100" width="13.42578125" style="134" customWidth="1"/>
    <col min="14101" max="14101" width="3.28515625" style="134" customWidth="1"/>
    <col min="14102" max="14102" width="10" style="134" customWidth="1"/>
    <col min="14103" max="14103" width="5.42578125" style="134" customWidth="1"/>
    <col min="14104" max="14104" width="6" style="134" customWidth="1"/>
    <col min="14105" max="14105" width="2.7109375" style="134" customWidth="1"/>
    <col min="14106" max="14106" width="6.140625" style="134" customWidth="1"/>
    <col min="14107" max="14109" width="2.140625" style="134" customWidth="1"/>
    <col min="14110" max="14110" width="13.42578125" style="134" customWidth="1"/>
    <col min="14111" max="14111" width="3.42578125" style="134" customWidth="1"/>
    <col min="14112" max="14112" width="18" style="134" customWidth="1"/>
    <col min="14113" max="14113" width="19.5703125" style="134" customWidth="1"/>
    <col min="14114" max="14114" width="15.85546875" style="134" customWidth="1"/>
    <col min="14115" max="14328" width="9.140625" style="134"/>
    <col min="14329" max="14329" width="1.140625" style="134" customWidth="1"/>
    <col min="14330" max="14330" width="18.42578125" style="134" customWidth="1"/>
    <col min="14331" max="14331" width="2" style="134" customWidth="1"/>
    <col min="14332" max="14332" width="3.140625" style="134" customWidth="1"/>
    <col min="14333" max="14333" width="17.28515625" style="134" customWidth="1"/>
    <col min="14334" max="14334" width="2.42578125" style="134" customWidth="1"/>
    <col min="14335" max="14335" width="0.85546875" style="134" customWidth="1"/>
    <col min="14336" max="14336" width="34.140625" style="134" customWidth="1"/>
    <col min="14337" max="14337" width="17.85546875" style="134" customWidth="1"/>
    <col min="14338" max="14338" width="0.85546875" style="134" customWidth="1"/>
    <col min="14339" max="14339" width="0.7109375" style="134" customWidth="1"/>
    <col min="14340" max="14340" width="18.42578125" style="134" customWidth="1"/>
    <col min="14341" max="14341" width="2" style="134" customWidth="1"/>
    <col min="14342" max="14342" width="3.140625" style="134" customWidth="1"/>
    <col min="14343" max="14343" width="17.28515625" style="134" customWidth="1"/>
    <col min="14344" max="14344" width="2.42578125" style="134" customWidth="1"/>
    <col min="14345" max="14345" width="0.85546875" style="134" customWidth="1"/>
    <col min="14346" max="14346" width="51.28515625" style="134" customWidth="1"/>
    <col min="14347" max="14347" width="0.85546875" style="134" customWidth="1"/>
    <col min="14348" max="14348" width="9.140625" style="134"/>
    <col min="14349" max="14349" width="5.42578125" style="134" customWidth="1"/>
    <col min="14350" max="14350" width="6" style="134" customWidth="1"/>
    <col min="14351" max="14351" width="2.7109375" style="134" customWidth="1"/>
    <col min="14352" max="14352" width="6.140625" style="134" customWidth="1"/>
    <col min="14353" max="14355" width="2.140625" style="134" customWidth="1"/>
    <col min="14356" max="14356" width="13.42578125" style="134" customWidth="1"/>
    <col min="14357" max="14357" width="3.28515625" style="134" customWidth="1"/>
    <col min="14358" max="14358" width="10" style="134" customWidth="1"/>
    <col min="14359" max="14359" width="5.42578125" style="134" customWidth="1"/>
    <col min="14360" max="14360" width="6" style="134" customWidth="1"/>
    <col min="14361" max="14361" width="2.7109375" style="134" customWidth="1"/>
    <col min="14362" max="14362" width="6.140625" style="134" customWidth="1"/>
    <col min="14363" max="14365" width="2.140625" style="134" customWidth="1"/>
    <col min="14366" max="14366" width="13.42578125" style="134" customWidth="1"/>
    <col min="14367" max="14367" width="3.42578125" style="134" customWidth="1"/>
    <col min="14368" max="14368" width="18" style="134" customWidth="1"/>
    <col min="14369" max="14369" width="19.5703125" style="134" customWidth="1"/>
    <col min="14370" max="14370" width="15.85546875" style="134" customWidth="1"/>
    <col min="14371" max="14584" width="9.140625" style="134"/>
    <col min="14585" max="14585" width="1.140625" style="134" customWidth="1"/>
    <col min="14586" max="14586" width="18.42578125" style="134" customWidth="1"/>
    <col min="14587" max="14587" width="2" style="134" customWidth="1"/>
    <col min="14588" max="14588" width="3.140625" style="134" customWidth="1"/>
    <col min="14589" max="14589" width="17.28515625" style="134" customWidth="1"/>
    <col min="14590" max="14590" width="2.42578125" style="134" customWidth="1"/>
    <col min="14591" max="14591" width="0.85546875" style="134" customWidth="1"/>
    <col min="14592" max="14592" width="34.140625" style="134" customWidth="1"/>
    <col min="14593" max="14593" width="17.85546875" style="134" customWidth="1"/>
    <col min="14594" max="14594" width="0.85546875" style="134" customWidth="1"/>
    <col min="14595" max="14595" width="0.7109375" style="134" customWidth="1"/>
    <col min="14596" max="14596" width="18.42578125" style="134" customWidth="1"/>
    <col min="14597" max="14597" width="2" style="134" customWidth="1"/>
    <col min="14598" max="14598" width="3.140625" style="134" customWidth="1"/>
    <col min="14599" max="14599" width="17.28515625" style="134" customWidth="1"/>
    <col min="14600" max="14600" width="2.42578125" style="134" customWidth="1"/>
    <col min="14601" max="14601" width="0.85546875" style="134" customWidth="1"/>
    <col min="14602" max="14602" width="51.28515625" style="134" customWidth="1"/>
    <col min="14603" max="14603" width="0.85546875" style="134" customWidth="1"/>
    <col min="14604" max="14604" width="9.140625" style="134"/>
    <col min="14605" max="14605" width="5.42578125" style="134" customWidth="1"/>
    <col min="14606" max="14606" width="6" style="134" customWidth="1"/>
    <col min="14607" max="14607" width="2.7109375" style="134" customWidth="1"/>
    <col min="14608" max="14608" width="6.140625" style="134" customWidth="1"/>
    <col min="14609" max="14611" width="2.140625" style="134" customWidth="1"/>
    <col min="14612" max="14612" width="13.42578125" style="134" customWidth="1"/>
    <col min="14613" max="14613" width="3.28515625" style="134" customWidth="1"/>
    <col min="14614" max="14614" width="10" style="134" customWidth="1"/>
    <col min="14615" max="14615" width="5.42578125" style="134" customWidth="1"/>
    <col min="14616" max="14616" width="6" style="134" customWidth="1"/>
    <col min="14617" max="14617" width="2.7109375" style="134" customWidth="1"/>
    <col min="14618" max="14618" width="6.140625" style="134" customWidth="1"/>
    <col min="14619" max="14621" width="2.140625" style="134" customWidth="1"/>
    <col min="14622" max="14622" width="13.42578125" style="134" customWidth="1"/>
    <col min="14623" max="14623" width="3.42578125" style="134" customWidth="1"/>
    <col min="14624" max="14624" width="18" style="134" customWidth="1"/>
    <col min="14625" max="14625" width="19.5703125" style="134" customWidth="1"/>
    <col min="14626" max="14626" width="15.85546875" style="134" customWidth="1"/>
    <col min="14627" max="14840" width="9.140625" style="134"/>
    <col min="14841" max="14841" width="1.140625" style="134" customWidth="1"/>
    <col min="14842" max="14842" width="18.42578125" style="134" customWidth="1"/>
    <col min="14843" max="14843" width="2" style="134" customWidth="1"/>
    <col min="14844" max="14844" width="3.140625" style="134" customWidth="1"/>
    <col min="14845" max="14845" width="17.28515625" style="134" customWidth="1"/>
    <col min="14846" max="14846" width="2.42578125" style="134" customWidth="1"/>
    <col min="14847" max="14847" width="0.85546875" style="134" customWidth="1"/>
    <col min="14848" max="14848" width="34.140625" style="134" customWidth="1"/>
    <col min="14849" max="14849" width="17.85546875" style="134" customWidth="1"/>
    <col min="14850" max="14850" width="0.85546875" style="134" customWidth="1"/>
    <col min="14851" max="14851" width="0.7109375" style="134" customWidth="1"/>
    <col min="14852" max="14852" width="18.42578125" style="134" customWidth="1"/>
    <col min="14853" max="14853" width="2" style="134" customWidth="1"/>
    <col min="14854" max="14854" width="3.140625" style="134" customWidth="1"/>
    <col min="14855" max="14855" width="17.28515625" style="134" customWidth="1"/>
    <col min="14856" max="14856" width="2.42578125" style="134" customWidth="1"/>
    <col min="14857" max="14857" width="0.85546875" style="134" customWidth="1"/>
    <col min="14858" max="14858" width="51.28515625" style="134" customWidth="1"/>
    <col min="14859" max="14859" width="0.85546875" style="134" customWidth="1"/>
    <col min="14860" max="14860" width="9.140625" style="134"/>
    <col min="14861" max="14861" width="5.42578125" style="134" customWidth="1"/>
    <col min="14862" max="14862" width="6" style="134" customWidth="1"/>
    <col min="14863" max="14863" width="2.7109375" style="134" customWidth="1"/>
    <col min="14864" max="14864" width="6.140625" style="134" customWidth="1"/>
    <col min="14865" max="14867" width="2.140625" style="134" customWidth="1"/>
    <col min="14868" max="14868" width="13.42578125" style="134" customWidth="1"/>
    <col min="14869" max="14869" width="3.28515625" style="134" customWidth="1"/>
    <col min="14870" max="14870" width="10" style="134" customWidth="1"/>
    <col min="14871" max="14871" width="5.42578125" style="134" customWidth="1"/>
    <col min="14872" max="14872" width="6" style="134" customWidth="1"/>
    <col min="14873" max="14873" width="2.7109375" style="134" customWidth="1"/>
    <col min="14874" max="14874" width="6.140625" style="134" customWidth="1"/>
    <col min="14875" max="14877" width="2.140625" style="134" customWidth="1"/>
    <col min="14878" max="14878" width="13.42578125" style="134" customWidth="1"/>
    <col min="14879" max="14879" width="3.42578125" style="134" customWidth="1"/>
    <col min="14880" max="14880" width="18" style="134" customWidth="1"/>
    <col min="14881" max="14881" width="19.5703125" style="134" customWidth="1"/>
    <col min="14882" max="14882" width="15.85546875" style="134" customWidth="1"/>
    <col min="14883" max="15096" width="9.140625" style="134"/>
    <col min="15097" max="15097" width="1.140625" style="134" customWidth="1"/>
    <col min="15098" max="15098" width="18.42578125" style="134" customWidth="1"/>
    <col min="15099" max="15099" width="2" style="134" customWidth="1"/>
    <col min="15100" max="15100" width="3.140625" style="134" customWidth="1"/>
    <col min="15101" max="15101" width="17.28515625" style="134" customWidth="1"/>
    <col min="15102" max="15102" width="2.42578125" style="134" customWidth="1"/>
    <col min="15103" max="15103" width="0.85546875" style="134" customWidth="1"/>
    <col min="15104" max="15104" width="34.140625" style="134" customWidth="1"/>
    <col min="15105" max="15105" width="17.85546875" style="134" customWidth="1"/>
    <col min="15106" max="15106" width="0.85546875" style="134" customWidth="1"/>
    <col min="15107" max="15107" width="0.7109375" style="134" customWidth="1"/>
    <col min="15108" max="15108" width="18.42578125" style="134" customWidth="1"/>
    <col min="15109" max="15109" width="2" style="134" customWidth="1"/>
    <col min="15110" max="15110" width="3.140625" style="134" customWidth="1"/>
    <col min="15111" max="15111" width="17.28515625" style="134" customWidth="1"/>
    <col min="15112" max="15112" width="2.42578125" style="134" customWidth="1"/>
    <col min="15113" max="15113" width="0.85546875" style="134" customWidth="1"/>
    <col min="15114" max="15114" width="51.28515625" style="134" customWidth="1"/>
    <col min="15115" max="15115" width="0.85546875" style="134" customWidth="1"/>
    <col min="15116" max="15116" width="9.140625" style="134"/>
    <col min="15117" max="15117" width="5.42578125" style="134" customWidth="1"/>
    <col min="15118" max="15118" width="6" style="134" customWidth="1"/>
    <col min="15119" max="15119" width="2.7109375" style="134" customWidth="1"/>
    <col min="15120" max="15120" width="6.140625" style="134" customWidth="1"/>
    <col min="15121" max="15123" width="2.140625" style="134" customWidth="1"/>
    <col min="15124" max="15124" width="13.42578125" style="134" customWidth="1"/>
    <col min="15125" max="15125" width="3.28515625" style="134" customWidth="1"/>
    <col min="15126" max="15126" width="10" style="134" customWidth="1"/>
    <col min="15127" max="15127" width="5.42578125" style="134" customWidth="1"/>
    <col min="15128" max="15128" width="6" style="134" customWidth="1"/>
    <col min="15129" max="15129" width="2.7109375" style="134" customWidth="1"/>
    <col min="15130" max="15130" width="6.140625" style="134" customWidth="1"/>
    <col min="15131" max="15133" width="2.140625" style="134" customWidth="1"/>
    <col min="15134" max="15134" width="13.42578125" style="134" customWidth="1"/>
    <col min="15135" max="15135" width="3.42578125" style="134" customWidth="1"/>
    <col min="15136" max="15136" width="18" style="134" customWidth="1"/>
    <col min="15137" max="15137" width="19.5703125" style="134" customWidth="1"/>
    <col min="15138" max="15138" width="15.85546875" style="134" customWidth="1"/>
    <col min="15139" max="15352" width="9.140625" style="134"/>
    <col min="15353" max="15353" width="1.140625" style="134" customWidth="1"/>
    <col min="15354" max="15354" width="18.42578125" style="134" customWidth="1"/>
    <col min="15355" max="15355" width="2" style="134" customWidth="1"/>
    <col min="15356" max="15356" width="3.140625" style="134" customWidth="1"/>
    <col min="15357" max="15357" width="17.28515625" style="134" customWidth="1"/>
    <col min="15358" max="15358" width="2.42578125" style="134" customWidth="1"/>
    <col min="15359" max="15359" width="0.85546875" style="134" customWidth="1"/>
    <col min="15360" max="15360" width="34.140625" style="134" customWidth="1"/>
    <col min="15361" max="15361" width="17.85546875" style="134" customWidth="1"/>
    <col min="15362" max="15362" width="0.85546875" style="134" customWidth="1"/>
    <col min="15363" max="15363" width="0.7109375" style="134" customWidth="1"/>
    <col min="15364" max="15364" width="18.42578125" style="134" customWidth="1"/>
    <col min="15365" max="15365" width="2" style="134" customWidth="1"/>
    <col min="15366" max="15366" width="3.140625" style="134" customWidth="1"/>
    <col min="15367" max="15367" width="17.28515625" style="134" customWidth="1"/>
    <col min="15368" max="15368" width="2.42578125" style="134" customWidth="1"/>
    <col min="15369" max="15369" width="0.85546875" style="134" customWidth="1"/>
    <col min="15370" max="15370" width="51.28515625" style="134" customWidth="1"/>
    <col min="15371" max="15371" width="0.85546875" style="134" customWidth="1"/>
    <col min="15372" max="15372" width="9.140625" style="134"/>
    <col min="15373" max="15373" width="5.42578125" style="134" customWidth="1"/>
    <col min="15374" max="15374" width="6" style="134" customWidth="1"/>
    <col min="15375" max="15375" width="2.7109375" style="134" customWidth="1"/>
    <col min="15376" max="15376" width="6.140625" style="134" customWidth="1"/>
    <col min="15377" max="15379" width="2.140625" style="134" customWidth="1"/>
    <col min="15380" max="15380" width="13.42578125" style="134" customWidth="1"/>
    <col min="15381" max="15381" width="3.28515625" style="134" customWidth="1"/>
    <col min="15382" max="15382" width="10" style="134" customWidth="1"/>
    <col min="15383" max="15383" width="5.42578125" style="134" customWidth="1"/>
    <col min="15384" max="15384" width="6" style="134" customWidth="1"/>
    <col min="15385" max="15385" width="2.7109375" style="134" customWidth="1"/>
    <col min="15386" max="15386" width="6.140625" style="134" customWidth="1"/>
    <col min="15387" max="15389" width="2.140625" style="134" customWidth="1"/>
    <col min="15390" max="15390" width="13.42578125" style="134" customWidth="1"/>
    <col min="15391" max="15391" width="3.42578125" style="134" customWidth="1"/>
    <col min="15392" max="15392" width="18" style="134" customWidth="1"/>
    <col min="15393" max="15393" width="19.5703125" style="134" customWidth="1"/>
    <col min="15394" max="15394" width="15.85546875" style="134" customWidth="1"/>
    <col min="15395" max="15608" width="9.140625" style="134"/>
    <col min="15609" max="15609" width="1.140625" style="134" customWidth="1"/>
    <col min="15610" max="15610" width="18.42578125" style="134" customWidth="1"/>
    <col min="15611" max="15611" width="2" style="134" customWidth="1"/>
    <col min="15612" max="15612" width="3.140625" style="134" customWidth="1"/>
    <col min="15613" max="15613" width="17.28515625" style="134" customWidth="1"/>
    <col min="15614" max="15614" width="2.42578125" style="134" customWidth="1"/>
    <col min="15615" max="15615" width="0.85546875" style="134" customWidth="1"/>
    <col min="15616" max="15616" width="34.140625" style="134" customWidth="1"/>
    <col min="15617" max="15617" width="17.85546875" style="134" customWidth="1"/>
    <col min="15618" max="15618" width="0.85546875" style="134" customWidth="1"/>
    <col min="15619" max="15619" width="0.7109375" style="134" customWidth="1"/>
    <col min="15620" max="15620" width="18.42578125" style="134" customWidth="1"/>
    <col min="15621" max="15621" width="2" style="134" customWidth="1"/>
    <col min="15622" max="15622" width="3.140625" style="134" customWidth="1"/>
    <col min="15623" max="15623" width="17.28515625" style="134" customWidth="1"/>
    <col min="15624" max="15624" width="2.42578125" style="134" customWidth="1"/>
    <col min="15625" max="15625" width="0.85546875" style="134" customWidth="1"/>
    <col min="15626" max="15626" width="51.28515625" style="134" customWidth="1"/>
    <col min="15627" max="15627" width="0.85546875" style="134" customWidth="1"/>
    <col min="15628" max="15628" width="9.140625" style="134"/>
    <col min="15629" max="15629" width="5.42578125" style="134" customWidth="1"/>
    <col min="15630" max="15630" width="6" style="134" customWidth="1"/>
    <col min="15631" max="15631" width="2.7109375" style="134" customWidth="1"/>
    <col min="15632" max="15632" width="6.140625" style="134" customWidth="1"/>
    <col min="15633" max="15635" width="2.140625" style="134" customWidth="1"/>
    <col min="15636" max="15636" width="13.42578125" style="134" customWidth="1"/>
    <col min="15637" max="15637" width="3.28515625" style="134" customWidth="1"/>
    <col min="15638" max="15638" width="10" style="134" customWidth="1"/>
    <col min="15639" max="15639" width="5.42578125" style="134" customWidth="1"/>
    <col min="15640" max="15640" width="6" style="134" customWidth="1"/>
    <col min="15641" max="15641" width="2.7109375" style="134" customWidth="1"/>
    <col min="15642" max="15642" width="6.140625" style="134" customWidth="1"/>
    <col min="15643" max="15645" width="2.140625" style="134" customWidth="1"/>
    <col min="15646" max="15646" width="13.42578125" style="134" customWidth="1"/>
    <col min="15647" max="15647" width="3.42578125" style="134" customWidth="1"/>
    <col min="15648" max="15648" width="18" style="134" customWidth="1"/>
    <col min="15649" max="15649" width="19.5703125" style="134" customWidth="1"/>
    <col min="15650" max="15650" width="15.85546875" style="134" customWidth="1"/>
    <col min="15651" max="15864" width="9.140625" style="134"/>
    <col min="15865" max="15865" width="1.140625" style="134" customWidth="1"/>
    <col min="15866" max="15866" width="18.42578125" style="134" customWidth="1"/>
    <col min="15867" max="15867" width="2" style="134" customWidth="1"/>
    <col min="15868" max="15868" width="3.140625" style="134" customWidth="1"/>
    <col min="15869" max="15869" width="17.28515625" style="134" customWidth="1"/>
    <col min="15870" max="15870" width="2.42578125" style="134" customWidth="1"/>
    <col min="15871" max="15871" width="0.85546875" style="134" customWidth="1"/>
    <col min="15872" max="15872" width="34.140625" style="134" customWidth="1"/>
    <col min="15873" max="15873" width="17.85546875" style="134" customWidth="1"/>
    <col min="15874" max="15874" width="0.85546875" style="134" customWidth="1"/>
    <col min="15875" max="15875" width="0.7109375" style="134" customWidth="1"/>
    <col min="15876" max="15876" width="18.42578125" style="134" customWidth="1"/>
    <col min="15877" max="15877" width="2" style="134" customWidth="1"/>
    <col min="15878" max="15878" width="3.140625" style="134" customWidth="1"/>
    <col min="15879" max="15879" width="17.28515625" style="134" customWidth="1"/>
    <col min="15880" max="15880" width="2.42578125" style="134" customWidth="1"/>
    <col min="15881" max="15881" width="0.85546875" style="134" customWidth="1"/>
    <col min="15882" max="15882" width="51.28515625" style="134" customWidth="1"/>
    <col min="15883" max="15883" width="0.85546875" style="134" customWidth="1"/>
    <col min="15884" max="15884" width="9.140625" style="134"/>
    <col min="15885" max="15885" width="5.42578125" style="134" customWidth="1"/>
    <col min="15886" max="15886" width="6" style="134" customWidth="1"/>
    <col min="15887" max="15887" width="2.7109375" style="134" customWidth="1"/>
    <col min="15888" max="15888" width="6.140625" style="134" customWidth="1"/>
    <col min="15889" max="15891" width="2.140625" style="134" customWidth="1"/>
    <col min="15892" max="15892" width="13.42578125" style="134" customWidth="1"/>
    <col min="15893" max="15893" width="3.28515625" style="134" customWidth="1"/>
    <col min="15894" max="15894" width="10" style="134" customWidth="1"/>
    <col min="15895" max="15895" width="5.42578125" style="134" customWidth="1"/>
    <col min="15896" max="15896" width="6" style="134" customWidth="1"/>
    <col min="15897" max="15897" width="2.7109375" style="134" customWidth="1"/>
    <col min="15898" max="15898" width="6.140625" style="134" customWidth="1"/>
    <col min="15899" max="15901" width="2.140625" style="134" customWidth="1"/>
    <col min="15902" max="15902" width="13.42578125" style="134" customWidth="1"/>
    <col min="15903" max="15903" width="3.42578125" style="134" customWidth="1"/>
    <col min="15904" max="15904" width="18" style="134" customWidth="1"/>
    <col min="15905" max="15905" width="19.5703125" style="134" customWidth="1"/>
    <col min="15906" max="15906" width="15.85546875" style="134" customWidth="1"/>
    <col min="15907" max="16120" width="9.140625" style="134"/>
    <col min="16121" max="16121" width="1.140625" style="134" customWidth="1"/>
    <col min="16122" max="16122" width="18.42578125" style="134" customWidth="1"/>
    <col min="16123" max="16123" width="2" style="134" customWidth="1"/>
    <col min="16124" max="16124" width="3.140625" style="134" customWidth="1"/>
    <col min="16125" max="16125" width="17.28515625" style="134" customWidth="1"/>
    <col min="16126" max="16126" width="2.42578125" style="134" customWidth="1"/>
    <col min="16127" max="16127" width="0.85546875" style="134" customWidth="1"/>
    <col min="16128" max="16128" width="34.140625" style="134" customWidth="1"/>
    <col min="16129" max="16129" width="17.85546875" style="134" customWidth="1"/>
    <col min="16130" max="16130" width="0.85546875" style="134" customWidth="1"/>
    <col min="16131" max="16131" width="0.7109375" style="134" customWidth="1"/>
    <col min="16132" max="16132" width="18.42578125" style="134" customWidth="1"/>
    <col min="16133" max="16133" width="2" style="134" customWidth="1"/>
    <col min="16134" max="16134" width="3.140625" style="134" customWidth="1"/>
    <col min="16135" max="16135" width="17.28515625" style="134" customWidth="1"/>
    <col min="16136" max="16136" width="2.42578125" style="134" customWidth="1"/>
    <col min="16137" max="16137" width="0.85546875" style="134" customWidth="1"/>
    <col min="16138" max="16138" width="51.28515625" style="134" customWidth="1"/>
    <col min="16139" max="16139" width="0.85546875" style="134" customWidth="1"/>
    <col min="16140" max="16140" width="9.140625" style="134"/>
    <col min="16141" max="16141" width="5.42578125" style="134" customWidth="1"/>
    <col min="16142" max="16142" width="6" style="134" customWidth="1"/>
    <col min="16143" max="16143" width="2.7109375" style="134" customWidth="1"/>
    <col min="16144" max="16144" width="6.140625" style="134" customWidth="1"/>
    <col min="16145" max="16147" width="2.140625" style="134" customWidth="1"/>
    <col min="16148" max="16148" width="13.42578125" style="134" customWidth="1"/>
    <col min="16149" max="16149" width="3.28515625" style="134" customWidth="1"/>
    <col min="16150" max="16150" width="10" style="134" customWidth="1"/>
    <col min="16151" max="16151" width="5.42578125" style="134" customWidth="1"/>
    <col min="16152" max="16152" width="6" style="134" customWidth="1"/>
    <col min="16153" max="16153" width="2.7109375" style="134" customWidth="1"/>
    <col min="16154" max="16154" width="6.140625" style="134" customWidth="1"/>
    <col min="16155" max="16157" width="2.140625" style="134" customWidth="1"/>
    <col min="16158" max="16158" width="13.42578125" style="134" customWidth="1"/>
    <col min="16159" max="16159" width="3.42578125" style="134" customWidth="1"/>
    <col min="16160" max="16160" width="18" style="134" customWidth="1"/>
    <col min="16161" max="16161" width="19.5703125" style="134" customWidth="1"/>
    <col min="16162" max="16162" width="15.85546875" style="134" customWidth="1"/>
    <col min="16163" max="16384" width="9.140625" style="134"/>
  </cols>
  <sheetData>
    <row r="1" spans="1:35" ht="12" customHeight="1">
      <c r="A1" s="133" t="s">
        <v>129</v>
      </c>
      <c r="B1" s="74" t="s">
        <v>69</v>
      </c>
      <c r="C1" s="377" t="s">
        <v>44</v>
      </c>
      <c r="D1" s="377"/>
      <c r="E1" s="377"/>
      <c r="F1" s="377"/>
      <c r="G1" s="377"/>
      <c r="H1" s="377"/>
      <c r="I1" s="377"/>
      <c r="J1" s="377"/>
      <c r="K1" s="377"/>
      <c r="L1" s="133" t="s">
        <v>69</v>
      </c>
      <c r="M1" s="303" t="s">
        <v>135</v>
      </c>
      <c r="N1" s="377" t="s">
        <v>44</v>
      </c>
      <c r="O1" s="377"/>
      <c r="P1" s="377"/>
      <c r="Q1" s="377"/>
      <c r="R1" s="377"/>
      <c r="S1" s="377"/>
      <c r="T1" s="377"/>
      <c r="U1" s="377"/>
      <c r="V1" s="377"/>
      <c r="Y1" s="135"/>
      <c r="Z1" s="135"/>
      <c r="AA1" s="135"/>
      <c r="AG1" s="134"/>
      <c r="AH1" s="134"/>
      <c r="AI1" s="134"/>
    </row>
    <row r="2" spans="1:35" ht="13.5" customHeight="1">
      <c r="A2" s="133"/>
      <c r="B2" s="74"/>
      <c r="C2" s="378" t="s">
        <v>45</v>
      </c>
      <c r="D2" s="378"/>
      <c r="E2" s="378"/>
      <c r="F2" s="378"/>
      <c r="G2" s="378"/>
      <c r="H2" s="378"/>
      <c r="I2" s="378"/>
      <c r="J2" s="378"/>
      <c r="K2" s="378"/>
      <c r="L2" s="133"/>
      <c r="M2" s="303"/>
      <c r="N2" s="378" t="s">
        <v>45</v>
      </c>
      <c r="O2" s="378"/>
      <c r="P2" s="378"/>
      <c r="Q2" s="378"/>
      <c r="R2" s="378"/>
      <c r="S2" s="378"/>
      <c r="T2" s="378"/>
      <c r="U2" s="378"/>
      <c r="V2" s="378"/>
      <c r="Y2" s="135"/>
      <c r="Z2" s="135"/>
      <c r="AA2" s="135"/>
      <c r="AG2" s="134"/>
      <c r="AH2" s="134"/>
      <c r="AI2" s="134"/>
    </row>
    <row r="3" spans="1:35">
      <c r="A3" s="133"/>
      <c r="B3" s="74"/>
      <c r="C3" s="379" t="s">
        <v>46</v>
      </c>
      <c r="D3" s="379"/>
      <c r="E3" s="379"/>
      <c r="F3" s="379"/>
      <c r="G3" s="379"/>
      <c r="H3" s="379"/>
      <c r="I3" s="379"/>
      <c r="J3" s="379"/>
      <c r="K3" s="379"/>
      <c r="L3" s="133"/>
      <c r="M3" s="303"/>
      <c r="N3" s="379" t="s">
        <v>46</v>
      </c>
      <c r="O3" s="379"/>
      <c r="P3" s="379"/>
      <c r="Q3" s="379"/>
      <c r="R3" s="379"/>
      <c r="S3" s="379"/>
      <c r="T3" s="379"/>
      <c r="U3" s="379"/>
      <c r="V3" s="379"/>
      <c r="Y3" s="135"/>
      <c r="Z3" s="135"/>
      <c r="AA3" s="135"/>
      <c r="AG3" s="134"/>
      <c r="AH3" s="134"/>
      <c r="AI3" s="134"/>
    </row>
    <row r="4" spans="1:35" ht="12.75" thickBot="1">
      <c r="A4" s="133"/>
      <c r="B4" s="75"/>
      <c r="C4" s="380" t="s">
        <v>47</v>
      </c>
      <c r="D4" s="380"/>
      <c r="E4" s="380"/>
      <c r="F4" s="380"/>
      <c r="G4" s="380"/>
      <c r="H4" s="380"/>
      <c r="I4" s="380"/>
      <c r="J4" s="380"/>
      <c r="K4" s="380"/>
      <c r="L4" s="133"/>
      <c r="M4" s="304"/>
      <c r="N4" s="380" t="s">
        <v>47</v>
      </c>
      <c r="O4" s="380"/>
      <c r="P4" s="380"/>
      <c r="Q4" s="380"/>
      <c r="R4" s="380"/>
      <c r="S4" s="380"/>
      <c r="T4" s="380"/>
      <c r="U4" s="380"/>
      <c r="V4" s="380"/>
      <c r="Y4" s="135"/>
      <c r="Z4" s="135"/>
      <c r="AA4" s="135"/>
      <c r="AG4" s="134"/>
      <c r="AH4" s="134"/>
      <c r="AI4" s="134"/>
    </row>
    <row r="5" spans="1:35" ht="4.5" customHeight="1" thickTop="1">
      <c r="A5" s="133"/>
      <c r="B5" s="76"/>
      <c r="C5" s="77"/>
      <c r="D5" s="77"/>
      <c r="E5" s="77"/>
      <c r="F5" s="77"/>
      <c r="G5" s="77"/>
      <c r="H5" s="77"/>
      <c r="I5" s="77"/>
      <c r="J5" s="77"/>
      <c r="K5" s="77"/>
      <c r="L5" s="133"/>
      <c r="M5" s="76"/>
      <c r="N5" s="77"/>
      <c r="O5" s="77"/>
      <c r="P5" s="77"/>
      <c r="Q5" s="77"/>
      <c r="R5" s="77"/>
      <c r="S5" s="77"/>
      <c r="T5" s="77"/>
      <c r="U5" s="77"/>
      <c r="V5" s="77"/>
      <c r="Y5" s="135"/>
      <c r="Z5" s="135"/>
      <c r="AA5" s="135"/>
      <c r="AG5" s="134"/>
      <c r="AH5" s="134"/>
      <c r="AI5" s="134"/>
    </row>
    <row r="6" spans="1:35" s="137" customFormat="1" ht="10.5" customHeight="1">
      <c r="A6" s="136"/>
      <c r="B6" s="381" t="s">
        <v>160</v>
      </c>
      <c r="C6" s="381"/>
      <c r="D6" s="381"/>
      <c r="E6" s="381"/>
      <c r="F6" s="381"/>
      <c r="G6" s="381"/>
      <c r="H6" s="381"/>
      <c r="I6" s="381"/>
      <c r="J6" s="381"/>
      <c r="K6" s="381"/>
      <c r="L6" s="136"/>
      <c r="M6" s="381" t="s">
        <v>48</v>
      </c>
      <c r="N6" s="381"/>
      <c r="O6" s="381"/>
      <c r="P6" s="381"/>
      <c r="Q6" s="381"/>
      <c r="R6" s="381"/>
      <c r="S6" s="381"/>
      <c r="T6" s="381"/>
      <c r="U6" s="381"/>
      <c r="V6" s="381"/>
      <c r="Y6" s="139"/>
      <c r="Z6" s="139"/>
      <c r="AA6" s="139"/>
    </row>
    <row r="7" spans="1:35" s="137" customFormat="1" ht="10.5" customHeight="1">
      <c r="A7" s="136"/>
      <c r="B7" s="371" t="s">
        <v>49</v>
      </c>
      <c r="C7" s="371"/>
      <c r="D7" s="371"/>
      <c r="E7" s="371"/>
      <c r="F7" s="371"/>
      <c r="G7" s="371"/>
      <c r="H7" s="371"/>
      <c r="I7" s="371"/>
      <c r="J7" s="371"/>
      <c r="K7" s="371"/>
      <c r="L7" s="136"/>
      <c r="M7" s="396" t="s">
        <v>70</v>
      </c>
      <c r="N7" s="396"/>
      <c r="O7" s="396"/>
      <c r="P7" s="396"/>
      <c r="Q7" s="396"/>
      <c r="R7" s="396"/>
      <c r="S7" s="396"/>
      <c r="T7" s="396"/>
      <c r="U7" s="396"/>
      <c r="V7" s="396"/>
      <c r="Y7" s="139"/>
      <c r="Z7" s="139"/>
      <c r="AA7" s="139"/>
    </row>
    <row r="8" spans="1:35" ht="13.5">
      <c r="A8" s="133"/>
      <c r="B8" s="78" t="s">
        <v>50</v>
      </c>
      <c r="C8" s="79" t="s">
        <v>23</v>
      </c>
      <c r="D8" s="372" t="str">
        <f>VLOOKUP(J8,Anggota!C5:P109,2,FALSE)</f>
        <v>Anggota</v>
      </c>
      <c r="E8" s="372"/>
      <c r="F8" s="80"/>
      <c r="G8" s="80"/>
      <c r="H8" s="80"/>
      <c r="I8" s="80" t="s">
        <v>145</v>
      </c>
      <c r="J8" s="355" t="s">
        <v>150</v>
      </c>
      <c r="K8" s="80"/>
      <c r="L8" s="133"/>
      <c r="M8" s="148" t="s">
        <v>76</v>
      </c>
      <c r="N8" s="285" t="s">
        <v>23</v>
      </c>
      <c r="O8" s="286" t="str">
        <f>VLOOKUP(U8,Anggota!C5:W141,2,FALSE)</f>
        <v>Anggota</v>
      </c>
      <c r="P8" s="286"/>
      <c r="Q8" s="287"/>
      <c r="R8" s="287"/>
      <c r="S8" s="80"/>
      <c r="T8" s="81" t="s">
        <v>145</v>
      </c>
      <c r="U8" s="355" t="s">
        <v>150</v>
      </c>
      <c r="V8" s="287"/>
      <c r="Y8" s="135"/>
      <c r="Z8" s="135"/>
      <c r="AA8" s="135"/>
      <c r="AG8" s="134"/>
      <c r="AH8" s="134"/>
      <c r="AI8" s="134"/>
    </row>
    <row r="9" spans="1:35" ht="3" customHeight="1">
      <c r="A9" s="133"/>
      <c r="B9" s="78"/>
      <c r="C9" s="79"/>
      <c r="D9" s="82"/>
      <c r="E9" s="82"/>
      <c r="F9" s="82"/>
      <c r="G9" s="82"/>
      <c r="H9" s="82"/>
      <c r="I9" s="82"/>
      <c r="J9" s="83"/>
      <c r="K9" s="82"/>
      <c r="L9" s="133"/>
      <c r="M9" s="148"/>
      <c r="N9" s="285"/>
      <c r="O9" s="138"/>
      <c r="P9" s="138"/>
      <c r="Q9" s="138"/>
      <c r="R9" s="138"/>
      <c r="S9" s="138"/>
      <c r="T9" s="138"/>
      <c r="U9" s="138"/>
      <c r="V9" s="138"/>
      <c r="Y9" s="135"/>
      <c r="Z9" s="135"/>
      <c r="AA9" s="135"/>
      <c r="AG9" s="134"/>
      <c r="AH9" s="134"/>
      <c r="AI9" s="134"/>
    </row>
    <row r="10" spans="1:35" ht="3" customHeight="1">
      <c r="A10" s="133"/>
      <c r="B10" s="78"/>
      <c r="C10" s="79"/>
      <c r="D10" s="78"/>
      <c r="E10" s="78"/>
      <c r="F10" s="78"/>
      <c r="G10" s="84"/>
      <c r="H10" s="85"/>
      <c r="I10" s="85"/>
      <c r="J10" s="86"/>
      <c r="K10" s="87"/>
      <c r="L10" s="133"/>
      <c r="M10" s="148"/>
      <c r="N10" s="285"/>
      <c r="O10" s="148"/>
      <c r="P10" s="148"/>
      <c r="Q10" s="148"/>
      <c r="R10" s="288"/>
      <c r="S10" s="289"/>
      <c r="T10" s="289"/>
      <c r="U10" s="290"/>
      <c r="V10" s="290"/>
      <c r="Y10" s="135"/>
      <c r="Z10" s="135"/>
      <c r="AA10" s="135"/>
      <c r="AG10" s="134"/>
      <c r="AH10" s="134"/>
      <c r="AI10" s="134"/>
    </row>
    <row r="11" spans="1:35" ht="11.25" customHeight="1">
      <c r="A11" s="133"/>
      <c r="B11" s="78" t="s">
        <v>28</v>
      </c>
      <c r="C11" s="79" t="s">
        <v>23</v>
      </c>
      <c r="D11" s="79" t="s">
        <v>51</v>
      </c>
      <c r="E11" s="88">
        <f>VLOOKUP(J8,Laporan!C7:P150,4,FALSE)/VLOOKUP(J8,Laporan!C7:P150,7,FALSE)</f>
        <v>166666.66666666666</v>
      </c>
      <c r="F11" s="78"/>
      <c r="G11" s="89"/>
      <c r="H11" s="373" t="s">
        <v>52</v>
      </c>
      <c r="I11" s="373"/>
      <c r="J11" s="373"/>
      <c r="K11" s="90"/>
      <c r="L11" s="133"/>
      <c r="M11" s="148" t="s">
        <v>77</v>
      </c>
      <c r="N11" s="285" t="s">
        <v>23</v>
      </c>
      <c r="O11" s="285" t="s">
        <v>51</v>
      </c>
      <c r="P11" s="291">
        <f>VLOOKUP(U8,Anggota!C5:Q109,8,FALSE)</f>
        <v>500000</v>
      </c>
      <c r="Q11" s="148"/>
      <c r="R11" s="292"/>
      <c r="S11" s="399" t="s">
        <v>52</v>
      </c>
      <c r="T11" s="399"/>
      <c r="U11" s="400"/>
      <c r="V11" s="305"/>
      <c r="Y11" s="135"/>
      <c r="Z11" s="135"/>
      <c r="AA11" s="135"/>
      <c r="AG11" s="134"/>
      <c r="AH11" s="134"/>
      <c r="AI11" s="134"/>
    </row>
    <row r="12" spans="1:35" ht="11.25" customHeight="1">
      <c r="A12" s="133"/>
      <c r="B12" s="78" t="s">
        <v>21</v>
      </c>
      <c r="C12" s="79" t="s">
        <v>23</v>
      </c>
      <c r="D12" s="79" t="s">
        <v>51</v>
      </c>
      <c r="E12" s="88">
        <f>VLOOKUP(J8,Laporan!C7:P150,9,FALSE)-VLOOKUP(J8,Laporan!C7:P150,5,FALSE)</f>
        <v>-54166.666666666657</v>
      </c>
      <c r="F12" s="82"/>
      <c r="G12" s="89"/>
      <c r="H12" s="374" t="str">
        <f>IF(P13=0,"nol",IF(H13&lt;0,"minus ","")&amp; SUBSTITUTE(TRIM(SUBSTITUTE(SUBSTITUTE(SUBSTITUTE(SUBSTITUTE(SUBSTITUTE(SUBSTITUTE(SUBSTITUTE(SUBSTITUTE(SUBSTITUTE(SUBSTITUTE(SUBSTITUTE(SUBSTITUTE(SUBSTITUTE(SUBSTITUTE(SUBSTITUTE(SUBSTITUTE(SUBSTITUTE(SUBSTITUTE(SUBSTITUTE(SUBSTITUTE(SUBSTITUTE(SUBSTITUTE(SUBSTITUTE(SUBSTITUTE( IF(--MID(TEXT(ABS(E13),"000000000000000"),1,3)=0,"",MID(TEXT(ABS(E13),"000000000000000"),1,1)&amp;" ratus "&amp;MID(TEXT(ABS(E13),"000000000000000"),2,1)&amp;" puluh "&amp;MID(TEXT(ABS(E13),"000000000000000"),3,1)&amp;" trilyun ")&amp; IF(--MID(TEXT(ABS(E13),"000000000000000"),4,3)=0,"",MID(TEXT(ABS(E13),"000000000000000"),4,1)&amp;" ratus "&amp;MID(TEXT(ABS(E13),"000000000000000"),5,1)&amp;" puluh "&amp;MID(TEXT(ABS(E13),"000000000000000"),6,1)&amp;" milyar ")&amp; IF(--MID(TEXT(ABS(E13),"000000000000000"),7,3)=0,"",MID(TEXT(ABS(E13),"000000000000000"),7,1)&amp;" ratus "&amp;MID(TEXT(ABS(E13),"000000000000000"),8,1)&amp;" puluh "&amp;MID(TEXT(ABS(E13),"000000000000000"),9,1)&amp;" juta ")&amp; IF(--MID(TEXT(ABS(E13),"000000000000000"),10,3)=0,"",IF(--MID(TEXT(ABS(E13),"000000000000000"),10,3)=1,"*",MID(TEXT(ABS(E13),"000000000000000"),10,1)&amp;" ratus "&amp;MID(TEXT(ABS(E13),"000000000000000"),11,1)&amp;" puluh ")&amp;MID(TEXT(ABS(E13),"000000000000000"),12,1)&amp;" ribu ")&amp; IF(--MID(TEXT(ABS(E13),"000000000000000"),13,3)=0,"",MID(TEXT(ABS(E13),"000000000000000"),13,1)&amp;" ratus "&amp;MID(TEXT(ABS(E13),"000000000000000"),14,1)&amp;" puluh "&amp;MID(TEXT(ABS(E13),"000000000000000"),15,1)),1,"satu"),2,"dua"),3,"tiga"),4,"empat"),5,"lima"),6,"enam"),7,"tujuh"),8,"delapan"),9,"sembilan"),"0 ratus",""),"0 puluh",""),"satu puluh 0","sepuluh"),"satu puluh satu","sebelas"),"satu puluh dua","duabelas"),"satu puluh tiga","tigabelas"),"satu puluh empat","empatbelas"),"satu puluh lima","limabelas"),"satu puluh enam","enambelas"),"satu puluh tujuh","tujuhbelas"),"satu puluh delapan","delapanbelas"),"satu puluh sembilan","sembilanbelas"),"satu ratus","seratus"),"*satu ribu","seribu"),0,""))," "," ")) &amp; " rupiah"</f>
        <v>seratus duabelas ribu lima ratus rupiah</v>
      </c>
      <c r="I12" s="375"/>
      <c r="J12" s="375"/>
      <c r="K12" s="90"/>
      <c r="L12" s="133"/>
      <c r="M12" s="148" t="s">
        <v>155</v>
      </c>
      <c r="N12" s="285" t="s">
        <v>23</v>
      </c>
      <c r="O12" s="285" t="s">
        <v>51</v>
      </c>
      <c r="P12" s="291">
        <f>VLOOKUP(U8,Anggota!C5:Q110,7,FALSE)</f>
        <v>0</v>
      </c>
      <c r="Q12" s="138"/>
      <c r="R12" s="292"/>
      <c r="S12" s="374" t="str">
        <f>IF(P13=0,"nol",IF(P13&lt;0,"minus ","")&amp; SUBSTITUTE(TRIM(SUBSTITUTE(SUBSTITUTE(SUBSTITUTE(SUBSTITUTE(SUBSTITUTE(SUBSTITUTE(SUBSTITUTE(SUBSTITUTE(SUBSTITUTE(SUBSTITUTE(SUBSTITUTE(SUBSTITUTE(SUBSTITUTE(SUBSTITUTE(SUBSTITUTE(SUBSTITUTE(SUBSTITUTE(SUBSTITUTE(SUBSTITUTE(SUBSTITUTE(SUBSTITUTE(SUBSTITUTE(SUBSTITUTE(SUBSTITUTE( IF(--MID(TEXT(ABS(P13),"000000000000000"),1,3)=0,"",MID(TEXT(ABS(P13),"000000000000000"),1,1)&amp;" ratus "&amp;MID(TEXT(ABS(P13),"000000000000000"),2,1)&amp;" puluh "&amp;MID(TEXT(ABS(P13),"000000000000000"),3,1)&amp;" trilyun ")&amp; IF(--MID(TEXT(ABS(P13),"000000000000000"),4,3)=0,"",MID(TEXT(ABS(P13),"000000000000000"),4,1)&amp;" ratus "&amp;MID(TEXT(ABS(P13),"000000000000000"),5,1)&amp;" puluh "&amp;MID(TEXT(ABS(P13),"000000000000000"),6,1)&amp;" milyar ")&amp; IF(--MID(TEXT(ABS(P13),"000000000000000"),7,3)=0,"",MID(TEXT(ABS(P13),"000000000000000"),7,1)&amp;" ratus "&amp;MID(TEXT(ABS(P13),"000000000000000"),8,1)&amp;" puluh "&amp;MID(TEXT(ABS(P13),"000000000000000"),9,1)&amp;" juta ")&amp; IF(--MID(TEXT(ABS(P13),"000000000000000"),10,3)=0,"",IF(--MID(TEXT(ABS(P13),"000000000000000"),10,3)=1,"*",MID(TEXT(ABS(P13),"000000000000000"),10,1)&amp;" ratus "&amp;MID(TEXT(ABS(P13),"000000000000000"),11,1)&amp;" puluh ")&amp;MID(TEXT(ABS(P13),"000000000000000"),12,1)&amp;" ribu ")&amp; IF(--MID(TEXT(ABS(P13),"000000000000000"),13,3)=0,"",MID(TEXT(ABS(P13),"000000000000000"),13,1)&amp;" ratus "&amp;MID(TEXT(ABS(P13),"000000000000000"),14,1)&amp;" puluh "&amp;MID(TEXT(ABS(P13),"000000000000000"),15,1)),1,"satu"),2,"dua"),3,"tiga"),4,"empat"),5,"lima"),6,"enam"),7,"tujuh"),8,"delapan"),9,"sembilan"),"0 ratus",""),"0 puluh",""),"satu puluh 0","sepuluh"),"satu puluh satu","sebelas"),"satu puluh dua","duabelas"),"satu puluh tiga","tigabelas"),"satu puluh empat","empatbelas"),"satu puluh lima","limabelas"),"satu puluh enam","enambelas"),"satu puluh tujuh","tujuhbelas"),"satu puluh delapan","delapanbelas"),"satu puluh sembilan","sembilanbelas"),"satu ratus","seratus"),"*satu ribu","seribu"),0,""))," "," ")) &amp; " rupiah"</f>
        <v>lima ratus ribu rupiah</v>
      </c>
      <c r="T12" s="374"/>
      <c r="U12" s="374"/>
      <c r="V12" s="305"/>
      <c r="Y12" s="135"/>
      <c r="Z12" s="135"/>
      <c r="AA12" s="135"/>
      <c r="AG12" s="134"/>
      <c r="AH12" s="134"/>
      <c r="AI12" s="134"/>
    </row>
    <row r="13" spans="1:35" ht="11.25" customHeight="1" thickBot="1">
      <c r="A13" s="133"/>
      <c r="B13" s="78" t="s">
        <v>53</v>
      </c>
      <c r="C13" s="79" t="s">
        <v>23</v>
      </c>
      <c r="D13" s="79" t="s">
        <v>51</v>
      </c>
      <c r="E13" s="91">
        <f>E11+E12</f>
        <v>112500</v>
      </c>
      <c r="F13" s="78"/>
      <c r="G13" s="89"/>
      <c r="H13" s="375"/>
      <c r="I13" s="375"/>
      <c r="J13" s="375"/>
      <c r="K13" s="90"/>
      <c r="L13" s="133"/>
      <c r="M13" s="148" t="s">
        <v>53</v>
      </c>
      <c r="N13" s="285" t="s">
        <v>23</v>
      </c>
      <c r="O13" s="285" t="s">
        <v>51</v>
      </c>
      <c r="P13" s="293">
        <f>SUM(P11:P12)</f>
        <v>500000</v>
      </c>
      <c r="Q13" s="148"/>
      <c r="R13" s="292"/>
      <c r="S13" s="374"/>
      <c r="T13" s="374"/>
      <c r="U13" s="374"/>
      <c r="V13" s="305"/>
      <c r="Y13" s="135"/>
      <c r="Z13" s="135"/>
      <c r="AA13" s="135"/>
      <c r="AG13" s="134"/>
      <c r="AH13" s="134"/>
      <c r="AI13" s="134"/>
    </row>
    <row r="14" spans="1:35" ht="16.5" customHeight="1" thickTop="1">
      <c r="A14" s="133"/>
      <c r="B14" s="78"/>
      <c r="C14" s="79"/>
      <c r="D14" s="78"/>
      <c r="E14" s="78"/>
      <c r="F14" s="78"/>
      <c r="G14" s="89"/>
      <c r="H14" s="375"/>
      <c r="I14" s="375"/>
      <c r="J14" s="375"/>
      <c r="K14" s="90"/>
      <c r="L14" s="133"/>
      <c r="M14" s="148"/>
      <c r="N14" s="285"/>
      <c r="O14" s="148"/>
      <c r="P14" s="148"/>
      <c r="Q14" s="148"/>
      <c r="R14" s="292"/>
      <c r="S14" s="374"/>
      <c r="T14" s="374"/>
      <c r="U14" s="374"/>
      <c r="V14" s="305"/>
      <c r="Y14" s="135"/>
      <c r="Z14" s="135"/>
      <c r="AA14" s="135"/>
      <c r="AG14" s="134"/>
      <c r="AH14" s="134"/>
      <c r="AI14" s="134"/>
    </row>
    <row r="15" spans="1:35" ht="3" customHeight="1">
      <c r="A15" s="133"/>
      <c r="B15" s="78"/>
      <c r="C15" s="79"/>
      <c r="D15" s="80"/>
      <c r="E15" s="78"/>
      <c r="F15" s="78"/>
      <c r="G15" s="92"/>
      <c r="H15" s="80"/>
      <c r="I15" s="80"/>
      <c r="J15" s="81"/>
      <c r="K15" s="93"/>
      <c r="L15" s="133"/>
      <c r="M15" s="148"/>
      <c r="N15" s="285"/>
      <c r="O15" s="148"/>
      <c r="P15" s="148"/>
      <c r="Q15" s="148"/>
      <c r="R15" s="294"/>
      <c r="S15" s="295"/>
      <c r="T15" s="295"/>
      <c r="U15" s="296"/>
      <c r="V15" s="306"/>
      <c r="Y15" s="135"/>
      <c r="Z15" s="135"/>
      <c r="AA15" s="135"/>
      <c r="AG15" s="134"/>
      <c r="AH15" s="134"/>
      <c r="AI15" s="134"/>
    </row>
    <row r="16" spans="1:35" ht="11.25" customHeight="1">
      <c r="A16" s="133"/>
      <c r="B16" s="78" t="s">
        <v>54</v>
      </c>
      <c r="C16" s="79" t="s">
        <v>23</v>
      </c>
      <c r="D16" s="94" t="s">
        <v>83</v>
      </c>
      <c r="E16" s="95"/>
      <c r="F16" s="96" t="s">
        <v>23</v>
      </c>
      <c r="G16" s="376" t="str">
        <f>VLOOKUP(J8,Anggota!C5:P141,4,FALSE)</f>
        <v>A</v>
      </c>
      <c r="H16" s="376"/>
      <c r="I16" s="80"/>
      <c r="J16" s="97"/>
      <c r="K16" s="80"/>
      <c r="L16" s="133"/>
      <c r="M16" s="148" t="s">
        <v>54</v>
      </c>
      <c r="N16" s="285" t="s">
        <v>23</v>
      </c>
      <c r="O16" s="295" t="s">
        <v>74</v>
      </c>
      <c r="P16" s="287"/>
      <c r="Q16" s="285" t="s">
        <v>23</v>
      </c>
      <c r="R16" s="287"/>
      <c r="S16" s="286" t="str">
        <f>VLOOKUP(U8,Anggota!C5:P141,4,FALSE)</f>
        <v>A</v>
      </c>
      <c r="T16" s="297">
        <f>VLOOKUP(U8,Anggota!C5:P141,5,FALSE)</f>
        <v>0</v>
      </c>
      <c r="U16" s="298"/>
      <c r="V16" s="287"/>
      <c r="Y16" s="135"/>
      <c r="Z16" s="135"/>
      <c r="AA16" s="135"/>
      <c r="AG16" s="134"/>
      <c r="AH16" s="134"/>
      <c r="AI16" s="134"/>
    </row>
    <row r="17" spans="1:35" ht="11.25" customHeight="1">
      <c r="A17" s="133"/>
      <c r="B17" s="78"/>
      <c r="C17" s="78"/>
      <c r="D17" s="94" t="s">
        <v>73</v>
      </c>
      <c r="E17" s="95"/>
      <c r="F17" s="96" t="s">
        <v>23</v>
      </c>
      <c r="G17" s="366">
        <f>VLOOKUP(J8,Laporan!C6:L150,10,FALSE)</f>
        <v>0</v>
      </c>
      <c r="H17" s="366"/>
      <c r="I17" s="98"/>
      <c r="J17" s="99"/>
      <c r="K17" s="98"/>
      <c r="L17" s="133"/>
      <c r="M17" s="148"/>
      <c r="N17" s="148"/>
      <c r="O17" s="299"/>
      <c r="P17" s="299"/>
      <c r="Q17" s="300"/>
      <c r="R17" s="299"/>
      <c r="S17" s="301"/>
      <c r="T17" s="287"/>
      <c r="U17" s="302"/>
      <c r="V17" s="299"/>
      <c r="Y17" s="135"/>
      <c r="Z17" s="135"/>
      <c r="AA17" s="135"/>
      <c r="AG17" s="134"/>
      <c r="AH17" s="134"/>
      <c r="AI17" s="134"/>
    </row>
    <row r="18" spans="1:35" ht="11.25" customHeight="1">
      <c r="A18" s="133"/>
      <c r="B18" s="78"/>
      <c r="C18" s="78"/>
      <c r="D18" s="94"/>
      <c r="E18" s="95"/>
      <c r="F18" s="98"/>
      <c r="G18" s="98"/>
      <c r="H18" s="347"/>
      <c r="I18" s="98"/>
      <c r="J18" s="100"/>
      <c r="K18" s="98"/>
      <c r="L18" s="133"/>
      <c r="M18" s="307"/>
      <c r="N18" s="148"/>
      <c r="O18" s="348" t="s">
        <v>149</v>
      </c>
      <c r="P18" s="95"/>
      <c r="Q18" s="349" t="s">
        <v>23</v>
      </c>
      <c r="R18" s="350"/>
      <c r="S18" s="351"/>
      <c r="T18" s="308"/>
      <c r="U18" s="309"/>
      <c r="V18" s="299"/>
      <c r="Y18" s="135"/>
      <c r="Z18" s="135"/>
      <c r="AA18" s="135"/>
      <c r="AG18" s="134"/>
      <c r="AH18" s="134"/>
      <c r="AI18" s="134"/>
    </row>
    <row r="19" spans="1:35" ht="11.25" customHeight="1">
      <c r="A19" s="133"/>
      <c r="B19" s="101"/>
      <c r="C19" s="78"/>
      <c r="D19" s="94"/>
      <c r="E19" s="95"/>
      <c r="F19" s="98" t="s">
        <v>23</v>
      </c>
      <c r="G19" s="98"/>
      <c r="H19" s="98"/>
      <c r="I19" s="98"/>
      <c r="J19" s="100"/>
      <c r="K19" s="98"/>
      <c r="L19" s="133"/>
      <c r="M19" s="307"/>
      <c r="N19" s="148"/>
      <c r="O19" s="299"/>
      <c r="P19" s="299"/>
      <c r="Q19" s="299"/>
      <c r="R19" s="299"/>
      <c r="S19" s="308"/>
      <c r="T19" s="308"/>
      <c r="U19" s="308"/>
      <c r="V19" s="299"/>
      <c r="Y19" s="135"/>
      <c r="Z19" s="135"/>
      <c r="AA19" s="135"/>
      <c r="AG19" s="134"/>
      <c r="AH19" s="134"/>
      <c r="AI19" s="134"/>
    </row>
    <row r="20" spans="1:35" s="140" customFormat="1" ht="11.25" customHeight="1">
      <c r="A20" s="107"/>
      <c r="B20" s="78"/>
      <c r="C20" s="78"/>
      <c r="D20" s="102"/>
      <c r="E20" s="102"/>
      <c r="F20" s="102"/>
      <c r="G20" s="78"/>
      <c r="H20" s="86" t="s">
        <v>71</v>
      </c>
      <c r="I20" s="227">
        <f ca="1">NOW()</f>
        <v>44593.953634027777</v>
      </c>
      <c r="J20" s="85"/>
      <c r="K20" s="78"/>
      <c r="L20" s="107"/>
      <c r="M20" s="148"/>
      <c r="N20" s="148"/>
      <c r="O20" s="148"/>
      <c r="P20" s="148"/>
      <c r="Q20" s="148"/>
      <c r="R20" s="148"/>
      <c r="S20" s="86"/>
      <c r="T20" s="310" t="s">
        <v>82</v>
      </c>
      <c r="U20" s="146">
        <f>VLOOKUP(U8,Anggota!C5:W141,3,FALSE)</f>
        <v>44593</v>
      </c>
      <c r="V20" s="148"/>
      <c r="Y20" s="141"/>
      <c r="Z20" s="141"/>
      <c r="AA20" s="141"/>
    </row>
    <row r="21" spans="1:35" s="140" customFormat="1" ht="11.25" customHeight="1">
      <c r="A21" s="107"/>
      <c r="B21" s="103" t="s">
        <v>55</v>
      </c>
      <c r="C21" s="78"/>
      <c r="D21" s="78"/>
      <c r="E21" s="104"/>
      <c r="F21" s="78"/>
      <c r="G21" s="78"/>
      <c r="H21" s="78"/>
      <c r="I21" s="78"/>
      <c r="J21" s="79"/>
      <c r="K21" s="78"/>
      <c r="L21" s="107"/>
      <c r="M21" s="148"/>
      <c r="N21" s="148"/>
      <c r="O21" s="148"/>
      <c r="P21" s="397"/>
      <c r="Q21" s="397"/>
      <c r="R21" s="397"/>
      <c r="S21" s="148"/>
      <c r="T21" s="148"/>
      <c r="U21" s="148"/>
      <c r="V21" s="148"/>
      <c r="Y21" s="141"/>
      <c r="Z21" s="141"/>
      <c r="AA21" s="141"/>
    </row>
    <row r="22" spans="1:35" s="140" customFormat="1" ht="11.25" customHeight="1">
      <c r="A22" s="107"/>
      <c r="B22" s="105" t="s">
        <v>72</v>
      </c>
      <c r="C22" s="78"/>
      <c r="D22" s="78"/>
      <c r="E22" s="78"/>
      <c r="F22" s="106"/>
      <c r="G22" s="78"/>
      <c r="H22" s="78"/>
      <c r="I22" s="148" t="s">
        <v>132</v>
      </c>
      <c r="J22" s="79"/>
      <c r="K22" s="78"/>
      <c r="L22" s="107"/>
      <c r="M22" s="397" t="s">
        <v>132</v>
      </c>
      <c r="N22" s="397"/>
      <c r="O22" s="397"/>
      <c r="P22" s="397" t="s">
        <v>132</v>
      </c>
      <c r="Q22" s="397"/>
      <c r="R22" s="397"/>
      <c r="S22" s="148"/>
      <c r="T22" s="148"/>
      <c r="U22" s="148"/>
      <c r="V22" s="148"/>
      <c r="W22" s="143"/>
      <c r="X22" s="142"/>
      <c r="Y22" s="142"/>
      <c r="Z22" s="142"/>
      <c r="AA22" s="142"/>
      <c r="AG22" s="141"/>
      <c r="AH22" s="141"/>
      <c r="AI22" s="141"/>
    </row>
    <row r="23" spans="1:35" s="140" customFormat="1" ht="11.25" customHeight="1">
      <c r="A23" s="107"/>
      <c r="B23" s="145">
        <f>VLOOKUP(J8,Anggota!C5:P141,12,FALSE)-(E13*G17)</f>
        <v>500000</v>
      </c>
      <c r="C23" s="367" t="s">
        <v>157</v>
      </c>
      <c r="D23" s="368"/>
      <c r="E23" s="368"/>
      <c r="F23" s="368"/>
      <c r="G23" s="368"/>
      <c r="H23" s="369" t="s">
        <v>57</v>
      </c>
      <c r="I23" s="369"/>
      <c r="J23" s="369"/>
      <c r="K23" s="107"/>
      <c r="L23" s="107"/>
      <c r="M23" s="397" t="s">
        <v>144</v>
      </c>
      <c r="N23" s="397"/>
      <c r="O23" s="397"/>
      <c r="P23" s="397" t="s">
        <v>157</v>
      </c>
      <c r="Q23" s="397"/>
      <c r="R23" s="397"/>
      <c r="T23" s="401" t="str">
        <f>O8</f>
        <v>Anggota</v>
      </c>
      <c r="U23" s="401"/>
      <c r="W23" s="138"/>
      <c r="X23" s="142"/>
      <c r="Y23" s="142"/>
      <c r="Z23" s="142"/>
      <c r="AA23" s="142"/>
      <c r="AG23" s="141"/>
      <c r="AH23" s="141"/>
      <c r="AI23" s="141"/>
    </row>
    <row r="24" spans="1:35" s="140" customFormat="1" ht="8.25" customHeight="1">
      <c r="A24" s="107"/>
      <c r="B24" s="108"/>
      <c r="C24" s="370" t="s">
        <v>58</v>
      </c>
      <c r="D24" s="370"/>
      <c r="E24" s="370"/>
      <c r="F24" s="370"/>
      <c r="G24" s="370"/>
      <c r="H24" s="370" t="s">
        <v>59</v>
      </c>
      <c r="I24" s="370"/>
      <c r="J24" s="370"/>
      <c r="K24" s="109"/>
      <c r="L24" s="107"/>
      <c r="M24" s="398" t="s">
        <v>78</v>
      </c>
      <c r="N24" s="398"/>
      <c r="O24" s="398"/>
      <c r="P24" s="398" t="s">
        <v>58</v>
      </c>
      <c r="Q24" s="398"/>
      <c r="R24" s="398"/>
      <c r="T24" s="398" t="s">
        <v>79</v>
      </c>
      <c r="U24" s="398"/>
      <c r="V24" s="311"/>
      <c r="W24" s="142"/>
      <c r="X24" s="142"/>
      <c r="Y24" s="142"/>
      <c r="Z24" s="142"/>
      <c r="AA24" s="142"/>
      <c r="AG24" s="141"/>
      <c r="AH24" s="141"/>
      <c r="AI24" s="141"/>
    </row>
    <row r="25" spans="1:35" s="140" customFormat="1" ht="11.25" customHeight="1">
      <c r="A25" s="107"/>
      <c r="B25" s="110" t="s">
        <v>60</v>
      </c>
      <c r="C25" s="111" t="s">
        <v>61</v>
      </c>
      <c r="D25" s="112"/>
      <c r="E25" s="113" t="s">
        <v>62</v>
      </c>
      <c r="F25" s="114"/>
      <c r="G25" s="115"/>
      <c r="H25" s="113" t="s">
        <v>63</v>
      </c>
      <c r="I25" s="113"/>
      <c r="J25" s="226" t="s">
        <v>64</v>
      </c>
      <c r="K25" s="118"/>
      <c r="L25" s="107"/>
      <c r="M25" s="312" t="s">
        <v>60</v>
      </c>
      <c r="N25" s="382"/>
      <c r="O25" s="383"/>
      <c r="P25" s="384" t="s">
        <v>80</v>
      </c>
      <c r="Q25" s="382"/>
      <c r="R25" s="383"/>
      <c r="S25" s="385" t="s">
        <v>64</v>
      </c>
      <c r="T25" s="386"/>
      <c r="U25" s="386"/>
      <c r="V25" s="387"/>
      <c r="W25" s="142"/>
      <c r="X25" s="142"/>
      <c r="Y25" s="142"/>
      <c r="Z25" s="142"/>
      <c r="AA25" s="142"/>
      <c r="AG25" s="141"/>
      <c r="AH25" s="141"/>
      <c r="AI25" s="141"/>
    </row>
    <row r="26" spans="1:35" s="140" customFormat="1" ht="11.25" customHeight="1">
      <c r="A26" s="107"/>
      <c r="B26" s="116" t="s">
        <v>65</v>
      </c>
      <c r="C26" s="117"/>
      <c r="D26" s="118"/>
      <c r="E26" s="117"/>
      <c r="F26" s="119"/>
      <c r="G26" s="118"/>
      <c r="H26" s="119"/>
      <c r="I26" s="119"/>
      <c r="J26" s="279"/>
      <c r="K26" s="121"/>
      <c r="L26" s="107"/>
      <c r="M26" s="313" t="s">
        <v>65</v>
      </c>
      <c r="N26" s="314"/>
      <c r="O26" s="315"/>
      <c r="P26" s="313"/>
      <c r="Q26" s="314"/>
      <c r="R26" s="315"/>
      <c r="S26" s="316"/>
      <c r="T26" s="317"/>
      <c r="U26" s="317"/>
      <c r="V26" s="318"/>
      <c r="W26" s="142"/>
      <c r="X26" s="142"/>
      <c r="Y26" s="142"/>
      <c r="Z26" s="142"/>
      <c r="AA26" s="142"/>
      <c r="AG26" s="141"/>
      <c r="AH26" s="141"/>
      <c r="AI26" s="141"/>
    </row>
    <row r="27" spans="1:35" s="140" customFormat="1" ht="11.25" customHeight="1">
      <c r="A27" s="107"/>
      <c r="B27" s="122" t="s">
        <v>66</v>
      </c>
      <c r="C27" s="123"/>
      <c r="D27" s="124"/>
      <c r="E27" s="123"/>
      <c r="F27" s="125"/>
      <c r="G27" s="124"/>
      <c r="H27" s="125"/>
      <c r="I27" s="125"/>
      <c r="J27" s="280" t="s">
        <v>133</v>
      </c>
      <c r="K27" s="127"/>
      <c r="L27" s="107"/>
      <c r="M27" s="319" t="s">
        <v>66</v>
      </c>
      <c r="N27" s="320"/>
      <c r="O27" s="321"/>
      <c r="P27" s="319"/>
      <c r="Q27" s="320"/>
      <c r="R27" s="321"/>
      <c r="S27" s="322"/>
      <c r="T27" s="323"/>
      <c r="U27" s="323"/>
      <c r="V27" s="324"/>
      <c r="W27" s="142"/>
      <c r="X27" s="142"/>
      <c r="Y27" s="142"/>
      <c r="Z27" s="142"/>
      <c r="AA27" s="142"/>
      <c r="AG27" s="141"/>
      <c r="AH27" s="141"/>
      <c r="AI27" s="141"/>
    </row>
    <row r="28" spans="1:35" s="140" customFormat="1" ht="11.25" customHeight="1">
      <c r="A28" s="107"/>
      <c r="B28" s="364" t="s">
        <v>68</v>
      </c>
      <c r="C28" s="123"/>
      <c r="D28" s="124"/>
      <c r="E28" s="123"/>
      <c r="F28" s="125"/>
      <c r="G28" s="124"/>
      <c r="H28" s="356"/>
      <c r="I28" s="125"/>
      <c r="J28" s="280" t="s">
        <v>134</v>
      </c>
      <c r="K28" s="127"/>
      <c r="L28" s="107"/>
      <c r="M28" s="388" t="s">
        <v>68</v>
      </c>
      <c r="N28" s="320"/>
      <c r="O28" s="321"/>
      <c r="P28" s="390"/>
      <c r="Q28" s="391"/>
      <c r="R28" s="392"/>
      <c r="S28" s="322"/>
      <c r="T28" s="323"/>
      <c r="U28" s="323"/>
      <c r="V28" s="324"/>
      <c r="W28" s="142"/>
      <c r="X28" s="142"/>
      <c r="Y28" s="142"/>
      <c r="Z28" s="142"/>
      <c r="AA28" s="142"/>
      <c r="AG28" s="141"/>
      <c r="AH28" s="141"/>
      <c r="AI28" s="141"/>
    </row>
    <row r="29" spans="1:35" s="140" customFormat="1" ht="17.25" customHeight="1">
      <c r="A29" s="107"/>
      <c r="B29" s="365"/>
      <c r="C29" s="129"/>
      <c r="D29" s="130"/>
      <c r="E29" s="129"/>
      <c r="F29" s="131"/>
      <c r="G29" s="130"/>
      <c r="H29" s="131"/>
      <c r="I29" s="131"/>
      <c r="J29" s="281"/>
      <c r="K29" s="225" t="s">
        <v>69</v>
      </c>
      <c r="L29" s="107"/>
      <c r="M29" s="389"/>
      <c r="N29" s="325"/>
      <c r="O29" s="326"/>
      <c r="P29" s="393"/>
      <c r="Q29" s="394"/>
      <c r="R29" s="395"/>
      <c r="S29" s="327"/>
      <c r="T29" s="328"/>
      <c r="U29" s="328"/>
      <c r="V29" s="329"/>
      <c r="W29" s="142"/>
      <c r="X29" s="142"/>
      <c r="Y29" s="142"/>
      <c r="Z29" s="142"/>
      <c r="AA29" s="142"/>
      <c r="AG29" s="141"/>
      <c r="AH29" s="141"/>
      <c r="AI29" s="141"/>
    </row>
    <row r="33" spans="2:11" ht="12" customHeight="1">
      <c r="B33" s="74"/>
      <c r="C33" s="377" t="s">
        <v>44</v>
      </c>
      <c r="D33" s="377"/>
      <c r="E33" s="377"/>
      <c r="F33" s="377"/>
      <c r="G33" s="377"/>
      <c r="H33" s="377"/>
      <c r="I33" s="377"/>
      <c r="J33" s="377"/>
      <c r="K33" s="377"/>
    </row>
    <row r="34" spans="2:11" ht="12" customHeight="1">
      <c r="B34" s="74"/>
      <c r="C34" s="378" t="s">
        <v>45</v>
      </c>
      <c r="D34" s="378"/>
      <c r="E34" s="378"/>
      <c r="F34" s="378"/>
      <c r="G34" s="378"/>
      <c r="H34" s="378"/>
      <c r="I34" s="378"/>
      <c r="J34" s="378"/>
      <c r="K34" s="378"/>
    </row>
    <row r="35" spans="2:11">
      <c r="B35" s="74"/>
      <c r="C35" s="379" t="s">
        <v>46</v>
      </c>
      <c r="D35" s="379"/>
      <c r="E35" s="379"/>
      <c r="F35" s="379"/>
      <c r="G35" s="379"/>
      <c r="H35" s="379"/>
      <c r="I35" s="379"/>
      <c r="J35" s="379"/>
      <c r="K35" s="379"/>
    </row>
    <row r="36" spans="2:11" ht="12.75" thickBot="1">
      <c r="B36" s="75"/>
      <c r="C36" s="380" t="s">
        <v>47</v>
      </c>
      <c r="D36" s="380"/>
      <c r="E36" s="380"/>
      <c r="F36" s="380"/>
      <c r="G36" s="380"/>
      <c r="H36" s="380"/>
      <c r="I36" s="380"/>
      <c r="J36" s="380"/>
      <c r="K36" s="380"/>
    </row>
    <row r="37" spans="2:11" ht="12.75" thickTop="1">
      <c r="B37" s="76"/>
      <c r="C37" s="77"/>
      <c r="D37" s="77"/>
      <c r="E37" s="77"/>
      <c r="F37" s="77"/>
      <c r="G37" s="77"/>
      <c r="H37" s="77"/>
      <c r="I37" s="77"/>
      <c r="J37" s="77"/>
      <c r="K37" s="77"/>
    </row>
    <row r="38" spans="2:11" ht="13.5">
      <c r="B38" s="381" t="s">
        <v>48</v>
      </c>
      <c r="C38" s="381"/>
      <c r="D38" s="381"/>
      <c r="E38" s="381"/>
      <c r="F38" s="381"/>
      <c r="G38" s="381"/>
      <c r="H38" s="381"/>
      <c r="I38" s="381"/>
      <c r="J38" s="381"/>
      <c r="K38" s="381"/>
    </row>
    <row r="39" spans="2:11" ht="13.5">
      <c r="B39" s="371" t="s">
        <v>119</v>
      </c>
      <c r="C39" s="371"/>
      <c r="D39" s="371"/>
      <c r="E39" s="371"/>
      <c r="F39" s="371"/>
      <c r="G39" s="371"/>
      <c r="H39" s="371"/>
      <c r="I39" s="371"/>
      <c r="J39" s="371"/>
      <c r="K39" s="371"/>
    </row>
    <row r="40" spans="2:11" ht="13.5">
      <c r="B40" s="78" t="s">
        <v>50</v>
      </c>
      <c r="C40" s="79" t="s">
        <v>23</v>
      </c>
      <c r="D40" s="372" t="e">
        <f>VLOOKUP(J40,Anggota!C5:P141,2,FALSE)</f>
        <v>#N/A</v>
      </c>
      <c r="E40" s="372"/>
      <c r="F40" s="80"/>
      <c r="G40" s="80"/>
      <c r="H40" s="80"/>
      <c r="I40" s="80" t="s">
        <v>15</v>
      </c>
      <c r="J40" s="339" t="s">
        <v>143</v>
      </c>
      <c r="K40" s="80"/>
    </row>
    <row r="41" spans="2:11" ht="6" customHeight="1">
      <c r="B41" s="78"/>
      <c r="C41" s="79"/>
      <c r="D41" s="82"/>
      <c r="E41" s="82"/>
      <c r="F41" s="82"/>
      <c r="G41" s="82"/>
      <c r="H41" s="82"/>
      <c r="I41" s="82"/>
      <c r="J41" s="83"/>
      <c r="K41" s="82"/>
    </row>
    <row r="42" spans="2:11" ht="13.5">
      <c r="B42" s="78"/>
      <c r="C42" s="79"/>
      <c r="D42" s="78"/>
      <c r="E42" s="78"/>
      <c r="F42" s="78"/>
      <c r="G42" s="84"/>
      <c r="H42" s="85"/>
      <c r="I42" s="85"/>
      <c r="J42" s="86"/>
      <c r="K42" s="87"/>
    </row>
    <row r="43" spans="2:11" ht="13.5">
      <c r="B43" s="78" t="s">
        <v>120</v>
      </c>
      <c r="C43" s="79" t="s">
        <v>23</v>
      </c>
      <c r="D43" s="79" t="s">
        <v>51</v>
      </c>
      <c r="E43" s="88" t="e">
        <f>VLOOKUP(J40,Anggota!C5:P141,7,FALSE)</f>
        <v>#N/A</v>
      </c>
      <c r="F43" s="78"/>
      <c r="G43" s="89"/>
      <c r="H43" s="373" t="s">
        <v>52</v>
      </c>
      <c r="I43" s="373"/>
      <c r="J43" s="373"/>
      <c r="K43" s="90"/>
    </row>
    <row r="44" spans="2:11" ht="13.5">
      <c r="B44" s="78"/>
      <c r="C44" s="79" t="s">
        <v>23</v>
      </c>
      <c r="D44" s="79"/>
      <c r="E44" s="88"/>
      <c r="F44" s="82"/>
      <c r="G44" s="89"/>
      <c r="H44" s="374" t="e">
        <v>#NAME?</v>
      </c>
      <c r="I44" s="375"/>
      <c r="J44" s="375"/>
      <c r="K44" s="90"/>
    </row>
    <row r="45" spans="2:11" ht="14.25" thickBot="1">
      <c r="B45" s="78" t="s">
        <v>53</v>
      </c>
      <c r="C45" s="79" t="s">
        <v>23</v>
      </c>
      <c r="D45" s="79" t="s">
        <v>51</v>
      </c>
      <c r="E45" s="91" t="e">
        <f>E43+E44</f>
        <v>#N/A</v>
      </c>
      <c r="F45" s="78"/>
      <c r="G45" s="89"/>
      <c r="H45" s="375"/>
      <c r="I45" s="375"/>
      <c r="J45" s="375"/>
      <c r="K45" s="90"/>
    </row>
    <row r="46" spans="2:11" ht="14.25" thickTop="1">
      <c r="B46" s="78"/>
      <c r="C46" s="79"/>
      <c r="D46" s="78"/>
      <c r="E46" s="78"/>
      <c r="F46" s="78"/>
      <c r="G46" s="89"/>
      <c r="H46" s="375"/>
      <c r="I46" s="375"/>
      <c r="J46" s="375"/>
      <c r="K46" s="90"/>
    </row>
    <row r="47" spans="2:11" ht="13.5">
      <c r="B47" s="78"/>
      <c r="C47" s="79"/>
      <c r="D47" s="80"/>
      <c r="E47" s="78"/>
      <c r="F47" s="78"/>
      <c r="G47" s="92"/>
      <c r="H47" s="80"/>
      <c r="I47" s="80"/>
      <c r="J47" s="81"/>
      <c r="K47" s="93"/>
    </row>
    <row r="48" spans="2:11" ht="13.5">
      <c r="B48" s="78" t="s">
        <v>54</v>
      </c>
      <c r="C48" s="79" t="s">
        <v>23</v>
      </c>
      <c r="D48" s="94" t="s">
        <v>121</v>
      </c>
      <c r="E48" s="95"/>
      <c r="F48" s="96" t="s">
        <v>23</v>
      </c>
      <c r="G48" s="376" t="e">
        <f>VLOOKUP(J40,Anggota!C5:P141,4,FALSE)</f>
        <v>#N/A</v>
      </c>
      <c r="H48" s="376"/>
      <c r="I48" s="80"/>
      <c r="J48" s="97"/>
      <c r="K48" s="80"/>
    </row>
    <row r="49" spans="2:11" ht="12" customHeight="1">
      <c r="B49" s="78"/>
      <c r="C49" s="78"/>
      <c r="D49" s="94"/>
      <c r="E49" s="95"/>
      <c r="F49" s="96"/>
      <c r="G49" s="366"/>
      <c r="H49" s="366"/>
      <c r="I49" s="98"/>
      <c r="J49" s="99"/>
      <c r="K49" s="98"/>
    </row>
    <row r="50" spans="2:11" ht="12" customHeight="1">
      <c r="B50" s="78"/>
      <c r="C50" s="78"/>
      <c r="D50" s="94"/>
      <c r="E50" s="95"/>
      <c r="F50" s="98" t="s">
        <v>23</v>
      </c>
      <c r="G50" s="98"/>
      <c r="H50" s="98"/>
      <c r="I50" s="98"/>
      <c r="J50" s="100"/>
      <c r="K50" s="98"/>
    </row>
    <row r="51" spans="2:11" ht="13.5">
      <c r="B51" s="101"/>
      <c r="C51" s="78"/>
      <c r="D51" s="94"/>
      <c r="E51" s="95"/>
      <c r="F51" s="98" t="s">
        <v>23</v>
      </c>
      <c r="G51" s="98"/>
      <c r="H51" s="98"/>
      <c r="I51" s="98"/>
      <c r="J51" s="100"/>
      <c r="K51" s="98"/>
    </row>
    <row r="52" spans="2:11" ht="13.5">
      <c r="B52" s="78"/>
      <c r="C52" s="78"/>
      <c r="D52" s="102"/>
      <c r="E52" s="102"/>
      <c r="F52" s="102"/>
      <c r="G52" s="78"/>
      <c r="H52" s="86" t="s">
        <v>71</v>
      </c>
      <c r="I52" s="146">
        <f ca="1">NOW()</f>
        <v>44593.953634027777</v>
      </c>
      <c r="J52" s="85"/>
      <c r="K52" s="78"/>
    </row>
    <row r="53" spans="2:11" ht="13.5">
      <c r="B53" s="103" t="s">
        <v>55</v>
      </c>
      <c r="C53" s="78"/>
      <c r="D53" s="78"/>
      <c r="E53" s="104"/>
      <c r="F53" s="78"/>
      <c r="G53" s="78"/>
      <c r="H53" s="78"/>
      <c r="I53" s="78"/>
      <c r="J53" s="79"/>
      <c r="K53" s="78"/>
    </row>
    <row r="54" spans="2:11" ht="13.5">
      <c r="B54" s="105" t="s">
        <v>29</v>
      </c>
      <c r="C54" s="78"/>
      <c r="D54" s="78"/>
      <c r="E54" s="78"/>
      <c r="F54" s="106"/>
      <c r="G54" s="78"/>
      <c r="H54" s="78"/>
      <c r="I54" s="78"/>
      <c r="J54" s="79"/>
      <c r="K54" s="78"/>
    </row>
    <row r="55" spans="2:11" ht="13.5">
      <c r="B55" s="145" t="e">
        <f>VLOOKUP(J40,Anggota!C5:P141,6,FALSE)</f>
        <v>#N/A</v>
      </c>
      <c r="C55" s="367" t="s">
        <v>56</v>
      </c>
      <c r="D55" s="368"/>
      <c r="E55" s="368"/>
      <c r="F55" s="368"/>
      <c r="G55" s="368"/>
      <c r="H55" s="369" t="s">
        <v>57</v>
      </c>
      <c r="I55" s="369"/>
      <c r="J55" s="369"/>
      <c r="K55" s="107"/>
    </row>
    <row r="56" spans="2:11" ht="12.75">
      <c r="B56" s="108"/>
      <c r="C56" s="370" t="s">
        <v>58</v>
      </c>
      <c r="D56" s="370"/>
      <c r="E56" s="370"/>
      <c r="F56" s="370"/>
      <c r="G56" s="370"/>
      <c r="H56" s="370" t="s">
        <v>59</v>
      </c>
      <c r="I56" s="370"/>
      <c r="J56" s="370"/>
      <c r="K56" s="109"/>
    </row>
    <row r="57" spans="2:11">
      <c r="B57" s="110" t="s">
        <v>60</v>
      </c>
      <c r="C57" s="111" t="s">
        <v>61</v>
      </c>
      <c r="D57" s="112"/>
      <c r="E57" s="113" t="s">
        <v>62</v>
      </c>
      <c r="F57" s="114"/>
      <c r="G57" s="115"/>
      <c r="H57" s="113" t="s">
        <v>63</v>
      </c>
      <c r="I57" s="113"/>
      <c r="J57" s="226" t="s">
        <v>64</v>
      </c>
      <c r="K57" s="118"/>
    </row>
    <row r="58" spans="2:11" ht="12.75">
      <c r="B58" s="116" t="s">
        <v>65</v>
      </c>
      <c r="C58" s="117"/>
      <c r="D58" s="118"/>
      <c r="E58" s="117"/>
      <c r="F58" s="119"/>
      <c r="G58" s="118"/>
      <c r="H58" s="119"/>
      <c r="I58" s="119"/>
      <c r="J58" s="120"/>
      <c r="K58" s="121"/>
    </row>
    <row r="59" spans="2:11" ht="12.75">
      <c r="B59" s="122" t="s">
        <v>66</v>
      </c>
      <c r="C59" s="123"/>
      <c r="D59" s="124"/>
      <c r="E59" s="123"/>
      <c r="F59" s="125"/>
      <c r="G59" s="124"/>
      <c r="H59" s="125"/>
      <c r="I59" s="125"/>
      <c r="J59" s="126" t="s">
        <v>67</v>
      </c>
      <c r="K59" s="127"/>
    </row>
    <row r="60" spans="2:11" ht="12.75">
      <c r="B60" s="364" t="s">
        <v>68</v>
      </c>
      <c r="C60" s="123"/>
      <c r="D60" s="124"/>
      <c r="E60" s="123"/>
      <c r="F60" s="125"/>
      <c r="G60" s="124"/>
      <c r="H60" s="125"/>
      <c r="I60" s="125"/>
      <c r="J60" s="128"/>
      <c r="K60" s="127"/>
    </row>
    <row r="61" spans="2:11">
      <c r="B61" s="365"/>
      <c r="C61" s="129"/>
      <c r="D61" s="130"/>
      <c r="E61" s="129"/>
      <c r="F61" s="131"/>
      <c r="G61" s="130"/>
      <c r="H61" s="131"/>
      <c r="I61" s="131"/>
      <c r="J61" s="132"/>
      <c r="K61" s="225" t="s">
        <v>69</v>
      </c>
    </row>
  </sheetData>
  <autoFilter ref="B6:K8" xr:uid="{00000000-0009-0000-0000-000001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55">
    <mergeCell ref="D8:E8"/>
    <mergeCell ref="G17:H17"/>
    <mergeCell ref="C1:K1"/>
    <mergeCell ref="C2:K2"/>
    <mergeCell ref="C3:K3"/>
    <mergeCell ref="C4:K4"/>
    <mergeCell ref="B6:K6"/>
    <mergeCell ref="H11:J11"/>
    <mergeCell ref="H12:J14"/>
    <mergeCell ref="B7:K7"/>
    <mergeCell ref="G16:H16"/>
    <mergeCell ref="C23:G23"/>
    <mergeCell ref="H23:J23"/>
    <mergeCell ref="C24:G24"/>
    <mergeCell ref="H24:J24"/>
    <mergeCell ref="B28:B29"/>
    <mergeCell ref="N1:V1"/>
    <mergeCell ref="N2:V2"/>
    <mergeCell ref="N3:V3"/>
    <mergeCell ref="N4:V4"/>
    <mergeCell ref="M6:V6"/>
    <mergeCell ref="M7:V7"/>
    <mergeCell ref="M23:O23"/>
    <mergeCell ref="P23:R23"/>
    <mergeCell ref="M24:O24"/>
    <mergeCell ref="P24:R24"/>
    <mergeCell ref="S12:U14"/>
    <mergeCell ref="S11:U11"/>
    <mergeCell ref="T23:U23"/>
    <mergeCell ref="T24:U24"/>
    <mergeCell ref="P21:R21"/>
    <mergeCell ref="P22:R22"/>
    <mergeCell ref="M22:O22"/>
    <mergeCell ref="N25:O25"/>
    <mergeCell ref="P25:R25"/>
    <mergeCell ref="S25:V25"/>
    <mergeCell ref="M28:M29"/>
    <mergeCell ref="P28:R28"/>
    <mergeCell ref="P29:R29"/>
    <mergeCell ref="C33:K33"/>
    <mergeCell ref="C34:K34"/>
    <mergeCell ref="C35:K35"/>
    <mergeCell ref="C36:K36"/>
    <mergeCell ref="B38:K38"/>
    <mergeCell ref="B39:K39"/>
    <mergeCell ref="D40:E40"/>
    <mergeCell ref="H43:J43"/>
    <mergeCell ref="H44:J46"/>
    <mergeCell ref="G48:H48"/>
    <mergeCell ref="B60:B61"/>
    <mergeCell ref="G49:H49"/>
    <mergeCell ref="C55:G55"/>
    <mergeCell ref="H55:J55"/>
    <mergeCell ref="C56:G56"/>
    <mergeCell ref="H56:J56"/>
  </mergeCells>
  <pageMargins left="0.31" right="0.14000000000000001" top="0.5" bottom="0.24" header="0.17" footer="1.66"/>
  <pageSetup paperSize="125" orientation="portrait" horizontalDpi="180" verticalDpi="18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Anggota!$C$5:$C$109</xm:f>
          </x14:formula1>
          <xm:sqref>J8 U8</xm:sqref>
        </x14:dataValidation>
        <x14:dataValidation type="list" allowBlank="1" showInputMessage="1" showErrorMessage="1" xr:uid="{00000000-0002-0000-0100-000001000000}">
          <x14:formula1>
            <xm:f>Anggota!$C$5:$C$141</xm:f>
          </x14:formula1>
          <xm:sqref>J40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1"/>
  <sheetViews>
    <sheetView showGridLines="0" topLeftCell="A4" workbookViewId="0">
      <selection activeCell="E52" sqref="E52"/>
    </sheetView>
  </sheetViews>
  <sheetFormatPr defaultRowHeight="15"/>
  <cols>
    <col min="1" max="2" width="2.85546875" style="1" customWidth="1"/>
    <col min="3" max="3" width="10.42578125" style="1" customWidth="1"/>
    <col min="4" max="4" width="2.28515625" style="1" customWidth="1"/>
    <col min="5" max="5" width="16.85546875" style="1" customWidth="1"/>
    <col min="6" max="8" width="9.140625" style="1"/>
    <col min="9" max="9" width="11.42578125" style="1" bestFit="1" customWidth="1"/>
    <col min="10" max="10" width="9.140625" style="1"/>
    <col min="11" max="11" width="9.140625" style="1" customWidth="1"/>
    <col min="12" max="16384" width="9.140625" style="1"/>
  </cols>
  <sheetData>
    <row r="1" spans="1:11" ht="18.75">
      <c r="A1" s="404" t="s">
        <v>92</v>
      </c>
      <c r="B1" s="404"/>
      <c r="C1" s="404"/>
      <c r="D1" s="404"/>
      <c r="E1" s="404"/>
      <c r="F1" s="404"/>
      <c r="G1" s="404"/>
      <c r="H1" s="404"/>
      <c r="I1" s="404"/>
      <c r="J1" s="404"/>
      <c r="K1" s="404"/>
    </row>
    <row r="2" spans="1:11" ht="18.75">
      <c r="A2" s="404" t="s">
        <v>93</v>
      </c>
      <c r="B2" s="404"/>
      <c r="C2" s="404"/>
      <c r="D2" s="404"/>
      <c r="E2" s="404"/>
      <c r="F2" s="404"/>
      <c r="G2" s="404"/>
      <c r="H2" s="404"/>
      <c r="I2" s="404"/>
      <c r="J2" s="404"/>
      <c r="K2" s="404"/>
    </row>
    <row r="4" spans="1:11">
      <c r="A4" s="1" t="s">
        <v>112</v>
      </c>
    </row>
    <row r="5" spans="1:11">
      <c r="C5" s="1" t="s">
        <v>94</v>
      </c>
      <c r="D5" s="9" t="s">
        <v>23</v>
      </c>
      <c r="E5" s="210">
        <f ca="1">NOW()</f>
        <v>44593.953634027777</v>
      </c>
    </row>
    <row r="6" spans="1:11">
      <c r="C6" s="1" t="s">
        <v>1</v>
      </c>
      <c r="D6" s="9" t="s">
        <v>23</v>
      </c>
      <c r="E6" s="473">
        <f ca="1">NOW()</f>
        <v>44593.953634027777</v>
      </c>
    </row>
    <row r="7" spans="1:11">
      <c r="C7" s="1" t="s">
        <v>113</v>
      </c>
      <c r="D7" s="9" t="s">
        <v>23</v>
      </c>
      <c r="E7" s="211">
        <f ca="1">NOW()</f>
        <v>44593.953634027777</v>
      </c>
    </row>
    <row r="8" spans="1:11" ht="7.5" customHeight="1"/>
    <row r="9" spans="1:11">
      <c r="A9" s="1" t="s">
        <v>95</v>
      </c>
    </row>
    <row r="10" spans="1:11" s="11" customFormat="1" ht="24.75" customHeight="1">
      <c r="A10" s="11" t="s">
        <v>96</v>
      </c>
      <c r="B10" s="11" t="s">
        <v>97</v>
      </c>
      <c r="D10" s="9" t="s">
        <v>23</v>
      </c>
      <c r="E10" s="51" t="s">
        <v>157</v>
      </c>
    </row>
    <row r="11" spans="1:11" ht="16.5" customHeight="1">
      <c r="B11" s="405" t="s">
        <v>100</v>
      </c>
      <c r="C11" s="405"/>
      <c r="D11" s="405"/>
      <c r="E11" s="405"/>
      <c r="F11" s="405"/>
      <c r="G11" s="405"/>
      <c r="H11" s="405"/>
      <c r="I11" s="405"/>
      <c r="J11" s="405"/>
      <c r="K11" s="405"/>
    </row>
    <row r="12" spans="1:11" ht="13.5" customHeight="1">
      <c r="B12" s="405"/>
      <c r="C12" s="405"/>
      <c r="D12" s="405"/>
      <c r="E12" s="405"/>
      <c r="F12" s="405"/>
      <c r="G12" s="405"/>
      <c r="H12" s="405"/>
      <c r="I12" s="405"/>
      <c r="J12" s="405"/>
      <c r="K12" s="405"/>
    </row>
    <row r="13" spans="1:11" ht="6.75" customHeight="1"/>
    <row r="14" spans="1:11" s="11" customFormat="1" ht="12.75" customHeight="1">
      <c r="A14" s="11" t="s">
        <v>98</v>
      </c>
      <c r="B14" s="11" t="s">
        <v>97</v>
      </c>
      <c r="D14" s="11" t="s">
        <v>23</v>
      </c>
      <c r="E14" s="213" t="str">
        <f>IFERROR(VLOOKUP(I14,Anggota!$C$5:$P$209,2,FALSE), " ")</f>
        <v>Anggota</v>
      </c>
      <c r="H14" s="214" t="s">
        <v>146</v>
      </c>
      <c r="I14" s="51" t="str">
        <f>IFERROR(Kuitansi!U8," ")</f>
        <v>0119</v>
      </c>
    </row>
    <row r="15" spans="1:11" ht="15" customHeight="1">
      <c r="B15" s="405" t="s">
        <v>99</v>
      </c>
      <c r="C15" s="405"/>
      <c r="D15" s="405"/>
      <c r="E15" s="405"/>
      <c r="F15" s="405"/>
      <c r="G15" s="405"/>
      <c r="H15" s="405"/>
      <c r="I15" s="405"/>
      <c r="J15" s="405"/>
      <c r="K15" s="405"/>
    </row>
    <row r="16" spans="1:11">
      <c r="B16" s="405"/>
      <c r="C16" s="405"/>
      <c r="D16" s="405"/>
      <c r="E16" s="405"/>
      <c r="F16" s="405"/>
      <c r="G16" s="405"/>
      <c r="H16" s="405"/>
      <c r="I16" s="405"/>
      <c r="J16" s="405"/>
      <c r="K16" s="405"/>
    </row>
    <row r="17" spans="1:11">
      <c r="B17" s="405"/>
      <c r="C17" s="405"/>
      <c r="D17" s="405"/>
      <c r="E17" s="405"/>
      <c r="F17" s="405"/>
      <c r="G17" s="405"/>
      <c r="H17" s="405"/>
      <c r="I17" s="405"/>
      <c r="J17" s="405"/>
      <c r="K17" s="405"/>
    </row>
    <row r="18" spans="1:11" ht="5.25" customHeight="1"/>
    <row r="19" spans="1:11">
      <c r="A19" s="1" t="s">
        <v>101</v>
      </c>
    </row>
    <row r="20" spans="1:11" ht="15" customHeight="1">
      <c r="A20" s="1" t="s">
        <v>96</v>
      </c>
      <c r="B20" s="406" t="s">
        <v>102</v>
      </c>
      <c r="C20" s="406"/>
      <c r="D20" s="406"/>
      <c r="E20" s="406"/>
      <c r="F20" s="406"/>
      <c r="G20" s="406"/>
      <c r="H20" s="406"/>
      <c r="I20" s="406"/>
      <c r="J20" s="406"/>
      <c r="K20" s="406"/>
    </row>
    <row r="21" spans="1:11">
      <c r="B21" s="406"/>
      <c r="C21" s="406"/>
      <c r="D21" s="406"/>
      <c r="E21" s="406"/>
      <c r="F21" s="406"/>
      <c r="G21" s="406"/>
      <c r="H21" s="406"/>
      <c r="I21" s="406"/>
      <c r="J21" s="406"/>
      <c r="K21" s="406"/>
    </row>
    <row r="22" spans="1:11">
      <c r="B22" s="406"/>
      <c r="C22" s="406"/>
      <c r="D22" s="406"/>
      <c r="E22" s="406"/>
      <c r="F22" s="406"/>
      <c r="G22" s="406"/>
      <c r="H22" s="406"/>
      <c r="I22" s="406"/>
      <c r="J22" s="406"/>
      <c r="K22" s="406"/>
    </row>
    <row r="23" spans="1:11" ht="30" customHeight="1">
      <c r="B23" s="406"/>
      <c r="C23" s="406"/>
      <c r="D23" s="406"/>
      <c r="E23" s="406"/>
      <c r="F23" s="406"/>
      <c r="G23" s="406"/>
      <c r="H23" s="406"/>
      <c r="I23" s="406"/>
      <c r="J23" s="406"/>
      <c r="K23" s="406"/>
    </row>
    <row r="24" spans="1:11" ht="15.75" customHeight="1">
      <c r="A24" s="212" t="s">
        <v>98</v>
      </c>
      <c r="B24" s="406" t="s">
        <v>136</v>
      </c>
      <c r="C24" s="406"/>
      <c r="D24" s="406"/>
      <c r="E24" s="406"/>
      <c r="F24" s="406"/>
      <c r="G24" s="406"/>
      <c r="H24" s="406"/>
      <c r="I24" s="406"/>
      <c r="J24" s="406"/>
      <c r="K24" s="406"/>
    </row>
    <row r="25" spans="1:11">
      <c r="B25" s="406"/>
      <c r="C25" s="406"/>
      <c r="D25" s="406"/>
      <c r="E25" s="406"/>
      <c r="F25" s="406"/>
      <c r="G25" s="406"/>
      <c r="H25" s="406"/>
      <c r="I25" s="406"/>
      <c r="J25" s="406"/>
      <c r="K25" s="406"/>
    </row>
    <row r="26" spans="1:11">
      <c r="B26" s="1" t="s">
        <v>103</v>
      </c>
      <c r="C26" s="406" t="s">
        <v>104</v>
      </c>
      <c r="D26" s="406"/>
      <c r="E26" s="406"/>
      <c r="F26" s="406"/>
      <c r="G26" s="406"/>
      <c r="H26" s="406"/>
      <c r="I26" s="406"/>
      <c r="J26" s="406"/>
      <c r="K26" s="406"/>
    </row>
    <row r="27" spans="1:11">
      <c r="C27" s="406"/>
      <c r="D27" s="406"/>
      <c r="E27" s="406"/>
      <c r="F27" s="406"/>
      <c r="G27" s="406"/>
      <c r="H27" s="406"/>
      <c r="I27" s="406"/>
      <c r="J27" s="406"/>
      <c r="K27" s="406"/>
    </row>
    <row r="28" spans="1:11">
      <c r="C28" s="406"/>
      <c r="D28" s="406"/>
      <c r="E28" s="406"/>
      <c r="F28" s="406"/>
      <c r="G28" s="406"/>
      <c r="H28" s="406"/>
      <c r="I28" s="406"/>
      <c r="J28" s="406"/>
      <c r="K28" s="406"/>
    </row>
    <row r="29" spans="1:11">
      <c r="B29" s="1" t="s">
        <v>105</v>
      </c>
      <c r="C29" s="405" t="s">
        <v>106</v>
      </c>
      <c r="D29" s="405"/>
      <c r="E29" s="405"/>
      <c r="F29" s="405"/>
      <c r="G29" s="405"/>
      <c r="H29" s="405"/>
      <c r="I29" s="405"/>
      <c r="J29" s="405"/>
      <c r="K29" s="405"/>
    </row>
    <row r="30" spans="1:11">
      <c r="C30" s="405"/>
      <c r="D30" s="405"/>
      <c r="E30" s="405"/>
      <c r="F30" s="405"/>
      <c r="G30" s="405"/>
      <c r="H30" s="405"/>
      <c r="I30" s="405"/>
      <c r="J30" s="405"/>
      <c r="K30" s="405"/>
    </row>
    <row r="31" spans="1:11" ht="15" customHeight="1">
      <c r="B31" s="1" t="s">
        <v>107</v>
      </c>
      <c r="C31" s="403" t="s">
        <v>108</v>
      </c>
      <c r="D31" s="403"/>
      <c r="E31" s="403"/>
      <c r="F31" s="403"/>
      <c r="G31" s="403"/>
      <c r="H31" s="403"/>
      <c r="I31" s="403"/>
      <c r="J31" s="403"/>
      <c r="K31" s="403"/>
    </row>
    <row r="32" spans="1:11">
      <c r="C32" s="403"/>
      <c r="D32" s="403"/>
      <c r="E32" s="403"/>
      <c r="F32" s="403"/>
      <c r="G32" s="403"/>
      <c r="H32" s="403"/>
      <c r="I32" s="403"/>
      <c r="J32" s="403"/>
      <c r="K32" s="403"/>
    </row>
    <row r="33" spans="1:11">
      <c r="C33" s="403"/>
      <c r="D33" s="403"/>
      <c r="E33" s="403"/>
      <c r="F33" s="403"/>
      <c r="G33" s="403"/>
      <c r="H33" s="403"/>
      <c r="I33" s="403"/>
      <c r="J33" s="403"/>
      <c r="K33" s="403"/>
    </row>
    <row r="34" spans="1:11">
      <c r="C34" s="403"/>
      <c r="D34" s="403"/>
      <c r="E34" s="403"/>
      <c r="F34" s="403"/>
      <c r="G34" s="403"/>
      <c r="H34" s="403"/>
      <c r="I34" s="403"/>
      <c r="J34" s="403"/>
      <c r="K34" s="403"/>
    </row>
    <row r="35" spans="1:11" ht="6" customHeight="1"/>
    <row r="36" spans="1:11" ht="14.25" customHeight="1">
      <c r="A36" s="1" t="s">
        <v>116</v>
      </c>
      <c r="B36" s="1" t="s">
        <v>117</v>
      </c>
    </row>
    <row r="37" spans="1:11" ht="15.75" customHeight="1">
      <c r="A37" s="212"/>
      <c r="B37" s="212" t="s">
        <v>2</v>
      </c>
      <c r="C37" s="11"/>
      <c r="D37" s="212" t="s">
        <v>23</v>
      </c>
      <c r="E37" s="231" t="str">
        <f>IFERROR(VLOOKUP(I14,Anggota!$C$5:$P$209,4,FALSE), " ")</f>
        <v>A</v>
      </c>
      <c r="F37" s="212"/>
      <c r="G37" s="212"/>
      <c r="H37" s="212"/>
      <c r="I37" s="212"/>
      <c r="J37" s="212"/>
      <c r="K37" s="212"/>
    </row>
    <row r="38" spans="1:11" ht="14.25" customHeight="1">
      <c r="A38" s="212"/>
      <c r="B38" s="212" t="s">
        <v>114</v>
      </c>
      <c r="C38" s="11"/>
      <c r="D38" s="212" t="s">
        <v>23</v>
      </c>
      <c r="E38" s="357">
        <f>IFERROR(VLOOKUP(I14,Anggota!$C$5:$P$209,8,FALSE), " ")</f>
        <v>500000</v>
      </c>
      <c r="F38" s="212"/>
      <c r="G38" s="212"/>
      <c r="H38" s="212"/>
      <c r="I38" s="212"/>
      <c r="J38" s="212"/>
      <c r="K38" s="212"/>
    </row>
    <row r="39" spans="1:11" ht="15" customHeight="1">
      <c r="B39" s="1" t="s">
        <v>115</v>
      </c>
      <c r="C39" s="11"/>
      <c r="D39" s="1" t="s">
        <v>23</v>
      </c>
      <c r="E39" s="357">
        <f>IFERROR(VLOOKUP(I14,Anggota!$C$5:$P$209,10,FALSE), " ")</f>
        <v>612500</v>
      </c>
    </row>
    <row r="40" spans="1:11" ht="15" customHeight="1">
      <c r="B40" s="1" t="s">
        <v>123</v>
      </c>
      <c r="C40" s="11"/>
      <c r="D40" s="1" t="s">
        <v>23</v>
      </c>
      <c r="E40" s="215">
        <f>IFERROR(VLOOKUP(I14,Anggota!$C$5:$P$209,13,FALSE), " ")</f>
        <v>3</v>
      </c>
      <c r="F40" s="1" t="s">
        <v>137</v>
      </c>
      <c r="I40" s="402">
        <f>(E39/E40)+'Angsuran Pokok'!F9</f>
        <v>204166.66666666666</v>
      </c>
      <c r="J40" s="402"/>
    </row>
    <row r="41" spans="1:11" ht="5.25" customHeight="1">
      <c r="C41" s="11"/>
    </row>
    <row r="42" spans="1:11" ht="24" customHeight="1">
      <c r="A42" s="406" t="s">
        <v>109</v>
      </c>
      <c r="B42" s="406"/>
      <c r="C42" s="406"/>
      <c r="D42" s="406"/>
      <c r="E42" s="406"/>
      <c r="F42" s="406"/>
      <c r="G42" s="406"/>
      <c r="H42" s="406"/>
      <c r="I42" s="406"/>
      <c r="J42" s="406"/>
      <c r="K42" s="406"/>
    </row>
    <row r="43" spans="1:11" ht="12" customHeight="1">
      <c r="A43" s="406"/>
      <c r="B43" s="406"/>
      <c r="C43" s="406"/>
      <c r="D43" s="406"/>
      <c r="E43" s="406"/>
      <c r="F43" s="406"/>
      <c r="G43" s="406"/>
      <c r="H43" s="406"/>
      <c r="I43" s="406"/>
      <c r="J43" s="406"/>
      <c r="K43" s="406"/>
    </row>
    <row r="44" spans="1:11">
      <c r="A44" s="408" t="s">
        <v>110</v>
      </c>
      <c r="B44" s="408"/>
      <c r="C44" s="408"/>
      <c r="D44" s="408"/>
      <c r="H44" s="407" t="s">
        <v>111</v>
      </c>
      <c r="I44" s="407"/>
      <c r="J44" s="407"/>
    </row>
    <row r="45" spans="1:11">
      <c r="A45" s="353"/>
      <c r="B45" s="353"/>
      <c r="C45" s="353"/>
      <c r="D45" s="353"/>
      <c r="H45" s="352"/>
      <c r="I45" s="352"/>
      <c r="J45" s="352"/>
    </row>
    <row r="46" spans="1:11">
      <c r="A46" s="353"/>
      <c r="B46" s="353"/>
      <c r="C46" s="353"/>
      <c r="D46" s="353"/>
      <c r="H46" s="352"/>
      <c r="I46" s="352"/>
      <c r="J46" s="352"/>
    </row>
    <row r="47" spans="1:11">
      <c r="A47" s="353"/>
      <c r="B47" s="353"/>
      <c r="C47" s="353"/>
      <c r="D47" s="353"/>
      <c r="H47" s="352"/>
      <c r="I47" s="354"/>
      <c r="J47" s="352"/>
    </row>
    <row r="48" spans="1:11">
      <c r="I48" s="354"/>
    </row>
    <row r="51" spans="1:10">
      <c r="A51" s="407" t="s">
        <v>157</v>
      </c>
      <c r="B51" s="407"/>
      <c r="C51" s="407"/>
      <c r="D51" s="407"/>
      <c r="H51" s="407" t="str">
        <f>E14</f>
        <v>Anggota</v>
      </c>
      <c r="I51" s="407"/>
      <c r="J51" s="407"/>
    </row>
  </sheetData>
  <mergeCells count="15">
    <mergeCell ref="A42:K43"/>
    <mergeCell ref="H44:J44"/>
    <mergeCell ref="H51:J51"/>
    <mergeCell ref="A44:D44"/>
    <mergeCell ref="A51:D51"/>
    <mergeCell ref="I40:J40"/>
    <mergeCell ref="C31:K34"/>
    <mergeCell ref="A1:K1"/>
    <mergeCell ref="A2:K2"/>
    <mergeCell ref="B11:K12"/>
    <mergeCell ref="B15:K17"/>
    <mergeCell ref="B20:K23"/>
    <mergeCell ref="B24:K25"/>
    <mergeCell ref="C26:K28"/>
    <mergeCell ref="C29:K30"/>
  </mergeCells>
  <pageMargins left="0.52" right="0.41" top="0.54" bottom="0.75" header="0.3" footer="0.3"/>
  <pageSetup paperSize="9" orientation="portrait" horizontalDpi="180"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N52"/>
  <sheetViews>
    <sheetView showGridLines="0" workbookViewId="0">
      <selection activeCell="G9" sqref="G9"/>
    </sheetView>
  </sheetViews>
  <sheetFormatPr defaultRowHeight="15"/>
  <cols>
    <col min="1" max="1" width="1.7109375" style="1" customWidth="1"/>
    <col min="2" max="2" width="17" style="1" customWidth="1"/>
    <col min="3" max="3" width="1.85546875" style="1" customWidth="1"/>
    <col min="4" max="4" width="14.140625" style="1" customWidth="1"/>
    <col min="5" max="5" width="14.5703125" style="1" customWidth="1"/>
    <col min="6" max="6" width="13.7109375" style="1" customWidth="1"/>
    <col min="7" max="7" width="14.85546875" style="1" customWidth="1"/>
    <col min="8" max="8" width="19" style="1" bestFit="1" customWidth="1"/>
    <col min="9" max="9" width="13.42578125" style="1" bestFit="1" customWidth="1"/>
    <col min="10" max="10" width="2.7109375" style="1" customWidth="1"/>
    <col min="11" max="12" width="9.140625" style="1"/>
    <col min="13" max="13" width="17.85546875" style="1" bestFit="1" customWidth="1"/>
    <col min="14" max="16384" width="9.140625" style="1"/>
  </cols>
  <sheetData>
    <row r="1" spans="2:14" ht="18.75">
      <c r="B1" s="412" t="s">
        <v>162</v>
      </c>
      <c r="C1" s="412"/>
      <c r="D1" s="412"/>
      <c r="E1" s="412"/>
      <c r="F1" s="412"/>
      <c r="G1" s="412"/>
      <c r="H1" s="412"/>
      <c r="I1" s="412"/>
    </row>
    <row r="2" spans="2:14">
      <c r="B2" s="213"/>
      <c r="C2" s="213"/>
      <c r="D2" s="213"/>
      <c r="E2" s="213"/>
      <c r="F2" s="213"/>
      <c r="G2" s="213"/>
      <c r="H2" s="213"/>
      <c r="I2" s="213"/>
    </row>
    <row r="3" spans="2:14">
      <c r="B3" s="51" t="s">
        <v>145</v>
      </c>
      <c r="C3" s="262" t="s">
        <v>23</v>
      </c>
      <c r="D3" s="340" t="s">
        <v>150</v>
      </c>
      <c r="E3" s="213"/>
      <c r="F3" s="213"/>
      <c r="G3" s="213"/>
      <c r="H3" s="264" t="s">
        <v>123</v>
      </c>
      <c r="I3" s="265">
        <f>VLOOKUP(D3,Anggota!C5:P141,13,FALSE)</f>
        <v>3</v>
      </c>
    </row>
    <row r="4" spans="2:14">
      <c r="B4" s="51" t="s">
        <v>14</v>
      </c>
      <c r="C4" s="262" t="s">
        <v>23</v>
      </c>
      <c r="D4" s="213" t="str">
        <f>VLOOKUP(D3,Anggota!C5:P141,2,FALSE)</f>
        <v>Anggota</v>
      </c>
      <c r="E4" s="213"/>
      <c r="F4" s="213"/>
      <c r="G4" s="213"/>
      <c r="H4" s="471" t="s">
        <v>130</v>
      </c>
      <c r="I4" s="472">
        <f>VLOOKUP(D3,Anggota!C5:P141,9,FALSE)</f>
        <v>0.22500000000000001</v>
      </c>
    </row>
    <row r="5" spans="2:14">
      <c r="B5" s="51" t="s">
        <v>22</v>
      </c>
      <c r="C5" s="262" t="s">
        <v>23</v>
      </c>
      <c r="D5" s="426" t="str">
        <f>VLOOKUP(D3,Anggota!C5:P141,4,FALSE)</f>
        <v>A</v>
      </c>
      <c r="E5" s="426"/>
      <c r="F5" s="154">
        <f>VLOOKUP(D3,Anggota!C5:M143,5,FALSE)</f>
        <v>0</v>
      </c>
      <c r="G5" s="11"/>
      <c r="H5" s="213" t="s">
        <v>159</v>
      </c>
      <c r="I5" s="266">
        <f>VLOOKUP(D3,Anggota!C5:P141,8,FALSE)</f>
        <v>500000</v>
      </c>
    </row>
    <row r="6" spans="2:14" ht="8.25" customHeight="1" thickBot="1">
      <c r="B6" s="11"/>
      <c r="C6" s="11"/>
      <c r="D6" s="11"/>
      <c r="E6" s="11"/>
      <c r="F6" s="11"/>
      <c r="G6" s="11"/>
      <c r="H6" s="11"/>
      <c r="I6" s="11"/>
    </row>
    <row r="7" spans="2:14" s="9" customFormat="1">
      <c r="B7" s="421" t="s">
        <v>4</v>
      </c>
      <c r="C7" s="418"/>
      <c r="D7" s="413" t="s">
        <v>5</v>
      </c>
      <c r="E7" s="415" t="s">
        <v>138</v>
      </c>
      <c r="F7" s="415"/>
      <c r="G7" s="417" t="s">
        <v>6</v>
      </c>
      <c r="H7" s="418"/>
      <c r="I7" s="419" t="s">
        <v>64</v>
      </c>
    </row>
    <row r="8" spans="2:14" s="9" customFormat="1">
      <c r="B8" s="422">
        <v>0</v>
      </c>
      <c r="C8" s="423"/>
      <c r="D8" s="414"/>
      <c r="E8" s="416"/>
      <c r="F8" s="416"/>
      <c r="G8" s="3" t="s">
        <v>7</v>
      </c>
      <c r="H8" s="3" t="s">
        <v>8</v>
      </c>
      <c r="I8" s="420"/>
      <c r="L8" s="72"/>
      <c r="M8" s="72"/>
      <c r="N8" s="72"/>
    </row>
    <row r="9" spans="2:14">
      <c r="B9" s="424">
        <f>IFERROR(IF(OR(B8+1&gt;$I$3,B8="0")," ",B8+1), " ")</f>
        <v>1</v>
      </c>
      <c r="C9" s="425"/>
      <c r="D9" s="267">
        <f>IFERROR(IF(OR(B9=0,B9&gt;$I$3)," ",($I$5/$I$3))," ")</f>
        <v>166666.66666666666</v>
      </c>
      <c r="E9" s="267">
        <f>IFERROR(IF(OR(B9=0,B9&gt;$I$3)," ",($I$5*$I$4/$I$3)), " ")</f>
        <v>37500</v>
      </c>
      <c r="F9" s="267"/>
      <c r="G9" s="267">
        <f>IFERROR(IF(OR(B9=0,B9&gt;$I$3)," ",D9+E9+F9), " ")</f>
        <v>204166.66666666666</v>
      </c>
      <c r="H9" s="53">
        <f>IFERROR(EOMONTH(VLOOKUP($D$3,Anggota!$C$5:$E$109,3,FALSE),0+'Angsuran Pokok'!B9), " ")</f>
        <v>44651</v>
      </c>
      <c r="I9" s="268"/>
      <c r="L9" s="73"/>
      <c r="M9" s="178"/>
      <c r="N9" s="73"/>
    </row>
    <row r="10" spans="2:14">
      <c r="B10" s="424">
        <f t="shared" ref="B10:B44" si="0">IFERROR(IF(OR(B9+1&gt;$I$3,B9="0")," ",B9+1), " ")</f>
        <v>2</v>
      </c>
      <c r="C10" s="425"/>
      <c r="D10" s="267">
        <f t="shared" ref="D10:D44" si="1">IFERROR(IF(OR(B10=0,B10&gt;$I$3)," ",($I$5/$I$3))," ")</f>
        <v>166666.66666666666</v>
      </c>
      <c r="E10" s="267">
        <f t="shared" ref="E10:E44" si="2">IFERROR(IF(OR(B10=0,B10&gt;$I$3)," ",($I$5*$I$4/$I$3)), " ")</f>
        <v>37500</v>
      </c>
      <c r="F10" s="267"/>
      <c r="G10" s="267">
        <f t="shared" ref="G10:G26" si="3">IFERROR(IF(OR(B10=0,B10&gt;$I$3)," ",D10+E10+F10), " ")</f>
        <v>204166.66666666666</v>
      </c>
      <c r="H10" s="53">
        <f>IFERROR(EOMONTH(VLOOKUP($D$3,Anggota!$C$5:$E$109,3,FALSE),0+'Angsuran Pokok'!B10), " ")</f>
        <v>44681</v>
      </c>
      <c r="I10" s="268"/>
      <c r="L10" s="73"/>
      <c r="M10" s="73"/>
      <c r="N10" s="73"/>
    </row>
    <row r="11" spans="2:14">
      <c r="B11" s="424">
        <f t="shared" si="0"/>
        <v>3</v>
      </c>
      <c r="C11" s="425"/>
      <c r="D11" s="267">
        <f t="shared" si="1"/>
        <v>166666.66666666666</v>
      </c>
      <c r="E11" s="267">
        <f t="shared" si="2"/>
        <v>37500</v>
      </c>
      <c r="F11" s="267"/>
      <c r="G11" s="267">
        <f t="shared" si="3"/>
        <v>204166.66666666666</v>
      </c>
      <c r="H11" s="53">
        <f>IFERROR(EOMONTH(VLOOKUP($D$3,Anggota!$C$5:$E$109,3,FALSE),0+'Angsuran Pokok'!B11), " ")</f>
        <v>44712</v>
      </c>
      <c r="I11" s="268"/>
      <c r="L11" s="411"/>
      <c r="M11" s="411"/>
      <c r="N11" s="411"/>
    </row>
    <row r="12" spans="2:14">
      <c r="B12" s="424" t="str">
        <f t="shared" si="0"/>
        <v xml:space="preserve"> </v>
      </c>
      <c r="C12" s="425"/>
      <c r="D12" s="267" t="str">
        <f t="shared" si="1"/>
        <v xml:space="preserve"> </v>
      </c>
      <c r="E12" s="267" t="str">
        <f t="shared" si="2"/>
        <v xml:space="preserve"> </v>
      </c>
      <c r="F12" s="267"/>
      <c r="G12" s="267" t="str">
        <f t="shared" si="3"/>
        <v xml:space="preserve"> </v>
      </c>
      <c r="H12" s="53" t="str">
        <f>IFERROR(EOMONTH(VLOOKUP($D$3,Anggota!$C$5:$E$109,3,FALSE),0+'Angsuran Pokok'!B12), " ")</f>
        <v xml:space="preserve"> </v>
      </c>
      <c r="I12" s="268"/>
      <c r="L12" s="73"/>
      <c r="M12" s="73"/>
      <c r="N12" s="73"/>
    </row>
    <row r="13" spans="2:14">
      <c r="B13" s="424" t="str">
        <f t="shared" si="0"/>
        <v xml:space="preserve"> </v>
      </c>
      <c r="C13" s="425"/>
      <c r="D13" s="267" t="str">
        <f t="shared" si="1"/>
        <v xml:space="preserve"> </v>
      </c>
      <c r="E13" s="267" t="str">
        <f t="shared" si="2"/>
        <v xml:space="preserve"> </v>
      </c>
      <c r="F13" s="267"/>
      <c r="G13" s="267" t="str">
        <f t="shared" si="3"/>
        <v xml:space="preserve"> </v>
      </c>
      <c r="H13" s="53" t="str">
        <f>IFERROR(EOMONTH(VLOOKUP($D$3,Anggota!$C$5:$E$109,3,FALSE),0+'Angsuran Pokok'!B13), " ")</f>
        <v xml:space="preserve"> </v>
      </c>
      <c r="I13" s="268"/>
      <c r="L13" s="73"/>
      <c r="M13" s="73"/>
      <c r="N13" s="73"/>
    </row>
    <row r="14" spans="2:14">
      <c r="B14" s="424" t="str">
        <f t="shared" si="0"/>
        <v xml:space="preserve"> </v>
      </c>
      <c r="C14" s="425"/>
      <c r="D14" s="267" t="str">
        <f t="shared" si="1"/>
        <v xml:space="preserve"> </v>
      </c>
      <c r="E14" s="267" t="str">
        <f t="shared" si="2"/>
        <v xml:space="preserve"> </v>
      </c>
      <c r="F14" s="267" t="str">
        <f t="shared" ref="F10:F18" si="4">IFERROR(IF(OR(B14=0,B14&gt;$I$3)," ",(0/$I$3))," ")</f>
        <v xml:space="preserve"> </v>
      </c>
      <c r="G14" s="267" t="str">
        <f t="shared" si="3"/>
        <v xml:space="preserve"> </v>
      </c>
      <c r="H14" s="53" t="str">
        <f>IFERROR(EOMONTH(VLOOKUP($D$3,Anggota!$C$5:$E$109,3,FALSE),0+'Angsuran Pokok'!B14), " ")</f>
        <v xml:space="preserve"> </v>
      </c>
      <c r="I14" s="268"/>
      <c r="L14" s="73"/>
      <c r="M14" s="73"/>
      <c r="N14" s="73"/>
    </row>
    <row r="15" spans="2:14">
      <c r="B15" s="424" t="str">
        <f t="shared" si="0"/>
        <v xml:space="preserve"> </v>
      </c>
      <c r="C15" s="425"/>
      <c r="D15" s="267" t="str">
        <f t="shared" si="1"/>
        <v xml:space="preserve"> </v>
      </c>
      <c r="E15" s="267" t="str">
        <f t="shared" si="2"/>
        <v xml:space="preserve"> </v>
      </c>
      <c r="F15" s="267" t="str">
        <f t="shared" si="4"/>
        <v xml:space="preserve"> </v>
      </c>
      <c r="G15" s="267" t="str">
        <f t="shared" si="3"/>
        <v xml:space="preserve"> </v>
      </c>
      <c r="H15" s="53" t="str">
        <f>IFERROR(EOMONTH(VLOOKUP($D$3,Anggota!$C$5:$E$109,3,FALSE),0+'Angsuran Pokok'!B15), " ")</f>
        <v xml:space="preserve"> </v>
      </c>
      <c r="I15" s="269"/>
      <c r="L15" s="73"/>
      <c r="M15" s="73"/>
      <c r="N15" s="73"/>
    </row>
    <row r="16" spans="2:14">
      <c r="B16" s="424" t="str">
        <f t="shared" si="0"/>
        <v xml:space="preserve"> </v>
      </c>
      <c r="C16" s="425"/>
      <c r="D16" s="267" t="str">
        <f t="shared" si="1"/>
        <v xml:space="preserve"> </v>
      </c>
      <c r="E16" s="267" t="str">
        <f t="shared" si="2"/>
        <v xml:space="preserve"> </v>
      </c>
      <c r="F16" s="267" t="str">
        <f t="shared" si="4"/>
        <v xml:space="preserve"> </v>
      </c>
      <c r="G16" s="267" t="str">
        <f t="shared" si="3"/>
        <v xml:space="preserve"> </v>
      </c>
      <c r="H16" s="53" t="str">
        <f>IFERROR(EOMONTH(VLOOKUP($D$3,Anggota!$C$5:$E$109,3,FALSE),0+'Angsuran Pokok'!B16), " ")</f>
        <v xml:space="preserve"> </v>
      </c>
      <c r="I16" s="269"/>
    </row>
    <row r="17" spans="2:9">
      <c r="B17" s="424" t="str">
        <f t="shared" si="0"/>
        <v xml:space="preserve"> </v>
      </c>
      <c r="C17" s="425"/>
      <c r="D17" s="267" t="str">
        <f t="shared" si="1"/>
        <v xml:space="preserve"> </v>
      </c>
      <c r="E17" s="267" t="str">
        <f t="shared" si="2"/>
        <v xml:space="preserve"> </v>
      </c>
      <c r="F17" s="267" t="str">
        <f t="shared" si="4"/>
        <v xml:space="preserve"> </v>
      </c>
      <c r="G17" s="267" t="str">
        <f t="shared" si="3"/>
        <v xml:space="preserve"> </v>
      </c>
      <c r="H17" s="53" t="str">
        <f>IFERROR(EOMONTH(VLOOKUP($D$3,Anggota!$C$5:$E$109,3,FALSE),0+'Angsuran Pokok'!B17), " ")</f>
        <v xml:space="preserve"> </v>
      </c>
      <c r="I17" s="269"/>
    </row>
    <row r="18" spans="2:9">
      <c r="B18" s="424" t="str">
        <f t="shared" si="0"/>
        <v xml:space="preserve"> </v>
      </c>
      <c r="C18" s="425"/>
      <c r="D18" s="267" t="str">
        <f t="shared" si="1"/>
        <v xml:space="preserve"> </v>
      </c>
      <c r="E18" s="267" t="str">
        <f t="shared" si="2"/>
        <v xml:space="preserve"> </v>
      </c>
      <c r="F18" s="267" t="str">
        <f t="shared" si="4"/>
        <v xml:space="preserve"> </v>
      </c>
      <c r="G18" s="267" t="str">
        <f t="shared" si="3"/>
        <v xml:space="preserve"> </v>
      </c>
      <c r="H18" s="53" t="str">
        <f>IFERROR(EOMONTH(VLOOKUP($D$3,Anggota!$C$5:$E$109,3,FALSE),0+'Angsuran Pokok'!B18), " ")</f>
        <v xml:space="preserve"> </v>
      </c>
      <c r="I18" s="269"/>
    </row>
    <row r="19" spans="2:9">
      <c r="B19" s="424" t="str">
        <f t="shared" si="0"/>
        <v xml:space="preserve"> </v>
      </c>
      <c r="C19" s="425"/>
      <c r="D19" s="267"/>
      <c r="E19" s="267"/>
      <c r="F19" s="267" t="str">
        <f t="shared" ref="F19:F44" si="5">IFERROR(IF(OR(B19=0,B19&gt;$I$3)," ",(100000/$I$3))," ")</f>
        <v xml:space="preserve"> </v>
      </c>
      <c r="G19" s="267"/>
      <c r="H19" s="53" t="str">
        <f>IFERROR(EOMONTH(VLOOKUP($D$3,Anggota!$C$5:$E$109,3,FALSE),0+'Angsuran Pokok'!B19), " ")</f>
        <v xml:space="preserve"> </v>
      </c>
      <c r="I19" s="269"/>
    </row>
    <row r="20" spans="2:9">
      <c r="B20" s="424" t="str">
        <f t="shared" si="0"/>
        <v xml:space="preserve"> </v>
      </c>
      <c r="C20" s="425"/>
      <c r="D20" s="267" t="str">
        <f t="shared" si="1"/>
        <v xml:space="preserve"> </v>
      </c>
      <c r="E20" s="267" t="str">
        <f t="shared" si="2"/>
        <v xml:space="preserve"> </v>
      </c>
      <c r="F20" s="267" t="str">
        <f t="shared" si="5"/>
        <v xml:space="preserve"> </v>
      </c>
      <c r="G20" s="267" t="str">
        <f t="shared" si="3"/>
        <v xml:space="preserve"> </v>
      </c>
      <c r="H20" s="53" t="str">
        <f>IFERROR(EOMONTH(VLOOKUP($D$3,Anggota!$C$5:$E$109,3,FALSE),0+'Angsuran Pokok'!B20), " ")</f>
        <v xml:space="preserve"> </v>
      </c>
      <c r="I20" s="269"/>
    </row>
    <row r="21" spans="2:9">
      <c r="B21" s="424" t="str">
        <f t="shared" si="0"/>
        <v xml:space="preserve"> </v>
      </c>
      <c r="C21" s="425"/>
      <c r="D21" s="267" t="str">
        <f t="shared" si="1"/>
        <v xml:space="preserve"> </v>
      </c>
      <c r="E21" s="267" t="str">
        <f t="shared" si="2"/>
        <v xml:space="preserve"> </v>
      </c>
      <c r="F21" s="267" t="str">
        <f t="shared" si="5"/>
        <v xml:space="preserve"> </v>
      </c>
      <c r="G21" s="267" t="str">
        <f t="shared" si="3"/>
        <v xml:space="preserve"> </v>
      </c>
      <c r="H21" s="53" t="str">
        <f>IFERROR(EOMONTH(VLOOKUP($D$3,Anggota!$C$5:$E$109,3,FALSE),0+'Angsuran Pokok'!B21), " ")</f>
        <v xml:space="preserve"> </v>
      </c>
      <c r="I21" s="269"/>
    </row>
    <row r="22" spans="2:9">
      <c r="B22" s="424" t="str">
        <f t="shared" si="0"/>
        <v xml:space="preserve"> </v>
      </c>
      <c r="C22" s="425"/>
      <c r="D22" s="267" t="str">
        <f t="shared" si="1"/>
        <v xml:space="preserve"> </v>
      </c>
      <c r="E22" s="267" t="str">
        <f t="shared" si="2"/>
        <v xml:space="preserve"> </v>
      </c>
      <c r="F22" s="267" t="str">
        <f t="shared" si="5"/>
        <v xml:space="preserve"> </v>
      </c>
      <c r="G22" s="267" t="str">
        <f t="shared" si="3"/>
        <v xml:space="preserve"> </v>
      </c>
      <c r="H22" s="53" t="str">
        <f>IFERROR(EOMONTH(VLOOKUP($D$3,Anggota!$C$5:$E$109,3,FALSE),0+'Angsuran Pokok'!B22), " ")</f>
        <v xml:space="preserve"> </v>
      </c>
      <c r="I22" s="269"/>
    </row>
    <row r="23" spans="2:9">
      <c r="B23" s="424" t="str">
        <f t="shared" si="0"/>
        <v xml:space="preserve"> </v>
      </c>
      <c r="C23" s="425"/>
      <c r="D23" s="267" t="str">
        <f t="shared" si="1"/>
        <v xml:space="preserve"> </v>
      </c>
      <c r="E23" s="267" t="str">
        <f t="shared" si="2"/>
        <v xml:space="preserve"> </v>
      </c>
      <c r="F23" s="267" t="str">
        <f t="shared" si="5"/>
        <v xml:space="preserve"> </v>
      </c>
      <c r="G23" s="267" t="str">
        <f t="shared" si="3"/>
        <v xml:space="preserve"> </v>
      </c>
      <c r="H23" s="53" t="str">
        <f>IFERROR(EOMONTH(VLOOKUP($D$3,Anggota!$C$5:$E$109,3,FALSE),0+'Angsuran Pokok'!B23), " ")</f>
        <v xml:space="preserve"> </v>
      </c>
      <c r="I23" s="269"/>
    </row>
    <row r="24" spans="2:9">
      <c r="B24" s="424" t="str">
        <f t="shared" si="0"/>
        <v xml:space="preserve"> </v>
      </c>
      <c r="C24" s="425"/>
      <c r="D24" s="267" t="str">
        <f t="shared" si="1"/>
        <v xml:space="preserve"> </v>
      </c>
      <c r="E24" s="267" t="str">
        <f t="shared" si="2"/>
        <v xml:space="preserve"> </v>
      </c>
      <c r="F24" s="267" t="str">
        <f t="shared" si="5"/>
        <v xml:space="preserve"> </v>
      </c>
      <c r="G24" s="267" t="str">
        <f t="shared" si="3"/>
        <v xml:space="preserve"> </v>
      </c>
      <c r="H24" s="53" t="str">
        <f>IFERROR(EOMONTH(VLOOKUP($D$3,Anggota!$C$5:$E$109,3,FALSE),0+'Angsuran Pokok'!B24), " ")</f>
        <v xml:space="preserve"> </v>
      </c>
      <c r="I24" s="269"/>
    </row>
    <row r="25" spans="2:9">
      <c r="B25" s="424" t="str">
        <f t="shared" si="0"/>
        <v xml:space="preserve"> </v>
      </c>
      <c r="C25" s="425"/>
      <c r="D25" s="267" t="str">
        <f t="shared" si="1"/>
        <v xml:space="preserve"> </v>
      </c>
      <c r="E25" s="267" t="str">
        <f t="shared" si="2"/>
        <v xml:space="preserve"> </v>
      </c>
      <c r="F25" s="267" t="str">
        <f t="shared" si="5"/>
        <v xml:space="preserve"> </v>
      </c>
      <c r="G25" s="267" t="str">
        <f t="shared" si="3"/>
        <v xml:space="preserve"> </v>
      </c>
      <c r="H25" s="53" t="str">
        <f>IFERROR(EOMONTH(VLOOKUP($D$3,Anggota!$C$5:$E$109,3,FALSE),0+'Angsuran Pokok'!B25), " ")</f>
        <v xml:space="preserve"> </v>
      </c>
      <c r="I25" s="269"/>
    </row>
    <row r="26" spans="2:9">
      <c r="B26" s="424" t="str">
        <f t="shared" si="0"/>
        <v xml:space="preserve"> </v>
      </c>
      <c r="C26" s="425"/>
      <c r="D26" s="267" t="str">
        <f t="shared" si="1"/>
        <v xml:space="preserve"> </v>
      </c>
      <c r="E26" s="267" t="str">
        <f t="shared" si="2"/>
        <v xml:space="preserve"> </v>
      </c>
      <c r="F26" s="267" t="str">
        <f t="shared" si="5"/>
        <v xml:space="preserve"> </v>
      </c>
      <c r="G26" s="267" t="str">
        <f t="shared" si="3"/>
        <v xml:space="preserve"> </v>
      </c>
      <c r="H26" s="53" t="str">
        <f>IFERROR(EOMONTH(VLOOKUP($D$3,Anggota!$C$5:$E$109,3,FALSE),0+'Angsuran Pokok'!B26), " ")</f>
        <v xml:space="preserve"> </v>
      </c>
      <c r="I26" s="269"/>
    </row>
    <row r="27" spans="2:9">
      <c r="B27" s="424" t="str">
        <f t="shared" si="0"/>
        <v xml:space="preserve"> </v>
      </c>
      <c r="C27" s="425"/>
      <c r="D27" s="267" t="str">
        <f t="shared" si="1"/>
        <v xml:space="preserve"> </v>
      </c>
      <c r="E27" s="267" t="str">
        <f t="shared" si="2"/>
        <v xml:space="preserve"> </v>
      </c>
      <c r="F27" s="267" t="str">
        <f t="shared" si="5"/>
        <v xml:space="preserve"> </v>
      </c>
      <c r="G27" s="267" t="str">
        <f t="shared" ref="G27:G44" si="6">IFERROR(IF(OR(B27=0,B27&gt;$I$3)," ",D27+E27), " ")</f>
        <v xml:space="preserve"> </v>
      </c>
      <c r="H27" s="53" t="str">
        <f>IFERROR(EOMONTH(VLOOKUP($D$3,Anggota!$C$5:$E$109,3,FALSE),0+'Angsuran Pokok'!B27), " ")</f>
        <v xml:space="preserve"> </v>
      </c>
      <c r="I27" s="269"/>
    </row>
    <row r="28" spans="2:9">
      <c r="B28" s="424" t="str">
        <f t="shared" si="0"/>
        <v xml:space="preserve"> </v>
      </c>
      <c r="C28" s="425"/>
      <c r="D28" s="267" t="str">
        <f t="shared" si="1"/>
        <v xml:space="preserve"> </v>
      </c>
      <c r="E28" s="267" t="str">
        <f t="shared" si="2"/>
        <v xml:space="preserve"> </v>
      </c>
      <c r="F28" s="267" t="str">
        <f t="shared" si="5"/>
        <v xml:space="preserve"> </v>
      </c>
      <c r="G28" s="267" t="str">
        <f t="shared" si="6"/>
        <v xml:space="preserve"> </v>
      </c>
      <c r="H28" s="53" t="str">
        <f>IFERROR(EOMONTH(VLOOKUP($D$3,Anggota!$C$5:$E$109,3,FALSE),0+'Angsuran Pokok'!B28), " ")</f>
        <v xml:space="preserve"> </v>
      </c>
      <c r="I28" s="269"/>
    </row>
    <row r="29" spans="2:9">
      <c r="B29" s="424" t="str">
        <f t="shared" si="0"/>
        <v xml:space="preserve"> </v>
      </c>
      <c r="C29" s="425"/>
      <c r="D29" s="267" t="str">
        <f t="shared" si="1"/>
        <v xml:space="preserve"> </v>
      </c>
      <c r="E29" s="267" t="str">
        <f t="shared" si="2"/>
        <v xml:space="preserve"> </v>
      </c>
      <c r="F29" s="267" t="str">
        <f t="shared" si="5"/>
        <v xml:space="preserve"> </v>
      </c>
      <c r="G29" s="267" t="str">
        <f t="shared" si="6"/>
        <v xml:space="preserve"> </v>
      </c>
      <c r="H29" s="53" t="str">
        <f>IFERROR(EOMONTH(VLOOKUP($D$3,Anggota!$C$5:$E$109,3,FALSE),0+'Angsuran Pokok'!B29), " ")</f>
        <v xml:space="preserve"> </v>
      </c>
      <c r="I29" s="269"/>
    </row>
    <row r="30" spans="2:9">
      <c r="B30" s="424" t="str">
        <f t="shared" si="0"/>
        <v xml:space="preserve"> </v>
      </c>
      <c r="C30" s="425"/>
      <c r="D30" s="267" t="str">
        <f t="shared" si="1"/>
        <v xml:space="preserve"> </v>
      </c>
      <c r="E30" s="267" t="str">
        <f t="shared" si="2"/>
        <v xml:space="preserve"> </v>
      </c>
      <c r="F30" s="267" t="str">
        <f t="shared" si="5"/>
        <v xml:space="preserve"> </v>
      </c>
      <c r="G30" s="267" t="str">
        <f t="shared" si="6"/>
        <v xml:space="preserve"> </v>
      </c>
      <c r="H30" s="53" t="str">
        <f>IFERROR(EOMONTH(VLOOKUP($D$3,Anggota!$C$5:$E$109,3,FALSE),0+'Angsuran Pokok'!B30), " ")</f>
        <v xml:space="preserve"> </v>
      </c>
      <c r="I30" s="269"/>
    </row>
    <row r="31" spans="2:9">
      <c r="B31" s="424" t="str">
        <f t="shared" si="0"/>
        <v xml:space="preserve"> </v>
      </c>
      <c r="C31" s="425"/>
      <c r="D31" s="267" t="str">
        <f t="shared" si="1"/>
        <v xml:space="preserve"> </v>
      </c>
      <c r="E31" s="267" t="str">
        <f t="shared" si="2"/>
        <v xml:space="preserve"> </v>
      </c>
      <c r="F31" s="267" t="str">
        <f t="shared" si="5"/>
        <v xml:space="preserve"> </v>
      </c>
      <c r="G31" s="267" t="str">
        <f t="shared" si="6"/>
        <v xml:space="preserve"> </v>
      </c>
      <c r="H31" s="53" t="str">
        <f>IFERROR(EOMONTH(VLOOKUP($D$3,Anggota!$C$5:$E$109,3,FALSE),0+'Angsuran Pokok'!B31), " ")</f>
        <v xml:space="preserve"> </v>
      </c>
      <c r="I31" s="269"/>
    </row>
    <row r="32" spans="2:9">
      <c r="B32" s="424" t="str">
        <f t="shared" si="0"/>
        <v xml:space="preserve"> </v>
      </c>
      <c r="C32" s="425"/>
      <c r="D32" s="267" t="str">
        <f t="shared" si="1"/>
        <v xml:space="preserve"> </v>
      </c>
      <c r="E32" s="267" t="str">
        <f t="shared" si="2"/>
        <v xml:space="preserve"> </v>
      </c>
      <c r="F32" s="267" t="str">
        <f t="shared" si="5"/>
        <v xml:space="preserve"> </v>
      </c>
      <c r="G32" s="267" t="str">
        <f t="shared" si="6"/>
        <v xml:space="preserve"> </v>
      </c>
      <c r="H32" s="53" t="str">
        <f>IFERROR(EOMONTH(VLOOKUP($D$3,Anggota!$C$5:$E$109,3,FALSE),0+'Angsuran Pokok'!B32), " ")</f>
        <v xml:space="preserve"> </v>
      </c>
      <c r="I32" s="269"/>
    </row>
    <row r="33" spans="1:9">
      <c r="B33" s="424" t="str">
        <f t="shared" si="0"/>
        <v xml:space="preserve"> </v>
      </c>
      <c r="C33" s="425"/>
      <c r="D33" s="267" t="str">
        <f t="shared" si="1"/>
        <v xml:space="preserve"> </v>
      </c>
      <c r="E33" s="267" t="str">
        <f t="shared" si="2"/>
        <v xml:space="preserve"> </v>
      </c>
      <c r="F33" s="267" t="str">
        <f t="shared" si="5"/>
        <v xml:space="preserve"> </v>
      </c>
      <c r="G33" s="267" t="str">
        <f t="shared" si="6"/>
        <v xml:space="preserve"> </v>
      </c>
      <c r="H33" s="53" t="str">
        <f>IFERROR(EOMONTH(VLOOKUP($D$3,Anggota!$C$5:$E$109,3,FALSE),0+'Angsuran Pokok'!B33), " ")</f>
        <v xml:space="preserve"> </v>
      </c>
      <c r="I33" s="269"/>
    </row>
    <row r="34" spans="1:9">
      <c r="B34" s="424" t="str">
        <f t="shared" si="0"/>
        <v xml:space="preserve"> </v>
      </c>
      <c r="C34" s="425"/>
      <c r="D34" s="267" t="str">
        <f t="shared" si="1"/>
        <v xml:space="preserve"> </v>
      </c>
      <c r="E34" s="267" t="str">
        <f t="shared" si="2"/>
        <v xml:space="preserve"> </v>
      </c>
      <c r="F34" s="267" t="str">
        <f t="shared" si="5"/>
        <v xml:space="preserve"> </v>
      </c>
      <c r="G34" s="267" t="str">
        <f t="shared" si="6"/>
        <v xml:space="preserve"> </v>
      </c>
      <c r="H34" s="53" t="str">
        <f>IFERROR(EOMONTH(VLOOKUP($D$3,Anggota!$C$5:$E$109,3,FALSE),0+'Angsuran Pokok'!B34), " ")</f>
        <v xml:space="preserve"> </v>
      </c>
      <c r="I34" s="269"/>
    </row>
    <row r="35" spans="1:9">
      <c r="B35" s="424" t="str">
        <f t="shared" si="0"/>
        <v xml:space="preserve"> </v>
      </c>
      <c r="C35" s="425"/>
      <c r="D35" s="267" t="str">
        <f t="shared" si="1"/>
        <v xml:space="preserve"> </v>
      </c>
      <c r="E35" s="267" t="str">
        <f t="shared" si="2"/>
        <v xml:space="preserve"> </v>
      </c>
      <c r="F35" s="267" t="str">
        <f t="shared" si="5"/>
        <v xml:space="preserve"> </v>
      </c>
      <c r="G35" s="267" t="str">
        <f t="shared" si="6"/>
        <v xml:space="preserve"> </v>
      </c>
      <c r="H35" s="53" t="str">
        <f>IFERROR(EOMONTH(VLOOKUP($D$3,Anggota!$C$5:$E$109,3,FALSE),0+'Angsuran Pokok'!B35), " ")</f>
        <v xml:space="preserve"> </v>
      </c>
      <c r="I35" s="269"/>
    </row>
    <row r="36" spans="1:9">
      <c r="B36" s="424" t="str">
        <f t="shared" si="0"/>
        <v xml:space="preserve"> </v>
      </c>
      <c r="C36" s="425"/>
      <c r="D36" s="267" t="str">
        <f t="shared" si="1"/>
        <v xml:space="preserve"> </v>
      </c>
      <c r="E36" s="267" t="str">
        <f t="shared" si="2"/>
        <v xml:space="preserve"> </v>
      </c>
      <c r="F36" s="267" t="str">
        <f t="shared" si="5"/>
        <v xml:space="preserve"> </v>
      </c>
      <c r="G36" s="267" t="str">
        <f t="shared" si="6"/>
        <v xml:space="preserve"> </v>
      </c>
      <c r="H36" s="53" t="str">
        <f>IFERROR(EOMONTH(VLOOKUP($D$3,Anggota!$C$5:$E$109,3,FALSE),0+'Angsuran Pokok'!B36), " ")</f>
        <v xml:space="preserve"> </v>
      </c>
      <c r="I36" s="269"/>
    </row>
    <row r="37" spans="1:9">
      <c r="B37" s="424" t="str">
        <f t="shared" si="0"/>
        <v xml:space="preserve"> </v>
      </c>
      <c r="C37" s="425"/>
      <c r="D37" s="267" t="str">
        <f t="shared" si="1"/>
        <v xml:space="preserve"> </v>
      </c>
      <c r="E37" s="267" t="str">
        <f t="shared" si="2"/>
        <v xml:space="preserve"> </v>
      </c>
      <c r="F37" s="267" t="str">
        <f t="shared" si="5"/>
        <v xml:space="preserve"> </v>
      </c>
      <c r="G37" s="267" t="str">
        <f t="shared" si="6"/>
        <v xml:space="preserve"> </v>
      </c>
      <c r="H37" s="53" t="str">
        <f>IFERROR(EOMONTH(VLOOKUP($D$3,Anggota!$C$5:$E$109,3,FALSE),0+'Angsuran Pokok'!B37), " ")</f>
        <v xml:space="preserve"> </v>
      </c>
      <c r="I37" s="269"/>
    </row>
    <row r="38" spans="1:9">
      <c r="B38" s="424" t="str">
        <f t="shared" si="0"/>
        <v xml:space="preserve"> </v>
      </c>
      <c r="C38" s="425"/>
      <c r="D38" s="267" t="str">
        <f t="shared" si="1"/>
        <v xml:space="preserve"> </v>
      </c>
      <c r="E38" s="267" t="str">
        <f t="shared" si="2"/>
        <v xml:space="preserve"> </v>
      </c>
      <c r="F38" s="267" t="str">
        <f t="shared" si="5"/>
        <v xml:space="preserve"> </v>
      </c>
      <c r="G38" s="267" t="str">
        <f t="shared" si="6"/>
        <v xml:space="preserve"> </v>
      </c>
      <c r="H38" s="53" t="str">
        <f>IFERROR(EOMONTH(VLOOKUP($D$3,Anggota!$C$5:$E$109,3,FALSE),0+'Angsuran Pokok'!B38), " ")</f>
        <v xml:space="preserve"> </v>
      </c>
      <c r="I38" s="269"/>
    </row>
    <row r="39" spans="1:9">
      <c r="B39" s="424" t="str">
        <f t="shared" si="0"/>
        <v xml:space="preserve"> </v>
      </c>
      <c r="C39" s="425"/>
      <c r="D39" s="267" t="str">
        <f t="shared" si="1"/>
        <v xml:space="preserve"> </v>
      </c>
      <c r="E39" s="267" t="str">
        <f t="shared" si="2"/>
        <v xml:space="preserve"> </v>
      </c>
      <c r="F39" s="267" t="str">
        <f t="shared" si="5"/>
        <v xml:space="preserve"> </v>
      </c>
      <c r="G39" s="267" t="str">
        <f t="shared" si="6"/>
        <v xml:space="preserve"> </v>
      </c>
      <c r="H39" s="53" t="str">
        <f>IFERROR(EOMONTH(VLOOKUP($D$3,Anggota!$C$5:$E$109,3,FALSE),0+'Angsuran Pokok'!B39), " ")</f>
        <v xml:space="preserve"> </v>
      </c>
      <c r="I39" s="269"/>
    </row>
    <row r="40" spans="1:9">
      <c r="B40" s="424" t="str">
        <f t="shared" si="0"/>
        <v xml:space="preserve"> </v>
      </c>
      <c r="C40" s="425"/>
      <c r="D40" s="267" t="str">
        <f t="shared" si="1"/>
        <v xml:space="preserve"> </v>
      </c>
      <c r="E40" s="267" t="str">
        <f t="shared" si="2"/>
        <v xml:space="preserve"> </v>
      </c>
      <c r="F40" s="267" t="str">
        <f t="shared" si="5"/>
        <v xml:space="preserve"> </v>
      </c>
      <c r="G40" s="267" t="str">
        <f t="shared" si="6"/>
        <v xml:space="preserve"> </v>
      </c>
      <c r="H40" s="53" t="str">
        <f>IFERROR(EOMONTH(VLOOKUP($D$3,Anggota!$C$5:$E$109,3,FALSE),0+'Angsuran Pokok'!B40), " ")</f>
        <v xml:space="preserve"> </v>
      </c>
      <c r="I40" s="269"/>
    </row>
    <row r="41" spans="1:9">
      <c r="B41" s="424" t="str">
        <f t="shared" si="0"/>
        <v xml:space="preserve"> </v>
      </c>
      <c r="C41" s="425"/>
      <c r="D41" s="267" t="str">
        <f t="shared" si="1"/>
        <v xml:space="preserve"> </v>
      </c>
      <c r="E41" s="267" t="str">
        <f t="shared" si="2"/>
        <v xml:space="preserve"> </v>
      </c>
      <c r="F41" s="267" t="str">
        <f t="shared" si="5"/>
        <v xml:space="preserve"> </v>
      </c>
      <c r="G41" s="267" t="str">
        <f t="shared" si="6"/>
        <v xml:space="preserve"> </v>
      </c>
      <c r="H41" s="53" t="str">
        <f>IFERROR(EOMONTH(VLOOKUP($D$3,Anggota!$C$5:$E$109,3,FALSE),0+'Angsuran Pokok'!B41), " ")</f>
        <v xml:space="preserve"> </v>
      </c>
      <c r="I41" s="269"/>
    </row>
    <row r="42" spans="1:9">
      <c r="B42" s="424" t="str">
        <f t="shared" si="0"/>
        <v xml:space="preserve"> </v>
      </c>
      <c r="C42" s="425"/>
      <c r="D42" s="267" t="str">
        <f t="shared" si="1"/>
        <v xml:space="preserve"> </v>
      </c>
      <c r="E42" s="267" t="str">
        <f t="shared" si="2"/>
        <v xml:space="preserve"> </v>
      </c>
      <c r="F42" s="267" t="str">
        <f t="shared" si="5"/>
        <v xml:space="preserve"> </v>
      </c>
      <c r="G42" s="267" t="str">
        <f t="shared" si="6"/>
        <v xml:space="preserve"> </v>
      </c>
      <c r="H42" s="53" t="str">
        <f>IFERROR(EOMONTH(VLOOKUP($D$3,Anggota!$C$5:$E$109,3,FALSE),0+'Angsuran Pokok'!B42), " ")</f>
        <v xml:space="preserve"> </v>
      </c>
      <c r="I42" s="269"/>
    </row>
    <row r="43" spans="1:9">
      <c r="B43" s="424" t="str">
        <f t="shared" si="0"/>
        <v xml:space="preserve"> </v>
      </c>
      <c r="C43" s="425"/>
      <c r="D43" s="267" t="str">
        <f t="shared" si="1"/>
        <v xml:space="preserve"> </v>
      </c>
      <c r="E43" s="267" t="str">
        <f t="shared" si="2"/>
        <v xml:space="preserve"> </v>
      </c>
      <c r="F43" s="267" t="str">
        <f t="shared" si="5"/>
        <v xml:space="preserve"> </v>
      </c>
      <c r="G43" s="267" t="str">
        <f t="shared" si="6"/>
        <v xml:space="preserve"> </v>
      </c>
      <c r="H43" s="53" t="str">
        <f>IFERROR(EOMONTH(VLOOKUP($D$3,Anggota!$C$5:$E$109,3,FALSE),0+'Angsuran Pokok'!B43), " ")</f>
        <v xml:space="preserve"> </v>
      </c>
      <c r="I43" s="269"/>
    </row>
    <row r="44" spans="1:9" ht="15.75" thickBot="1">
      <c r="B44" s="427" t="str">
        <f t="shared" si="0"/>
        <v xml:space="preserve"> </v>
      </c>
      <c r="C44" s="428"/>
      <c r="D44" s="270" t="str">
        <f t="shared" si="1"/>
        <v xml:space="preserve"> </v>
      </c>
      <c r="E44" s="270" t="str">
        <f t="shared" si="2"/>
        <v xml:space="preserve"> </v>
      </c>
      <c r="F44" s="267" t="str">
        <f t="shared" si="5"/>
        <v xml:space="preserve"> </v>
      </c>
      <c r="G44" s="270" t="str">
        <f t="shared" si="6"/>
        <v xml:space="preserve"> </v>
      </c>
      <c r="H44" s="53" t="str">
        <f>IFERROR(EOMONTH(VLOOKUP($D$3,Anggota!$C$5:$E$109,3,FALSE),0+'Angsuran Pokok'!B44), " ")</f>
        <v xml:space="preserve"> </v>
      </c>
      <c r="I44" s="271"/>
    </row>
    <row r="45" spans="1:9" s="147" customFormat="1" ht="15.75" thickBot="1">
      <c r="A45" s="470"/>
      <c r="B45" s="410" t="s">
        <v>24</v>
      </c>
      <c r="C45" s="410"/>
      <c r="D45" s="272">
        <f>SUM(D9:D44)</f>
        <v>500000</v>
      </c>
      <c r="E45" s="272">
        <f>SUM(E9:E44)</f>
        <v>112500</v>
      </c>
      <c r="F45" s="272"/>
      <c r="G45" s="272">
        <f>SUM(G9:G44)</f>
        <v>612500</v>
      </c>
      <c r="H45" s="273"/>
      <c r="I45" s="273"/>
    </row>
    <row r="46" spans="1:9" ht="15.75" thickTop="1">
      <c r="B46" s="11"/>
      <c r="C46" s="11"/>
      <c r="D46" s="11"/>
      <c r="E46" s="11"/>
      <c r="F46" s="11"/>
      <c r="G46" s="11"/>
      <c r="H46" s="11"/>
      <c r="I46" s="11"/>
    </row>
    <row r="47" spans="1:9">
      <c r="B47" s="409" t="s">
        <v>25</v>
      </c>
      <c r="C47" s="409"/>
      <c r="D47" s="409"/>
      <c r="E47" s="11"/>
      <c r="F47" s="11"/>
      <c r="G47" s="11"/>
      <c r="H47" s="156" t="s">
        <v>82</v>
      </c>
      <c r="I47" s="346">
        <f ca="1">NOW()</f>
        <v>44593.953634027777</v>
      </c>
    </row>
    <row r="48" spans="1:9">
      <c r="B48" s="409" t="s">
        <v>147</v>
      </c>
      <c r="C48" s="409"/>
      <c r="D48" s="409"/>
      <c r="E48" s="11"/>
      <c r="F48" s="11"/>
      <c r="G48" s="11"/>
      <c r="H48" s="409" t="s">
        <v>148</v>
      </c>
      <c r="I48" s="409"/>
    </row>
    <row r="49" spans="2:9">
      <c r="B49" s="11"/>
      <c r="C49" s="11"/>
      <c r="D49" s="11"/>
      <c r="E49" s="11"/>
      <c r="F49" s="11"/>
      <c r="G49" s="11"/>
      <c r="H49" s="11"/>
      <c r="I49" s="11"/>
    </row>
    <row r="50" spans="2:9">
      <c r="B50" s="11"/>
      <c r="C50" s="11" t="s">
        <v>141</v>
      </c>
      <c r="D50" s="11"/>
      <c r="E50" s="11"/>
      <c r="F50" s="11"/>
      <c r="G50" s="11"/>
      <c r="H50" s="11"/>
      <c r="I50" s="11"/>
    </row>
    <row r="51" spans="2:9">
      <c r="B51" s="11"/>
      <c r="C51" s="11"/>
      <c r="D51" s="11"/>
      <c r="E51" s="11"/>
      <c r="F51" s="11"/>
      <c r="G51" s="11"/>
      <c r="H51" s="11"/>
      <c r="I51" s="11"/>
    </row>
    <row r="52" spans="2:9">
      <c r="B52" s="409" t="str">
        <f>Perjanjian!E10</f>
        <v>Samsudin</v>
      </c>
      <c r="C52" s="409"/>
      <c r="D52" s="409"/>
      <c r="E52" s="11"/>
      <c r="F52" s="11"/>
      <c r="G52" s="11"/>
      <c r="H52" s="409" t="str">
        <f>D4</f>
        <v>Anggota</v>
      </c>
      <c r="I52" s="409"/>
    </row>
  </sheetData>
  <dataConsolidate/>
  <mergeCells count="52">
    <mergeCell ref="B42:C42"/>
    <mergeCell ref="B43:C43"/>
    <mergeCell ref="B44:C44"/>
    <mergeCell ref="B37:C37"/>
    <mergeCell ref="B38:C38"/>
    <mergeCell ref="B39:C39"/>
    <mergeCell ref="B40:C40"/>
    <mergeCell ref="B41:C41"/>
    <mergeCell ref="B32:C32"/>
    <mergeCell ref="B33:C33"/>
    <mergeCell ref="B34:C34"/>
    <mergeCell ref="B35:C35"/>
    <mergeCell ref="B36:C36"/>
    <mergeCell ref="B27:C27"/>
    <mergeCell ref="B28:C28"/>
    <mergeCell ref="B29:C29"/>
    <mergeCell ref="B30:C30"/>
    <mergeCell ref="B31:C31"/>
    <mergeCell ref="B22:C22"/>
    <mergeCell ref="B23:C23"/>
    <mergeCell ref="B24:C24"/>
    <mergeCell ref="B25:C25"/>
    <mergeCell ref="B26:C26"/>
    <mergeCell ref="B17:C17"/>
    <mergeCell ref="B18:C18"/>
    <mergeCell ref="B19:C19"/>
    <mergeCell ref="B20:C20"/>
    <mergeCell ref="B21:C21"/>
    <mergeCell ref="B12:C12"/>
    <mergeCell ref="B13:C13"/>
    <mergeCell ref="B14:C14"/>
    <mergeCell ref="B15:C15"/>
    <mergeCell ref="B16:C16"/>
    <mergeCell ref="L11:N11"/>
    <mergeCell ref="B1:I1"/>
    <mergeCell ref="D7:D8"/>
    <mergeCell ref="E7:E8"/>
    <mergeCell ref="G7:H7"/>
    <mergeCell ref="I7:I8"/>
    <mergeCell ref="B7:C7"/>
    <mergeCell ref="B8:C8"/>
    <mergeCell ref="B9:C9"/>
    <mergeCell ref="B10:C10"/>
    <mergeCell ref="B11:C11"/>
    <mergeCell ref="F7:F8"/>
    <mergeCell ref="D5:E5"/>
    <mergeCell ref="B52:D52"/>
    <mergeCell ref="H52:I52"/>
    <mergeCell ref="B45:C45"/>
    <mergeCell ref="B47:D47"/>
    <mergeCell ref="B48:D48"/>
    <mergeCell ref="H48:I48"/>
  </mergeCells>
  <pageMargins left="0.27559055118110237" right="0.15748031496062992" top="0.19685039370078741" bottom="0.23622047244094491" header="0.11811023622047245" footer="0.11811023622047245"/>
  <pageSetup paperSize="9" scale="90" orientation="portrait" horizontalDpi="4294967292" verticalDpi="18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Anggota!$C$5:$C$109</xm:f>
          </x14:formula1>
          <xm:sqref>D3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1:L242"/>
  <sheetViews>
    <sheetView workbookViewId="0">
      <pane ySplit="4" topLeftCell="A5" activePane="bottomLeft" state="frozen"/>
      <selection pane="bottomLeft" activeCell="E5" sqref="E5"/>
    </sheetView>
  </sheetViews>
  <sheetFormatPr defaultRowHeight="15"/>
  <cols>
    <col min="1" max="1" width="3.85546875" style="1" customWidth="1"/>
    <col min="2" max="2" width="3.7109375" style="9" bestFit="1" customWidth="1"/>
    <col min="3" max="3" width="9" style="9" customWidth="1"/>
    <col min="4" max="4" width="11.5703125" style="9" customWidth="1"/>
    <col min="5" max="5" width="24.5703125" style="9" customWidth="1"/>
    <col min="6" max="6" width="14.5703125" style="1" bestFit="1" customWidth="1"/>
    <col min="7" max="7" width="13.28515625" style="9" customWidth="1"/>
    <col min="8" max="8" width="25.85546875" style="1" customWidth="1"/>
    <col min="9" max="9" width="6.140625" style="1" hidden="1" customWidth="1"/>
    <col min="10" max="10" width="8.85546875" style="1" hidden="1" customWidth="1"/>
    <col min="11" max="11" width="18" style="1" customWidth="1"/>
    <col min="12" max="12" width="15.5703125" style="1" customWidth="1"/>
    <col min="13" max="16384" width="9.140625" style="1"/>
  </cols>
  <sheetData>
    <row r="1" spans="2:10" ht="20.25">
      <c r="B1" s="429" t="s">
        <v>163</v>
      </c>
      <c r="C1" s="429"/>
      <c r="D1" s="429"/>
      <c r="E1" s="429"/>
      <c r="F1" s="429"/>
      <c r="G1" s="429"/>
      <c r="H1" s="429"/>
    </row>
    <row r="2" spans="2:10" ht="15.75">
      <c r="B2" s="430" t="s">
        <v>153</v>
      </c>
      <c r="C2" s="430"/>
      <c r="D2" s="430"/>
      <c r="E2" s="430"/>
      <c r="F2" s="430"/>
      <c r="G2" s="430"/>
      <c r="H2" s="430"/>
    </row>
    <row r="3" spans="2:10" ht="9.75" customHeight="1" thickBot="1"/>
    <row r="4" spans="2:10" ht="28.5" customHeight="1">
      <c r="B4" s="37" t="s">
        <v>0</v>
      </c>
      <c r="C4" s="38" t="s">
        <v>145</v>
      </c>
      <c r="D4" s="38" t="s">
        <v>1</v>
      </c>
      <c r="E4" s="38" t="s">
        <v>14</v>
      </c>
      <c r="F4" s="38" t="s">
        <v>11</v>
      </c>
      <c r="G4" s="38" t="s">
        <v>9</v>
      </c>
      <c r="H4" s="39" t="s">
        <v>31</v>
      </c>
      <c r="I4" s="431" t="s">
        <v>9</v>
      </c>
      <c r="J4" s="431"/>
    </row>
    <row r="5" spans="2:10">
      <c r="B5" s="13" t="str">
        <f>IF(C5="","",ROW()-4)</f>
        <v/>
      </c>
      <c r="C5" s="342"/>
      <c r="D5" s="149"/>
      <c r="E5" s="35" t="str">
        <f>IF(ISBLANK(C5)," ",VLOOKUP(C5,Anggota!$C$5:$P$40,2,FALSE))</f>
        <v xml:space="preserve"> </v>
      </c>
      <c r="F5" s="5" t="str">
        <f>IF(ISBLANK(C5)," ",VLOOKUP(C5,Anggota!$C$5:$P$40,14,FALSE))</f>
        <v xml:space="preserve"> </v>
      </c>
      <c r="G5" s="8"/>
      <c r="H5" s="14" t="str">
        <f>IF(ISBLANK(C5)," ",VLOOKUP(C5,Anggota!$C$5:$P$40,4,FALSE))</f>
        <v xml:space="preserve"> </v>
      </c>
      <c r="I5" s="12">
        <v>1</v>
      </c>
      <c r="J5" s="12" t="s">
        <v>10</v>
      </c>
    </row>
    <row r="6" spans="2:10">
      <c r="B6" s="13" t="str">
        <f t="shared" ref="B6:B73" si="0">IF(C6="","",ROW()-4)</f>
        <v/>
      </c>
      <c r="C6" s="342"/>
      <c r="D6" s="149"/>
      <c r="E6" s="35" t="str">
        <f>IF(ISBLANK(C6)," ",VLOOKUP(C6,Anggota!$C$5:$P$40,2,FALSE))</f>
        <v xml:space="preserve"> </v>
      </c>
      <c r="F6" s="5" t="str">
        <f>IF(ISBLANK(C6)," ",VLOOKUP(C6,Anggota!$C$5:$P$40,14,FALSE))</f>
        <v xml:space="preserve"> </v>
      </c>
      <c r="G6" s="8"/>
      <c r="H6" s="14" t="str">
        <f>IF(ISBLANK(C6)," ",VLOOKUP(C6,Anggota!$C$5:$P$40,4,FALSE))</f>
        <v xml:space="preserve"> </v>
      </c>
      <c r="I6" s="12">
        <v>2</v>
      </c>
      <c r="J6" s="12" t="s">
        <v>12</v>
      </c>
    </row>
    <row r="7" spans="2:10">
      <c r="B7" s="13" t="str">
        <f t="shared" si="0"/>
        <v/>
      </c>
      <c r="C7" s="342"/>
      <c r="D7" s="149"/>
      <c r="E7" s="35" t="str">
        <f>IF(ISBLANK(C7)," ",VLOOKUP(C7,Anggota!$C$5:$P$40,2,FALSE))</f>
        <v xml:space="preserve"> </v>
      </c>
      <c r="F7" s="5" t="str">
        <f>IF(ISBLANK(C7)," ",VLOOKUP(C7,Anggota!$C$5:$P$40,14,FALSE))</f>
        <v xml:space="preserve"> </v>
      </c>
      <c r="G7" s="8"/>
      <c r="H7" s="14" t="str">
        <f>IF(ISBLANK(C7)," ",VLOOKUP(C7,Anggota!$C$5:$P$40,4,FALSE))</f>
        <v xml:space="preserve"> </v>
      </c>
    </row>
    <row r="8" spans="2:10">
      <c r="B8" s="13" t="str">
        <f t="shared" si="0"/>
        <v/>
      </c>
      <c r="C8" s="342"/>
      <c r="D8" s="149"/>
      <c r="E8" s="35" t="str">
        <f>IF(ISBLANK(C8)," ",VLOOKUP(C8,Anggota!$C$5:$P$40,2,FALSE))</f>
        <v xml:space="preserve"> </v>
      </c>
      <c r="F8" s="5" t="str">
        <f>IF(ISBLANK(C8)," ",VLOOKUP(C8,Anggota!$C$5:$P$40,14,FALSE))</f>
        <v xml:space="preserve"> </v>
      </c>
      <c r="G8" s="8"/>
      <c r="H8" s="14" t="str">
        <f>IF(ISBLANK(C8)," ",VLOOKUP(C8,Anggota!$C$5:$P$40,4,FALSE))</f>
        <v xml:space="preserve"> </v>
      </c>
    </row>
    <row r="9" spans="2:10">
      <c r="B9" s="13" t="str">
        <f t="shared" si="0"/>
        <v/>
      </c>
      <c r="C9" s="342"/>
      <c r="D9" s="149"/>
      <c r="E9" s="35" t="str">
        <f>IF(ISBLANK(C9)," ",VLOOKUP(C9,Anggota!$C$5:$P$40,2,FALSE))</f>
        <v xml:space="preserve"> </v>
      </c>
      <c r="F9" s="5" t="str">
        <f>IF(ISBLANK(C9)," ",VLOOKUP(C9,Anggota!$C$5:$P$40,14,FALSE))</f>
        <v xml:space="preserve"> </v>
      </c>
      <c r="G9" s="8"/>
      <c r="H9" s="14" t="str">
        <f>IF(ISBLANK(C9)," ",VLOOKUP(C9,Anggota!$C$5:$P$40,4,FALSE))</f>
        <v xml:space="preserve"> </v>
      </c>
    </row>
    <row r="10" spans="2:10">
      <c r="B10" s="13" t="str">
        <f t="shared" si="0"/>
        <v/>
      </c>
      <c r="C10" s="342"/>
      <c r="D10" s="149"/>
      <c r="E10" s="35" t="str">
        <f>IF(ISBLANK(C10)," ",VLOOKUP(C10,Anggota!$C$5:$P$40,2,FALSE))</f>
        <v xml:space="preserve"> </v>
      </c>
      <c r="F10" s="5" t="str">
        <f>IF(ISBLANK(C10)," ",VLOOKUP(C10,Anggota!$C$5:$P$40,14,FALSE))</f>
        <v xml:space="preserve"> </v>
      </c>
      <c r="G10" s="8"/>
      <c r="H10" s="14" t="str">
        <f>IF(ISBLANK(C10)," ",VLOOKUP(C10,Anggota!$C$5:$P$40,4,FALSE))</f>
        <v xml:space="preserve"> </v>
      </c>
    </row>
    <row r="11" spans="2:10">
      <c r="B11" s="13" t="str">
        <f t="shared" si="0"/>
        <v/>
      </c>
      <c r="C11" s="342"/>
      <c r="D11" s="149"/>
      <c r="E11" s="35" t="str">
        <f>IF(ISBLANK(C11)," ",VLOOKUP(C11,Anggota!$C$5:$P$40,2,FALSE))</f>
        <v xml:space="preserve"> </v>
      </c>
      <c r="F11" s="5" t="str">
        <f>IF(ISBLANK(C11)," ",VLOOKUP(C11,Anggota!$C$5:$P$40,14,FALSE))</f>
        <v xml:space="preserve"> </v>
      </c>
      <c r="G11" s="8"/>
      <c r="H11" s="14" t="str">
        <f>IF(ISBLANK(C11)," ",VLOOKUP(C11,Anggota!$C$5:$P$40,4,FALSE))</f>
        <v xml:space="preserve"> </v>
      </c>
    </row>
    <row r="12" spans="2:10">
      <c r="B12" s="13" t="str">
        <f t="shared" si="0"/>
        <v/>
      </c>
      <c r="C12" s="342"/>
      <c r="D12" s="149"/>
      <c r="E12" s="35" t="str">
        <f>IF(ISBLANK(C12)," ",VLOOKUP(C12,Anggota!$C$5:$P$40,2,FALSE))</f>
        <v xml:space="preserve"> </v>
      </c>
      <c r="F12" s="5" t="str">
        <f>IF(ISBLANK(C12)," ",VLOOKUP(C12,Anggota!$C$5:$P$40,14,FALSE))</f>
        <v xml:space="preserve"> </v>
      </c>
      <c r="G12" s="8"/>
      <c r="H12" s="14" t="str">
        <f>IF(ISBLANK(C12)," ",VLOOKUP(C12,Anggota!$C$5:$P$40,4,FALSE))</f>
        <v xml:space="preserve"> </v>
      </c>
    </row>
    <row r="13" spans="2:10">
      <c r="B13" s="13" t="str">
        <f t="shared" si="0"/>
        <v/>
      </c>
      <c r="C13" s="342"/>
      <c r="D13" s="149"/>
      <c r="E13" s="35" t="str">
        <f>IF(ISBLANK(C13)," ",VLOOKUP(C13,Anggota!$C$5:$P$40,2,FALSE))</f>
        <v xml:space="preserve"> </v>
      </c>
      <c r="F13" s="5" t="str">
        <f>IF(ISBLANK(C13)," ",VLOOKUP(C13,Anggota!$C$5:$P$40,14,FALSE))</f>
        <v xml:space="preserve"> </v>
      </c>
      <c r="G13" s="8"/>
      <c r="H13" s="14" t="str">
        <f>IF(ISBLANK(C13)," ",VLOOKUP(C13,Anggota!$C$5:$P$40,4,FALSE))</f>
        <v xml:space="preserve"> </v>
      </c>
    </row>
    <row r="14" spans="2:10">
      <c r="B14" s="13" t="str">
        <f t="shared" si="0"/>
        <v/>
      </c>
      <c r="C14" s="342"/>
      <c r="D14" s="149"/>
      <c r="E14" s="35" t="str">
        <f>IF(ISBLANK(C14)," ",VLOOKUP(C14,Anggota!$C$5:$P$40,2,FALSE))</f>
        <v xml:space="preserve"> </v>
      </c>
      <c r="F14" s="5" t="str">
        <f>IF(ISBLANK(C14)," ",VLOOKUP(C14,Anggota!$C$5:$P$40,14,FALSE))</f>
        <v xml:space="preserve"> </v>
      </c>
      <c r="G14" s="8"/>
      <c r="H14" s="14" t="str">
        <f>IF(ISBLANK(C14)," ",VLOOKUP(C14,Anggota!$C$5:$P$40,4,FALSE))</f>
        <v xml:space="preserve"> </v>
      </c>
    </row>
    <row r="15" spans="2:10">
      <c r="B15" s="13" t="str">
        <f t="shared" si="0"/>
        <v/>
      </c>
      <c r="C15" s="342"/>
      <c r="D15" s="149"/>
      <c r="E15" s="35" t="str">
        <f>IF(ISBLANK(C15)," ",VLOOKUP(C15,Anggota!$C$5:$P$40,2,FALSE))</f>
        <v xml:space="preserve"> </v>
      </c>
      <c r="F15" s="5" t="str">
        <f>IF(ISBLANK(C15)," ",VLOOKUP(C15,Anggota!$C$5:$P$40,14,FALSE))</f>
        <v xml:space="preserve"> </v>
      </c>
      <c r="G15" s="8"/>
      <c r="H15" s="14" t="str">
        <f>IF(ISBLANK(C15)," ",VLOOKUP(C15,Anggota!$C$5:$P$40,4,FALSE))</f>
        <v xml:space="preserve"> </v>
      </c>
    </row>
    <row r="16" spans="2:10">
      <c r="B16" s="13" t="str">
        <f t="shared" si="0"/>
        <v/>
      </c>
      <c r="C16" s="342"/>
      <c r="D16" s="149"/>
      <c r="E16" s="35" t="str">
        <f>IF(ISBLANK(C16)," ",VLOOKUP(C16,Anggota!$C$5:$P$40,2,FALSE))</f>
        <v xml:space="preserve"> </v>
      </c>
      <c r="F16" s="5" t="str">
        <f>IF(ISBLANK(C16)," ",VLOOKUP(C16,Anggota!$C$5:$P$40,14,FALSE))</f>
        <v xml:space="preserve"> </v>
      </c>
      <c r="G16" s="8"/>
      <c r="H16" s="14" t="str">
        <f>IF(ISBLANK(C16)," ",VLOOKUP(C16,Anggota!$C$5:$P$40,4,FALSE))</f>
        <v xml:space="preserve"> </v>
      </c>
    </row>
    <row r="17" spans="2:8">
      <c r="B17" s="13" t="str">
        <f t="shared" si="0"/>
        <v/>
      </c>
      <c r="C17" s="342"/>
      <c r="D17" s="149"/>
      <c r="E17" s="35" t="str">
        <f>IF(ISBLANK(C17)," ",VLOOKUP(C17,Anggota!$C$5:$P$40,2,FALSE))</f>
        <v xml:space="preserve"> </v>
      </c>
      <c r="F17" s="5" t="str">
        <f>IF(ISBLANK(C17)," ",VLOOKUP(C17,Anggota!$C$5:$P$40,14,FALSE))</f>
        <v xml:space="preserve"> </v>
      </c>
      <c r="G17" s="8"/>
      <c r="H17" s="14" t="str">
        <f>IF(ISBLANK(C17)," ",VLOOKUP(C17,Anggota!$C$5:$P$40,4,FALSE))</f>
        <v xml:space="preserve"> </v>
      </c>
    </row>
    <row r="18" spans="2:8">
      <c r="B18" s="13" t="str">
        <f t="shared" si="0"/>
        <v/>
      </c>
      <c r="C18" s="342"/>
      <c r="D18" s="149"/>
      <c r="E18" s="35" t="str">
        <f>IF(ISBLANK(C18)," ",VLOOKUP(C18,Anggota!$C$5:$P$40,2,FALSE))</f>
        <v xml:space="preserve"> </v>
      </c>
      <c r="F18" s="5" t="str">
        <f>IF(ISBLANK(C18)," ",VLOOKUP(C18,Anggota!$C$5:$P$40,14,FALSE))</f>
        <v xml:space="preserve"> </v>
      </c>
      <c r="G18" s="8"/>
      <c r="H18" s="14" t="str">
        <f>IF(ISBLANK(C18)," ",VLOOKUP(C18,Anggota!$C$5:$P$40,4,FALSE))</f>
        <v xml:space="preserve"> </v>
      </c>
    </row>
    <row r="19" spans="2:8">
      <c r="B19" s="13" t="str">
        <f t="shared" si="0"/>
        <v/>
      </c>
      <c r="C19" s="342"/>
      <c r="D19" s="149"/>
      <c r="E19" s="35" t="str">
        <f>IF(ISBLANK(C19)," ",VLOOKUP(C19,Anggota!$C$5:$P$40,2,FALSE))</f>
        <v xml:space="preserve"> </v>
      </c>
      <c r="F19" s="5" t="str">
        <f>IF(ISBLANK(C19)," ",VLOOKUP(C19,Anggota!$C$5:$P$40,14,FALSE))</f>
        <v xml:space="preserve"> </v>
      </c>
      <c r="G19" s="8"/>
      <c r="H19" s="14" t="str">
        <f>IF(ISBLANK(C19)," ",VLOOKUP(C19,Anggota!$C$5:$P$40,4,FALSE))</f>
        <v xml:space="preserve"> </v>
      </c>
    </row>
    <row r="20" spans="2:8">
      <c r="B20" s="13" t="str">
        <f t="shared" si="0"/>
        <v/>
      </c>
      <c r="C20" s="342"/>
      <c r="D20" s="149"/>
      <c r="E20" s="35" t="str">
        <f>IF(ISBLANK(C20)," ",VLOOKUP(C20,Anggota!$C$5:$P$40,2,FALSE))</f>
        <v xml:space="preserve"> </v>
      </c>
      <c r="F20" s="5" t="str">
        <f>IF(ISBLANK(C20)," ",VLOOKUP(C20,Anggota!$C$5:$P$40,14,FALSE))</f>
        <v xml:space="preserve"> </v>
      </c>
      <c r="G20" s="8"/>
      <c r="H20" s="14" t="str">
        <f>IF(ISBLANK(C20)," ",VLOOKUP(C20,Anggota!$C$5:$P$40,4,FALSE))</f>
        <v xml:space="preserve"> </v>
      </c>
    </row>
    <row r="21" spans="2:8">
      <c r="B21" s="13" t="str">
        <f>IF(C21="","",ROW()-4)</f>
        <v/>
      </c>
      <c r="C21" s="342"/>
      <c r="D21" s="149"/>
      <c r="E21" s="35" t="str">
        <f>IF(ISBLANK(C21)," ",VLOOKUP(C21,Anggota!$C$5:$P$40,2,FALSE))</f>
        <v xml:space="preserve"> </v>
      </c>
      <c r="F21" s="5" t="str">
        <f>IF(ISBLANK(C21)," ",VLOOKUP(C21,Anggota!$C$5:$P$40,14,FALSE))</f>
        <v xml:space="preserve"> </v>
      </c>
      <c r="G21" s="8"/>
      <c r="H21" s="14" t="str">
        <f>IF(ISBLANK(C21)," ",VLOOKUP(C21,Anggota!$C$5:$P$40,4,FALSE))</f>
        <v xml:space="preserve"> </v>
      </c>
    </row>
    <row r="22" spans="2:8">
      <c r="B22" s="13" t="str">
        <f t="shared" si="0"/>
        <v/>
      </c>
      <c r="C22" s="342"/>
      <c r="D22" s="149"/>
      <c r="E22" s="35" t="str">
        <f>IF(ISBLANK(C22)," ",VLOOKUP(C22,Anggota!$C$5:$P$40,2,FALSE))</f>
        <v xml:space="preserve"> </v>
      </c>
      <c r="F22" s="5" t="str">
        <f>IF(ISBLANK(C22)," ",VLOOKUP(C22,Anggota!$C$5:$P$40,14,FALSE))</f>
        <v xml:space="preserve"> </v>
      </c>
      <c r="G22" s="8"/>
      <c r="H22" s="14" t="str">
        <f>IF(ISBLANK(C22)," ",VLOOKUP(C22,Anggota!$C$5:$P$40,4,FALSE))</f>
        <v xml:space="preserve"> </v>
      </c>
    </row>
    <row r="23" spans="2:8">
      <c r="B23" s="13" t="str">
        <f t="shared" si="0"/>
        <v/>
      </c>
      <c r="C23" s="342"/>
      <c r="D23" s="149"/>
      <c r="E23" s="35" t="str">
        <f>IF(ISBLANK(C23)," ",VLOOKUP(C23,Anggota!$C$5:$P$40,2,FALSE))</f>
        <v xml:space="preserve"> </v>
      </c>
      <c r="F23" s="5" t="str">
        <f>IF(ISBLANK(C23)," ",VLOOKUP(C23,Anggota!$C$5:$P$40,14,FALSE))</f>
        <v xml:space="preserve"> </v>
      </c>
      <c r="G23" s="8"/>
      <c r="H23" s="14" t="str">
        <f>IF(ISBLANK(C23)," ",VLOOKUP(C23,Anggota!$C$5:$P$40,4,FALSE))</f>
        <v xml:space="preserve"> </v>
      </c>
    </row>
    <row r="24" spans="2:8">
      <c r="B24" s="13" t="str">
        <f t="shared" si="0"/>
        <v/>
      </c>
      <c r="C24" s="342"/>
      <c r="D24" s="149"/>
      <c r="E24" s="35" t="str">
        <f>IF(ISBLANK(C24)," ",VLOOKUP(C24,Anggota!$C$5:$P$40,2,FALSE))</f>
        <v xml:space="preserve"> </v>
      </c>
      <c r="F24" s="5" t="str">
        <f>IF(ISBLANK(C24)," ",VLOOKUP(C24,Anggota!$C$5:$P$40,14,FALSE))</f>
        <v xml:space="preserve"> </v>
      </c>
      <c r="G24" s="8"/>
      <c r="H24" s="14" t="str">
        <f>IF(ISBLANK(C24)," ",VLOOKUP(C24,Anggota!$C$5:$P$40,4,FALSE))</f>
        <v xml:space="preserve"> </v>
      </c>
    </row>
    <row r="25" spans="2:8">
      <c r="B25" s="13" t="str">
        <f t="shared" si="0"/>
        <v/>
      </c>
      <c r="C25" s="342"/>
      <c r="D25" s="149"/>
      <c r="E25" s="35" t="str">
        <f>IF(ISBLANK(C25)," ",VLOOKUP(C25,Anggota!$C$5:$P$40,2,FALSE))</f>
        <v xml:space="preserve"> </v>
      </c>
      <c r="F25" s="5" t="str">
        <f>IF(ISBLANK(C25)," ",VLOOKUP(C25,Anggota!$C$5:$P$40,14,FALSE))</f>
        <v xml:space="preserve"> </v>
      </c>
      <c r="G25" s="8"/>
      <c r="H25" s="14" t="str">
        <f>IF(ISBLANK(C25)," ",VLOOKUP(C25,Anggota!$C$5:$P$40,4,FALSE))</f>
        <v xml:space="preserve"> </v>
      </c>
    </row>
    <row r="26" spans="2:8">
      <c r="B26" s="13" t="str">
        <f t="shared" si="0"/>
        <v/>
      </c>
      <c r="C26" s="342"/>
      <c r="D26" s="149"/>
      <c r="E26" s="35" t="str">
        <f>IF(ISBLANK(C26)," ",VLOOKUP(C26,Anggota!$C$5:$P$40,2,FALSE))</f>
        <v xml:space="preserve"> </v>
      </c>
      <c r="F26" s="5" t="str">
        <f>IF(ISBLANK(C26)," ",VLOOKUP(C26,Anggota!$C$5:$P$40,14,FALSE))</f>
        <v xml:space="preserve"> </v>
      </c>
      <c r="G26" s="8"/>
      <c r="H26" s="14" t="str">
        <f>IF(ISBLANK(C26)," ",VLOOKUP(C26,Anggota!$C$5:$P$40,4,FALSE))</f>
        <v xml:space="preserve"> </v>
      </c>
    </row>
    <row r="27" spans="2:8">
      <c r="B27" s="13" t="str">
        <f t="shared" si="0"/>
        <v/>
      </c>
      <c r="C27" s="342"/>
      <c r="D27" s="149"/>
      <c r="E27" s="35" t="str">
        <f>IF(ISBLANK(C27)," ",VLOOKUP(C27,Anggota!$C$5:$P$40,2,FALSE))</f>
        <v xml:space="preserve"> </v>
      </c>
      <c r="F27" s="5" t="str">
        <f>IF(ISBLANK(C27)," ",VLOOKUP(C27,Anggota!$C$5:$P$40,14,FALSE))</f>
        <v xml:space="preserve"> </v>
      </c>
      <c r="G27" s="8"/>
      <c r="H27" s="14" t="str">
        <f>IF(ISBLANK(C27)," ",VLOOKUP(C27,Anggota!$C$5:$P$40,4,FALSE))</f>
        <v xml:space="preserve"> </v>
      </c>
    </row>
    <row r="28" spans="2:8">
      <c r="B28" s="13" t="str">
        <f t="shared" si="0"/>
        <v/>
      </c>
      <c r="C28" s="342"/>
      <c r="D28" s="149"/>
      <c r="E28" s="35" t="str">
        <f>IF(ISBLANK(C28)," ",VLOOKUP(C28,Anggota!$C$5:$P$40,2,FALSE))</f>
        <v xml:space="preserve"> </v>
      </c>
      <c r="F28" s="5" t="str">
        <f>IF(ISBLANK(C28)," ",VLOOKUP(C28,Anggota!$C$5:$P$40,14,FALSE))</f>
        <v xml:space="preserve"> </v>
      </c>
      <c r="G28" s="8"/>
      <c r="H28" s="14" t="str">
        <f>IF(ISBLANK(C28)," ",VLOOKUP(C28,Anggota!$C$5:$P$40,4,FALSE))</f>
        <v xml:space="preserve"> </v>
      </c>
    </row>
    <row r="29" spans="2:8">
      <c r="B29" s="13" t="str">
        <f t="shared" si="0"/>
        <v/>
      </c>
      <c r="C29" s="342"/>
      <c r="D29" s="149"/>
      <c r="E29" s="35" t="str">
        <f>IF(ISBLANK(C29)," ",VLOOKUP(C29,Anggota!$C$5:$P$40,2,FALSE))</f>
        <v xml:space="preserve"> </v>
      </c>
      <c r="F29" s="5" t="str">
        <f>IF(ISBLANK(C29)," ",VLOOKUP(C29,Anggota!$C$5:$P$40,14,FALSE))</f>
        <v xml:space="preserve"> </v>
      </c>
      <c r="G29" s="8"/>
      <c r="H29" s="14" t="str">
        <f>IF(ISBLANK(C29)," ",VLOOKUP(C29,Anggota!$C$5:$P$40,4,FALSE))</f>
        <v xml:space="preserve"> </v>
      </c>
    </row>
    <row r="30" spans="2:8">
      <c r="B30" s="13" t="str">
        <f t="shared" si="0"/>
        <v/>
      </c>
      <c r="C30" s="342"/>
      <c r="D30" s="149"/>
      <c r="E30" s="35" t="str">
        <f>IF(ISBLANK(C30)," ",VLOOKUP(C30,Anggota!$C$5:$P$40,2,FALSE))</f>
        <v xml:space="preserve"> </v>
      </c>
      <c r="F30" s="5" t="str">
        <f>IF(ISBLANK(C30)," ",VLOOKUP(C30,Anggota!$C$5:$P$40,14,FALSE))</f>
        <v xml:space="preserve"> </v>
      </c>
      <c r="G30" s="8"/>
      <c r="H30" s="14" t="str">
        <f>IF(ISBLANK(C30)," ",VLOOKUP(C30,Anggota!$C$5:$P$40,4,FALSE))</f>
        <v xml:space="preserve"> </v>
      </c>
    </row>
    <row r="31" spans="2:8">
      <c r="B31" s="13" t="str">
        <f t="shared" si="0"/>
        <v/>
      </c>
      <c r="C31" s="342"/>
      <c r="D31" s="149"/>
      <c r="E31" s="35" t="str">
        <f>IF(ISBLANK(C31)," ",VLOOKUP(C31,Anggota!$C$5:$P$40,2,FALSE))</f>
        <v xml:space="preserve"> </v>
      </c>
      <c r="F31" s="5" t="str">
        <f>IF(ISBLANK(C31)," ",VLOOKUP(C31,Anggota!$C$5:$P$40,14,FALSE))</f>
        <v xml:space="preserve"> </v>
      </c>
      <c r="G31" s="8"/>
      <c r="H31" s="14" t="str">
        <f>IF(ISBLANK(C31)," ",VLOOKUP(C31,Anggota!$C$5:$P$40,4,FALSE))</f>
        <v xml:space="preserve"> </v>
      </c>
    </row>
    <row r="32" spans="2:8">
      <c r="B32" s="13" t="str">
        <f t="shared" si="0"/>
        <v/>
      </c>
      <c r="C32" s="342"/>
      <c r="D32" s="149"/>
      <c r="E32" s="35" t="str">
        <f>IF(ISBLANK(C32)," ",VLOOKUP(C32,Anggota!$C$5:$P$40,2,FALSE))</f>
        <v xml:space="preserve"> </v>
      </c>
      <c r="F32" s="5" t="str">
        <f>IF(ISBLANK(C32)," ",VLOOKUP(C32,Anggota!$C$5:$P$40,14,FALSE))</f>
        <v xml:space="preserve"> </v>
      </c>
      <c r="G32" s="8"/>
      <c r="H32" s="14" t="str">
        <f>IF(ISBLANK(C32)," ",VLOOKUP(C32,Anggota!$C$5:$P$40,4,FALSE))</f>
        <v xml:space="preserve"> </v>
      </c>
    </row>
    <row r="33" spans="2:8">
      <c r="B33" s="13" t="str">
        <f t="shared" si="0"/>
        <v/>
      </c>
      <c r="C33" s="342"/>
      <c r="D33" s="149"/>
      <c r="E33" s="35" t="str">
        <f>IF(ISBLANK(C33)," ",VLOOKUP(C33,Anggota!$C$5:$P$40,2,FALSE))</f>
        <v xml:space="preserve"> </v>
      </c>
      <c r="F33" s="5" t="str">
        <f>IF(ISBLANK(C33)," ",VLOOKUP(C33,Anggota!$C$5:$P$40,14,FALSE))</f>
        <v xml:space="preserve"> </v>
      </c>
      <c r="G33" s="8"/>
      <c r="H33" s="14" t="str">
        <f>IF(ISBLANK(C33)," ",VLOOKUP(C33,Anggota!$C$5:$P$40,4,FALSE))</f>
        <v xml:space="preserve"> </v>
      </c>
    </row>
    <row r="34" spans="2:8">
      <c r="B34" s="13" t="str">
        <f t="shared" si="0"/>
        <v/>
      </c>
      <c r="C34" s="342"/>
      <c r="D34" s="149"/>
      <c r="E34" s="35" t="str">
        <f>IF(ISBLANK(C34)," ",VLOOKUP(C34,Anggota!$C$5:$P$40,2,FALSE))</f>
        <v xml:space="preserve"> </v>
      </c>
      <c r="F34" s="5" t="str">
        <f>IF(ISBLANK(C34)," ",VLOOKUP(C34,Anggota!$C$5:$P$40,14,FALSE))</f>
        <v xml:space="preserve"> </v>
      </c>
      <c r="G34" s="8"/>
      <c r="H34" s="14" t="str">
        <f>IF(ISBLANK(C34)," ",VLOOKUP(C34,Anggota!$C$5:$P$40,4,FALSE))</f>
        <v xml:space="preserve"> </v>
      </c>
    </row>
    <row r="35" spans="2:8">
      <c r="B35" s="13" t="str">
        <f t="shared" si="0"/>
        <v/>
      </c>
      <c r="C35" s="342"/>
      <c r="D35" s="149"/>
      <c r="E35" s="35" t="str">
        <f>IF(ISBLANK(C35)," ",VLOOKUP(C35,Anggota!$C$5:$P$40,2,FALSE))</f>
        <v xml:space="preserve"> </v>
      </c>
      <c r="F35" s="5" t="str">
        <f>IF(ISBLANK(C35)," ",VLOOKUP(C35,Anggota!$C$5:$P$40,14,FALSE))</f>
        <v xml:space="preserve"> </v>
      </c>
      <c r="G35" s="8"/>
      <c r="H35" s="14" t="str">
        <f>IF(ISBLANK(C35)," ",VLOOKUP(C35,Anggota!$C$5:$P$40,4,FALSE))</f>
        <v xml:space="preserve"> </v>
      </c>
    </row>
    <row r="36" spans="2:8">
      <c r="B36" s="13" t="str">
        <f t="shared" si="0"/>
        <v/>
      </c>
      <c r="C36" s="342"/>
      <c r="D36" s="149"/>
      <c r="E36" s="35" t="str">
        <f>IF(ISBLANK(C36)," ",VLOOKUP(C36,Anggota!$C$5:$P$40,2,FALSE))</f>
        <v xml:space="preserve"> </v>
      </c>
      <c r="F36" s="5" t="str">
        <f>IF(ISBLANK(C36)," ",VLOOKUP(C36,Anggota!$C$5:$P$40,14,FALSE))</f>
        <v xml:space="preserve"> </v>
      </c>
      <c r="G36" s="8"/>
      <c r="H36" s="14" t="str">
        <f>IF(ISBLANK(C36)," ",VLOOKUP(C36,Anggota!$C$5:$P$40,4,FALSE))</f>
        <v xml:space="preserve"> </v>
      </c>
    </row>
    <row r="37" spans="2:8">
      <c r="B37" s="13" t="str">
        <f t="shared" si="0"/>
        <v/>
      </c>
      <c r="C37" s="342"/>
      <c r="D37" s="149"/>
      <c r="E37" s="35" t="str">
        <f>IF(ISBLANK(C37)," ",VLOOKUP(C37,Anggota!$C$5:$P$40,2,FALSE))</f>
        <v xml:space="preserve"> </v>
      </c>
      <c r="F37" s="5" t="str">
        <f>IF(ISBLANK(C37)," ",VLOOKUP(C37,Anggota!$C$5:$P$40,14,FALSE))</f>
        <v xml:space="preserve"> </v>
      </c>
      <c r="G37" s="8"/>
      <c r="H37" s="14" t="str">
        <f>IF(ISBLANK(C37)," ",VLOOKUP(C37,Anggota!$C$5:$P$40,4,FALSE))</f>
        <v xml:space="preserve"> </v>
      </c>
    </row>
    <row r="38" spans="2:8">
      <c r="B38" s="13" t="str">
        <f t="shared" si="0"/>
        <v/>
      </c>
      <c r="C38" s="342"/>
      <c r="D38" s="149"/>
      <c r="E38" s="35" t="str">
        <f>IF(ISBLANK(C38)," ",VLOOKUP(C38,Anggota!$C$5:$P$40,2,FALSE))</f>
        <v xml:space="preserve"> </v>
      </c>
      <c r="F38" s="5" t="str">
        <f>IF(ISBLANK(C38)," ",VLOOKUP(C38,Anggota!$C$5:$P$40,14,FALSE))</f>
        <v xml:space="preserve"> </v>
      </c>
      <c r="G38" s="8"/>
      <c r="H38" s="14" t="str">
        <f>IF(ISBLANK(C38)," ",VLOOKUP(C38,Anggota!$C$5:$P$40,4,FALSE))</f>
        <v xml:space="preserve"> </v>
      </c>
    </row>
    <row r="39" spans="2:8">
      <c r="B39" s="13" t="str">
        <f t="shared" si="0"/>
        <v/>
      </c>
      <c r="C39" s="342"/>
      <c r="D39" s="149"/>
      <c r="E39" s="35" t="str">
        <f>IF(ISBLANK(C39)," ",VLOOKUP(C39,Anggota!$C$5:$P$40,2,FALSE))</f>
        <v xml:space="preserve"> </v>
      </c>
      <c r="F39" s="5" t="str">
        <f>IF(ISBLANK(C39)," ",VLOOKUP(C39,Anggota!$C$5:$P$40,14,FALSE))</f>
        <v xml:space="preserve"> </v>
      </c>
      <c r="G39" s="8"/>
      <c r="H39" s="14" t="str">
        <f>IF(ISBLANK(C39)," ",VLOOKUP(C39,Anggota!$C$5:$P$40,4,FALSE))</f>
        <v xml:space="preserve"> </v>
      </c>
    </row>
    <row r="40" spans="2:8">
      <c r="B40" s="13" t="str">
        <f t="shared" si="0"/>
        <v/>
      </c>
      <c r="C40" s="342"/>
      <c r="D40" s="149"/>
      <c r="E40" s="35" t="str">
        <f>IF(ISBLANK(C40)," ",VLOOKUP(C40,Anggota!$C$5:$P$40,2,FALSE))</f>
        <v xml:space="preserve"> </v>
      </c>
      <c r="F40" s="5" t="str">
        <f>IF(ISBLANK(C40)," ",VLOOKUP(C40,Anggota!$C$5:$P$40,14,FALSE))</f>
        <v xml:space="preserve"> </v>
      </c>
      <c r="G40" s="8"/>
      <c r="H40" s="14" t="str">
        <f>IF(ISBLANK(C40)," ",VLOOKUP(C40,Anggota!$C$5:$P$40,4,FALSE))</f>
        <v xml:space="preserve"> </v>
      </c>
    </row>
    <row r="41" spans="2:8">
      <c r="B41" s="13" t="str">
        <f t="shared" si="0"/>
        <v/>
      </c>
      <c r="C41" s="342"/>
      <c r="D41" s="149"/>
      <c r="E41" s="35" t="str">
        <f>IF(ISBLANK(C41)," ",VLOOKUP(C41,Anggota!$C$5:$P$40,2,FALSE))</f>
        <v xml:space="preserve"> </v>
      </c>
      <c r="F41" s="5" t="str">
        <f>IF(ISBLANK(C41)," ",VLOOKUP(C41,Anggota!$C$5:$P$40,14,FALSE))</f>
        <v xml:space="preserve"> </v>
      </c>
      <c r="G41" s="8"/>
      <c r="H41" s="14" t="str">
        <f>IF(ISBLANK(C41)," ",VLOOKUP(C41,Anggota!$C$5:$P$40,4,FALSE))</f>
        <v xml:space="preserve"> </v>
      </c>
    </row>
    <row r="42" spans="2:8">
      <c r="B42" s="13" t="str">
        <f t="shared" si="0"/>
        <v/>
      </c>
      <c r="C42" s="342"/>
      <c r="D42" s="149"/>
      <c r="E42" s="35" t="str">
        <f>IF(ISBLANK(C42)," ",VLOOKUP(C42,Anggota!$C$5:$P$50,2,FALSE))</f>
        <v xml:space="preserve"> </v>
      </c>
      <c r="F42" s="5" t="str">
        <f>IF(ISBLANK(C42)," ",VLOOKUP(C42,Anggota!$C$5:$P$40,14,FALSE))</f>
        <v xml:space="preserve"> </v>
      </c>
      <c r="G42" s="8"/>
      <c r="H42" s="14" t="str">
        <f>IF(ISBLANK(C42)," ",VLOOKUP(C42,Anggota!$C$5:$P$50,4,FALSE))</f>
        <v xml:space="preserve"> </v>
      </c>
    </row>
    <row r="43" spans="2:8">
      <c r="B43" s="13" t="str">
        <f t="shared" si="0"/>
        <v/>
      </c>
      <c r="C43" s="342"/>
      <c r="D43" s="149"/>
      <c r="E43" s="35" t="str">
        <f>IF(ISBLANK(C43)," ",VLOOKUP(C43,Anggota!$C$5:$P$50,2,FALSE))</f>
        <v xml:space="preserve"> </v>
      </c>
      <c r="F43" s="5" t="str">
        <f>IF(ISBLANK(C43)," ",VLOOKUP(C43,Anggota!$C$5:$P$40,14,FALSE))</f>
        <v xml:space="preserve"> </v>
      </c>
      <c r="G43" s="8"/>
      <c r="H43" s="14" t="str">
        <f>IF(ISBLANK(C43)," ",VLOOKUP(C43,Anggota!$C$5:$P$50,4,FALSE))</f>
        <v xml:space="preserve"> </v>
      </c>
    </row>
    <row r="44" spans="2:8">
      <c r="B44" s="13" t="str">
        <f t="shared" si="0"/>
        <v/>
      </c>
      <c r="C44" s="342"/>
      <c r="D44" s="149"/>
      <c r="E44" s="35" t="str">
        <f>IF(ISBLANK(C44)," ",VLOOKUP(C44,Anggota!$C$5:$P$50,2,FALSE))</f>
        <v xml:space="preserve"> </v>
      </c>
      <c r="F44" s="5" t="str">
        <f>IF(ISBLANK(C44)," ",VLOOKUP(C44,Anggota!$C$5:$P$40,14,FALSE))</f>
        <v xml:space="preserve"> </v>
      </c>
      <c r="G44" s="8"/>
      <c r="H44" s="14" t="str">
        <f>IF(ISBLANK(C44)," ",VLOOKUP(C44,Anggota!$C$5:$P$50,4,FALSE))</f>
        <v xml:space="preserve"> </v>
      </c>
    </row>
    <row r="45" spans="2:8">
      <c r="B45" s="13" t="str">
        <f t="shared" si="0"/>
        <v/>
      </c>
      <c r="C45" s="342"/>
      <c r="D45" s="149"/>
      <c r="E45" s="35" t="str">
        <f>IF(ISBLANK(C45)," ",VLOOKUP(C45,Anggota!$C$5:$P$50,2,FALSE))</f>
        <v xml:space="preserve"> </v>
      </c>
      <c r="F45" s="5" t="str">
        <f>IF(ISBLANK(C45)," ",VLOOKUP(C45,Anggota!$C$5:$P$40,14,FALSE))</f>
        <v xml:space="preserve"> </v>
      </c>
      <c r="G45" s="8"/>
      <c r="H45" s="14" t="str">
        <f>IF(ISBLANK(C45)," ",VLOOKUP(C45,Anggota!$C$5:$P$50,4,FALSE))</f>
        <v xml:space="preserve"> </v>
      </c>
    </row>
    <row r="46" spans="2:8">
      <c r="B46" s="13" t="str">
        <f t="shared" si="0"/>
        <v/>
      </c>
      <c r="C46" s="342"/>
      <c r="D46" s="149"/>
      <c r="E46" s="35" t="str">
        <f>IF(ISBLANK(C46)," ",VLOOKUP(C46,Anggota!$C$5:$P$50,2,FALSE))</f>
        <v xml:space="preserve"> </v>
      </c>
      <c r="F46" s="5" t="str">
        <f>IF(ISBLANK(C46)," ",VLOOKUP(C46,Anggota!$C$5:$P$40,14,FALSE))</f>
        <v xml:space="preserve"> </v>
      </c>
      <c r="G46" s="8"/>
      <c r="H46" s="14" t="str">
        <f>IF(ISBLANK(C46)," ",VLOOKUP(C46,Anggota!$C$5:$P$50,4,FALSE))</f>
        <v xml:space="preserve"> </v>
      </c>
    </row>
    <row r="47" spans="2:8">
      <c r="B47" s="13" t="str">
        <f t="shared" si="0"/>
        <v/>
      </c>
      <c r="C47" s="342"/>
      <c r="D47" s="149"/>
      <c r="E47" s="35" t="str">
        <f>IF(ISBLANK(C47)," ",VLOOKUP(C47,Anggota!$C$5:$P$50,2,FALSE))</f>
        <v xml:space="preserve"> </v>
      </c>
      <c r="F47" s="5" t="str">
        <f>IF(ISBLANK(C47)," ",VLOOKUP(C47,Anggota!$C$5:$P$40,14,FALSE))</f>
        <v xml:space="preserve"> </v>
      </c>
      <c r="G47" s="8"/>
      <c r="H47" s="14" t="str">
        <f>IF(ISBLANK(C47)," ",VLOOKUP(C47,Anggota!$C$5:$P$50,4,FALSE))</f>
        <v xml:space="preserve"> </v>
      </c>
    </row>
    <row r="48" spans="2:8">
      <c r="B48" s="13" t="str">
        <f t="shared" si="0"/>
        <v/>
      </c>
      <c r="C48" s="342"/>
      <c r="D48" s="149"/>
      <c r="E48" s="35" t="str">
        <f>IF(ISBLANK(C48)," ",VLOOKUP(C48,Anggota!$C$5:$P$50,2,FALSE))</f>
        <v xml:space="preserve"> </v>
      </c>
      <c r="F48" s="5" t="str">
        <f>IF(ISBLANK(C48)," ",VLOOKUP(C48,Anggota!$C$5:$P$40,14,FALSE))</f>
        <v xml:space="preserve"> </v>
      </c>
      <c r="G48" s="8"/>
      <c r="H48" s="14" t="str">
        <f>IF(ISBLANK(C48)," ",VLOOKUP(C48,Anggota!$C$5:$P$50,4,FALSE))</f>
        <v xml:space="preserve"> </v>
      </c>
    </row>
    <row r="49" spans="2:8">
      <c r="B49" s="13" t="str">
        <f t="shared" si="0"/>
        <v/>
      </c>
      <c r="C49" s="342"/>
      <c r="D49" s="149"/>
      <c r="E49" s="35"/>
      <c r="F49" s="5"/>
      <c r="G49" s="8"/>
      <c r="H49" s="14" t="str">
        <f>IF(ISBLANK(C49)," ",VLOOKUP(C49,Anggota!$C$5:$P$50,4,FALSE))</f>
        <v xml:space="preserve"> </v>
      </c>
    </row>
    <row r="50" spans="2:8">
      <c r="B50" s="13" t="str">
        <f>IF(C50="","",ROW()-4)</f>
        <v/>
      </c>
      <c r="C50" s="342"/>
      <c r="D50" s="149"/>
      <c r="E50" s="35" t="str">
        <f>IF(ISBLANK(C50)," ",VLOOKUP(C50,Anggota!$C$5:$P$50,2,FALSE))</f>
        <v xml:space="preserve"> </v>
      </c>
      <c r="F50" s="5" t="str">
        <f>IF(ISBLANK(C50)," ",VLOOKUP(C50,Anggota!$C$5:$P$40,14,FALSE))</f>
        <v xml:space="preserve"> </v>
      </c>
      <c r="G50" s="8"/>
      <c r="H50" s="14" t="str">
        <f>IF(ISBLANK(C50)," ",VLOOKUP(C50,Anggota!$C$5:$P$50,4,FALSE))</f>
        <v xml:space="preserve"> </v>
      </c>
    </row>
    <row r="51" spans="2:8">
      <c r="B51" s="13" t="str">
        <f t="shared" si="0"/>
        <v/>
      </c>
      <c r="C51" s="342"/>
      <c r="D51" s="149"/>
      <c r="E51" s="35" t="str">
        <f>IF(ISBLANK(C51)," ",VLOOKUP(C51,Anggota!$C$5:$P$50,2,FALSE))</f>
        <v xml:space="preserve"> </v>
      </c>
      <c r="F51" s="5" t="str">
        <f>IF(ISBLANK(C51)," ",VLOOKUP(C51,Anggota!$C$5:$P$40,14,FALSE))</f>
        <v xml:space="preserve"> </v>
      </c>
      <c r="G51" s="8"/>
      <c r="H51" s="14" t="str">
        <f>IF(ISBLANK(C51)," ",VLOOKUP(C51,Anggota!$C$5:$P$50,4,FALSE))</f>
        <v xml:space="preserve"> </v>
      </c>
    </row>
    <row r="52" spans="2:8">
      <c r="B52" s="13" t="str">
        <f t="shared" si="0"/>
        <v/>
      </c>
      <c r="C52" s="342"/>
      <c r="D52" s="149"/>
      <c r="E52" s="35" t="str">
        <f>IF(ISBLANK(C52)," ",VLOOKUP(C52,Anggota!$C$5:$P$50,2,FALSE))</f>
        <v xml:space="preserve"> </v>
      </c>
      <c r="F52" s="5" t="str">
        <f>IF(ISBLANK(C52)," ",VLOOKUP(C52,Anggota!$C$5:$P$40,14,FALSE))</f>
        <v xml:space="preserve"> </v>
      </c>
      <c r="G52" s="8"/>
      <c r="H52" s="14" t="str">
        <f>IF(ISBLANK(C52)," ",VLOOKUP(C52,Anggota!$C$5:$P$50,4,FALSE))</f>
        <v xml:space="preserve"> </v>
      </c>
    </row>
    <row r="53" spans="2:8">
      <c r="B53" s="13" t="str">
        <f t="shared" si="0"/>
        <v/>
      </c>
      <c r="C53" s="342"/>
      <c r="D53" s="149"/>
      <c r="E53" s="35" t="str">
        <f>IF(ISBLANK(C53)," ",VLOOKUP(C53,Anggota!$C$5:$P$50,2,FALSE))</f>
        <v xml:space="preserve"> </v>
      </c>
      <c r="F53" s="5" t="str">
        <f>IF(ISBLANK(C53)," ",VLOOKUP(C53,Anggota!$C$5:$P$40,14,FALSE))</f>
        <v xml:space="preserve"> </v>
      </c>
      <c r="G53" s="8"/>
      <c r="H53" s="14" t="str">
        <f>IF(ISBLANK(C53)," ",VLOOKUP(C53,Anggota!$C$5:$P$50,4,FALSE))</f>
        <v xml:space="preserve"> </v>
      </c>
    </row>
    <row r="54" spans="2:8">
      <c r="B54" s="13" t="str">
        <f t="shared" si="0"/>
        <v/>
      </c>
      <c r="C54" s="342"/>
      <c r="D54" s="149"/>
      <c r="E54" s="35" t="str">
        <f>IF(ISBLANK(C54)," ",VLOOKUP(C54,Anggota!$C$5:$P$50,2,FALSE))</f>
        <v xml:space="preserve"> </v>
      </c>
      <c r="F54" s="5" t="str">
        <f>IF(ISBLANK(C54)," ",VLOOKUP(C54,Anggota!$C$5:$P$40,14,FALSE))</f>
        <v xml:space="preserve"> </v>
      </c>
      <c r="G54" s="8"/>
      <c r="H54" s="14" t="str">
        <f>IF(ISBLANK(C54)," ",VLOOKUP(C54,Anggota!$C$5:$P$50,4,FALSE))</f>
        <v xml:space="preserve"> </v>
      </c>
    </row>
    <row r="55" spans="2:8">
      <c r="B55" s="13" t="str">
        <f t="shared" si="0"/>
        <v/>
      </c>
      <c r="C55" s="342"/>
      <c r="D55" s="149"/>
      <c r="E55" s="35" t="str">
        <f>IF(ISBLANK(C55)," ",VLOOKUP(C55,Anggota!$C$5:$P$50,2,FALSE))</f>
        <v xml:space="preserve"> </v>
      </c>
      <c r="F55" s="5" t="str">
        <f>IF(ISBLANK(C55)," ",VLOOKUP(C55,Anggota!$C$5:$P$40,14,FALSE))</f>
        <v xml:space="preserve"> </v>
      </c>
      <c r="G55" s="8"/>
      <c r="H55" s="14" t="str">
        <f>IF(ISBLANK(C55)," ",VLOOKUP(C55,Anggota!$C$5:$P$50,4,FALSE))</f>
        <v xml:space="preserve"> </v>
      </c>
    </row>
    <row r="56" spans="2:8">
      <c r="B56" s="13" t="str">
        <f t="shared" si="0"/>
        <v/>
      </c>
      <c r="C56" s="342"/>
      <c r="D56" s="149"/>
      <c r="E56" s="35" t="str">
        <f>IF(ISBLANK(C56)," ",VLOOKUP(C56,Anggota!$C$5:$P$50,2,FALSE))</f>
        <v xml:space="preserve"> </v>
      </c>
      <c r="F56" s="5" t="str">
        <f>IF(ISBLANK(C56)," ",VLOOKUP(C56,Anggota!$C$5:$P$40,14,FALSE))</f>
        <v xml:space="preserve"> </v>
      </c>
      <c r="G56" s="8"/>
      <c r="H56" s="14" t="str">
        <f>IF(ISBLANK(C56)," ",VLOOKUP(C56,Anggota!$C$5:$P$50,4,FALSE))</f>
        <v xml:space="preserve"> </v>
      </c>
    </row>
    <row r="57" spans="2:8">
      <c r="B57" s="13" t="str">
        <f t="shared" si="0"/>
        <v/>
      </c>
      <c r="C57" s="342"/>
      <c r="D57" s="149"/>
      <c r="E57" s="35" t="str">
        <f>IF(ISBLANK(C57)," ",VLOOKUP(C57,Anggota!$C$5:$P$50,2,FALSE))</f>
        <v xml:space="preserve"> </v>
      </c>
      <c r="F57" s="5" t="str">
        <f>IF(ISBLANK(C57)," ",VLOOKUP(C57,Anggota!$C$5:$P$40,14,FALSE))</f>
        <v xml:space="preserve"> </v>
      </c>
      <c r="G57" s="8"/>
      <c r="H57" s="14" t="str">
        <f>IF(ISBLANK(C57)," ",VLOOKUP(C57,Anggota!$C$5:$P$50,4,FALSE))</f>
        <v xml:space="preserve"> </v>
      </c>
    </row>
    <row r="58" spans="2:8">
      <c r="B58" s="13" t="str">
        <f t="shared" si="0"/>
        <v/>
      </c>
      <c r="C58" s="342"/>
      <c r="D58" s="149"/>
      <c r="E58" s="35" t="str">
        <f>IF(ISBLANK(C58)," ",VLOOKUP(C58,Anggota!$C$5:$P$50,2,FALSE))</f>
        <v xml:space="preserve"> </v>
      </c>
      <c r="F58" s="5" t="str">
        <f>IF(ISBLANK(C58)," ",VLOOKUP(C58,Anggota!$C$5:$P$40,14,FALSE))</f>
        <v xml:space="preserve"> </v>
      </c>
      <c r="G58" s="8"/>
      <c r="H58" s="14" t="str">
        <f>IF(ISBLANK(C58)," ",VLOOKUP(C58,Anggota!$C$5:$P$50,4,FALSE))</f>
        <v xml:space="preserve"> </v>
      </c>
    </row>
    <row r="59" spans="2:8">
      <c r="B59" s="13" t="str">
        <f t="shared" si="0"/>
        <v/>
      </c>
      <c r="C59" s="342"/>
      <c r="D59" s="149"/>
      <c r="E59" s="35" t="str">
        <f>IF(ISBLANK(C59)," ",VLOOKUP(C59,Anggota!$C$5:$P$50,2,FALSE))</f>
        <v xml:space="preserve"> </v>
      </c>
      <c r="F59" s="5" t="str">
        <f>IF(ISBLANK(C59)," ",VLOOKUP(C59,Anggota!$C$5:$P$40,14,FALSE))</f>
        <v xml:space="preserve"> </v>
      </c>
      <c r="G59" s="8"/>
      <c r="H59" s="14" t="str">
        <f>IF(ISBLANK(C59)," ",VLOOKUP(C59,Anggota!$C$5:$P$50,4,FALSE))</f>
        <v xml:space="preserve"> </v>
      </c>
    </row>
    <row r="60" spans="2:8">
      <c r="B60" s="13" t="str">
        <f t="shared" si="0"/>
        <v/>
      </c>
      <c r="C60" s="342"/>
      <c r="D60" s="149"/>
      <c r="E60" s="35" t="str">
        <f>IF(ISBLANK(C60)," ",VLOOKUP(C60,Anggota!$C$5:$P$50,2,FALSE))</f>
        <v xml:space="preserve"> </v>
      </c>
      <c r="F60" s="5" t="str">
        <f>IF(ISBLANK(C60)," ",VLOOKUP(C60,Anggota!$C$5:$P$40,14,FALSE))</f>
        <v xml:space="preserve"> </v>
      </c>
      <c r="G60" s="8"/>
      <c r="H60" s="14" t="str">
        <f>IF(ISBLANK(C60)," ",VLOOKUP(C60,Anggota!$C$5:$P$50,4,FALSE))</f>
        <v xml:space="preserve"> </v>
      </c>
    </row>
    <row r="61" spans="2:8">
      <c r="B61" s="13" t="str">
        <f t="shared" si="0"/>
        <v/>
      </c>
      <c r="C61" s="342"/>
      <c r="D61" s="149"/>
      <c r="E61" s="35" t="str">
        <f>IF(ISBLANK(C61)," ",VLOOKUP(C61,Anggota!$C$5:$P$50,2,FALSE))</f>
        <v xml:space="preserve"> </v>
      </c>
      <c r="F61" s="5" t="str">
        <f>IF(ISBLANK(C61)," ",VLOOKUP(C61,Anggota!$C$5:$P$40,14,FALSE))</f>
        <v xml:space="preserve"> </v>
      </c>
      <c r="G61" s="8"/>
      <c r="H61" s="14" t="str">
        <f>IF(ISBLANK(C61)," ",VLOOKUP(C61,Anggota!$C$5:$P$50,4,FALSE))</f>
        <v xml:space="preserve"> </v>
      </c>
    </row>
    <row r="62" spans="2:8">
      <c r="B62" s="13" t="str">
        <f t="shared" si="0"/>
        <v/>
      </c>
      <c r="C62" s="342"/>
      <c r="D62" s="149"/>
      <c r="E62" s="35" t="str">
        <f>IF(ISBLANK(C62)," ",VLOOKUP(C62,Anggota!$C$5:$P$50,2,FALSE))</f>
        <v xml:space="preserve"> </v>
      </c>
      <c r="F62" s="5" t="str">
        <f>IF(ISBLANK(C62)," ",VLOOKUP(C62,Anggota!$C$5:$P$40,14,FALSE))</f>
        <v xml:space="preserve"> </v>
      </c>
      <c r="G62" s="8"/>
      <c r="H62" s="14" t="str">
        <f>IF(ISBLANK(C62)," ",VLOOKUP(C62,Anggota!$C$5:$P$50,4,FALSE))</f>
        <v xml:space="preserve"> </v>
      </c>
    </row>
    <row r="63" spans="2:8">
      <c r="B63" s="13" t="str">
        <f t="shared" si="0"/>
        <v/>
      </c>
      <c r="C63" s="342"/>
      <c r="D63" s="149"/>
      <c r="E63" s="35" t="str">
        <f>IF(ISBLANK(C63)," ",VLOOKUP(C63,Anggota!$C$5:$P$50,2,FALSE))</f>
        <v xml:space="preserve"> </v>
      </c>
      <c r="F63" s="5" t="str">
        <f>IF(ISBLANK(C63)," ",VLOOKUP(C63,Anggota!$C$5:$P$40,14,FALSE))</f>
        <v xml:space="preserve"> </v>
      </c>
      <c r="G63" s="8"/>
      <c r="H63" s="14" t="str">
        <f>IF(ISBLANK(C63)," ",VLOOKUP(C63,Anggota!$C$5:$P$50,4,FALSE))</f>
        <v xml:space="preserve"> </v>
      </c>
    </row>
    <row r="64" spans="2:8">
      <c r="B64" s="13" t="str">
        <f t="shared" si="0"/>
        <v/>
      </c>
      <c r="C64" s="342"/>
      <c r="D64" s="149"/>
      <c r="E64" s="35" t="str">
        <f>IF(ISBLANK(C64)," ",VLOOKUP(C64,Anggota!$C$5:$P$50,2,FALSE))</f>
        <v xml:space="preserve"> </v>
      </c>
      <c r="F64" s="5" t="str">
        <f>IF(ISBLANK(C64)," ",VLOOKUP(C64,Anggota!$C$5:$P$40,14,FALSE))</f>
        <v xml:space="preserve"> </v>
      </c>
      <c r="G64" s="8"/>
      <c r="H64" s="14" t="str">
        <f>IF(ISBLANK(C64)," ",VLOOKUP(C64,Anggota!$C$5:$P$50,4,FALSE))</f>
        <v xml:space="preserve"> </v>
      </c>
    </row>
    <row r="65" spans="2:8">
      <c r="B65" s="13" t="str">
        <f t="shared" si="0"/>
        <v/>
      </c>
      <c r="C65" s="342"/>
      <c r="D65" s="149"/>
      <c r="E65" s="35" t="str">
        <f>IF(ISBLANK(C65)," ",VLOOKUP(C65,Anggota!$C$5:$P$50,2,FALSE))</f>
        <v xml:space="preserve"> </v>
      </c>
      <c r="F65" s="5" t="str">
        <f>IF(ISBLANK(C65)," ",VLOOKUP(C65,Anggota!$C$5:$P$40,14,FALSE))</f>
        <v xml:space="preserve"> </v>
      </c>
      <c r="G65" s="8"/>
      <c r="H65" s="14" t="str">
        <f>IF(ISBLANK(C65)," ",VLOOKUP(C65,Anggota!$C$5:$P$50,4,FALSE))</f>
        <v xml:space="preserve"> </v>
      </c>
    </row>
    <row r="66" spans="2:8">
      <c r="B66" s="13" t="str">
        <f t="shared" si="0"/>
        <v/>
      </c>
      <c r="C66" s="342"/>
      <c r="D66" s="149"/>
      <c r="E66" s="35" t="str">
        <f>IF(ISBLANK(C66)," ",VLOOKUP(C66,Anggota!$C$5:$P$50,2,FALSE))</f>
        <v xml:space="preserve"> </v>
      </c>
      <c r="F66" s="5" t="str">
        <f>IF(ISBLANK(C66)," ",VLOOKUP(C66,Anggota!$C$5:$P$40,14,FALSE))</f>
        <v xml:space="preserve"> </v>
      </c>
      <c r="G66" s="8"/>
      <c r="H66" s="14" t="str">
        <f>IF(ISBLANK(C66)," ",VLOOKUP(C66,Anggota!$C$5:$P$50,4,FALSE))</f>
        <v xml:space="preserve"> </v>
      </c>
    </row>
    <row r="67" spans="2:8">
      <c r="B67" s="13" t="str">
        <f t="shared" si="0"/>
        <v/>
      </c>
      <c r="C67" s="342"/>
      <c r="D67" s="149"/>
      <c r="E67" s="35" t="str">
        <f>IF(ISBLANK(C67)," ",VLOOKUP(C67,Anggota!$C$5:$P$50,2,FALSE))</f>
        <v xml:space="preserve"> </v>
      </c>
      <c r="F67" s="5" t="str">
        <f>IF(ISBLANK(C67)," ",VLOOKUP(C67,Anggota!$C$5:$P$40,14,FALSE))</f>
        <v xml:space="preserve"> </v>
      </c>
      <c r="G67" s="8"/>
      <c r="H67" s="14" t="str">
        <f>IF(ISBLANK(C67)," ",VLOOKUP(C67,Anggota!$C$5:$P$50,4,FALSE))</f>
        <v xml:space="preserve"> </v>
      </c>
    </row>
    <row r="68" spans="2:8">
      <c r="B68" s="13" t="str">
        <f t="shared" si="0"/>
        <v/>
      </c>
      <c r="C68" s="342"/>
      <c r="D68" s="149"/>
      <c r="E68" s="35" t="str">
        <f>IF(ISBLANK(C68)," ",VLOOKUP(C68,Anggota!$C$5:$P$50,2,FALSE))</f>
        <v xml:space="preserve"> </v>
      </c>
      <c r="F68" s="5" t="str">
        <f>IF(ISBLANK(C68)," ",VLOOKUP(C68,Anggota!$C$5:$P$40,14,FALSE))</f>
        <v xml:space="preserve"> </v>
      </c>
      <c r="G68" s="8"/>
      <c r="H68" s="14" t="str">
        <f>IF(ISBLANK(C68)," ",VLOOKUP(C68,Anggota!$C$5:$P$50,4,FALSE))</f>
        <v xml:space="preserve"> </v>
      </c>
    </row>
    <row r="69" spans="2:8">
      <c r="B69" s="13" t="str">
        <f t="shared" si="0"/>
        <v/>
      </c>
      <c r="C69" s="342"/>
      <c r="D69" s="149"/>
      <c r="E69" s="35" t="str">
        <f>IF(ISBLANK(C69)," ",VLOOKUP(C69,Anggota!$C$5:$P$50,2,FALSE))</f>
        <v xml:space="preserve"> </v>
      </c>
      <c r="F69" s="5" t="str">
        <f>IF(ISBLANK(C69)," ",VLOOKUP(C69,Anggota!$C$5:$P$40,14,FALSE))</f>
        <v xml:space="preserve"> </v>
      </c>
      <c r="G69" s="8"/>
      <c r="H69" s="14" t="str">
        <f>IF(ISBLANK(C69)," ",VLOOKUP(C69,Anggota!$C$5:$P$50,4,FALSE))</f>
        <v xml:space="preserve"> </v>
      </c>
    </row>
    <row r="70" spans="2:8">
      <c r="B70" s="13" t="str">
        <f t="shared" si="0"/>
        <v/>
      </c>
      <c r="C70" s="342"/>
      <c r="D70" s="149"/>
      <c r="E70" s="35" t="str">
        <f>IF(ISBLANK(C70)," ",VLOOKUP(C70,Anggota!$C$5:$P$50,2,FALSE))</f>
        <v xml:space="preserve"> </v>
      </c>
      <c r="F70" s="5" t="str">
        <f>IF(ISBLANK(C70)," ",VLOOKUP(C70,Anggota!$C$5:$P$40,14,FALSE))</f>
        <v xml:space="preserve"> </v>
      </c>
      <c r="G70" s="8"/>
      <c r="H70" s="14" t="str">
        <f>IF(ISBLANK(C70)," ",VLOOKUP(C70,Anggota!$C$5:$P$50,4,FALSE))</f>
        <v xml:space="preserve"> </v>
      </c>
    </row>
    <row r="71" spans="2:8">
      <c r="B71" s="13" t="str">
        <f t="shared" si="0"/>
        <v/>
      </c>
      <c r="C71" s="342"/>
      <c r="D71" s="149"/>
      <c r="E71" s="35" t="str">
        <f>IF(ISBLANK(C71)," ",VLOOKUP(C71,Anggota!$C$5:$P$50,2,FALSE))</f>
        <v xml:space="preserve"> </v>
      </c>
      <c r="F71" s="5" t="str">
        <f>IF(ISBLANK(C71)," ",VLOOKUP(C71,Anggota!$C$5:$P$40,14,FALSE))</f>
        <v xml:space="preserve"> </v>
      </c>
      <c r="G71" s="8"/>
      <c r="H71" s="14" t="str">
        <f>IF(ISBLANK(C71)," ",VLOOKUP(C71,Anggota!$C$5:$P$50,4,FALSE))</f>
        <v xml:space="preserve"> </v>
      </c>
    </row>
    <row r="72" spans="2:8">
      <c r="B72" s="13" t="str">
        <f t="shared" si="0"/>
        <v/>
      </c>
      <c r="C72" s="342"/>
      <c r="D72" s="149"/>
      <c r="E72" s="35" t="str">
        <f>IF(ISBLANK(C72)," ",VLOOKUP(C72,Anggota!$C$5:$P$50,2,FALSE))</f>
        <v xml:space="preserve"> </v>
      </c>
      <c r="F72" s="5" t="str">
        <f>IF(ISBLANK(C72)," ",VLOOKUP(C72,Anggota!$C$5:$P$40,14,FALSE))</f>
        <v xml:space="preserve"> </v>
      </c>
      <c r="G72" s="8"/>
      <c r="H72" s="14" t="str">
        <f>IF(ISBLANK(C72)," ",VLOOKUP(C72,Anggota!$C$5:$P$50,4,FALSE))</f>
        <v xml:space="preserve"> </v>
      </c>
    </row>
    <row r="73" spans="2:8">
      <c r="B73" s="13" t="str">
        <f t="shared" si="0"/>
        <v/>
      </c>
      <c r="C73" s="342"/>
      <c r="D73" s="149"/>
      <c r="E73" s="35" t="str">
        <f>IF(ISBLANK(C73)," ",VLOOKUP(C73,Anggota!$C$5:$P$50,2,FALSE))</f>
        <v xml:space="preserve"> </v>
      </c>
      <c r="F73" s="5" t="str">
        <f>IF(ISBLANK(C73)," ",VLOOKUP(C73,Anggota!$C$5:$P$40,14,FALSE))</f>
        <v xml:space="preserve"> </v>
      </c>
      <c r="G73" s="8"/>
      <c r="H73" s="14" t="str">
        <f>IF(ISBLANK(C73)," ",VLOOKUP(C73,Anggota!$C$5:$P$50,4,FALSE))</f>
        <v xml:space="preserve"> </v>
      </c>
    </row>
    <row r="74" spans="2:8">
      <c r="B74" s="13" t="str">
        <f t="shared" ref="B74:B158" si="1">IF(C74="","",ROW()-4)</f>
        <v/>
      </c>
      <c r="C74" s="342"/>
      <c r="D74" s="149"/>
      <c r="E74" s="35" t="str">
        <f>IF(ISBLANK(C74)," ",VLOOKUP(C74,Anggota!$C$5:$P$50,2,FALSE))</f>
        <v xml:space="preserve"> </v>
      </c>
      <c r="F74" s="5" t="str">
        <f>IF(ISBLANK(C74)," ",VLOOKUP(C74,Anggota!$C$5:$P$40,14,FALSE))</f>
        <v xml:space="preserve"> </v>
      </c>
      <c r="G74" s="8"/>
      <c r="H74" s="14" t="str">
        <f>IF(ISBLANK(C74)," ",VLOOKUP(C74,Anggota!$C$5:$P$50,4,FALSE))</f>
        <v xml:space="preserve"> </v>
      </c>
    </row>
    <row r="75" spans="2:8">
      <c r="B75" s="13" t="str">
        <f t="shared" si="1"/>
        <v/>
      </c>
      <c r="C75" s="342"/>
      <c r="D75" s="149"/>
      <c r="E75" s="35" t="str">
        <f>IF(ISBLANK(C75)," ",VLOOKUP(C75,Anggota!$C$5:$P$50,2,FALSE))</f>
        <v xml:space="preserve"> </v>
      </c>
      <c r="F75" s="5" t="str">
        <f>IF(ISBLANK(C75)," ",VLOOKUP(C75,Anggota!$C$5:$P$40,14,FALSE))</f>
        <v xml:space="preserve"> </v>
      </c>
      <c r="G75" s="8"/>
      <c r="H75" s="14" t="str">
        <f>IF(ISBLANK(C75)," ",VLOOKUP(C75,Anggota!$C$5:$P$50,4,FALSE))</f>
        <v xml:space="preserve"> </v>
      </c>
    </row>
    <row r="76" spans="2:8">
      <c r="B76" s="13" t="str">
        <f t="shared" si="1"/>
        <v/>
      </c>
      <c r="C76" s="342"/>
      <c r="D76" s="149"/>
      <c r="E76" s="35" t="str">
        <f>IF(ISBLANK(C76)," ",VLOOKUP(C76,Anggota!$C$5:$P$50,2,FALSE))</f>
        <v xml:space="preserve"> </v>
      </c>
      <c r="F76" s="5" t="str">
        <f>IF(ISBLANK(C76)," ",VLOOKUP(C76,Anggota!$C$5:$P$40,14,FALSE))</f>
        <v xml:space="preserve"> </v>
      </c>
      <c r="G76" s="8"/>
      <c r="H76" s="14" t="str">
        <f>IF(ISBLANK(C76)," ",VLOOKUP(C76,Anggota!$C$5:$P$50,4,FALSE))</f>
        <v xml:space="preserve"> </v>
      </c>
    </row>
    <row r="77" spans="2:8">
      <c r="B77" s="13" t="str">
        <f t="shared" si="1"/>
        <v/>
      </c>
      <c r="C77" s="342"/>
      <c r="D77" s="149"/>
      <c r="E77" s="35" t="str">
        <f>IF(ISBLANK(C77)," ",VLOOKUP(C77,Anggota!$C$5:$P$50,2,FALSE))</f>
        <v xml:space="preserve"> </v>
      </c>
      <c r="F77" s="5" t="str">
        <f>IF(ISBLANK(C77)," ",VLOOKUP(C77,Anggota!$C$5:$P$40,14,FALSE))</f>
        <v xml:space="preserve"> </v>
      </c>
      <c r="G77" s="8"/>
      <c r="H77" s="14" t="str">
        <f>IF(ISBLANK(C77)," ",VLOOKUP(C77,Anggota!$C$5:$P$50,4,FALSE))</f>
        <v xml:space="preserve"> </v>
      </c>
    </row>
    <row r="78" spans="2:8">
      <c r="B78" s="13" t="str">
        <f t="shared" si="1"/>
        <v/>
      </c>
      <c r="C78" s="342"/>
      <c r="D78" s="149"/>
      <c r="E78" s="35" t="str">
        <f>IF(ISBLANK(C78)," ",VLOOKUP(C78,Anggota!$C$5:$P$50,2,FALSE))</f>
        <v xml:space="preserve"> </v>
      </c>
      <c r="F78" s="5" t="str">
        <f>IF(ISBLANK(C78)," ",VLOOKUP(C78,Anggota!$C$5:$P$40,14,FALSE))</f>
        <v xml:space="preserve"> </v>
      </c>
      <c r="G78" s="8"/>
      <c r="H78" s="14" t="str">
        <f>IF(ISBLANK(C78)," ",VLOOKUP(C78,Anggota!$C$5:$P$50,4,FALSE))</f>
        <v xml:space="preserve"> </v>
      </c>
    </row>
    <row r="79" spans="2:8">
      <c r="B79" s="13" t="str">
        <f t="shared" si="1"/>
        <v/>
      </c>
      <c r="C79" s="342"/>
      <c r="D79" s="149"/>
      <c r="E79" s="35" t="str">
        <f>IF(ISBLANK(C79)," ",VLOOKUP(C79,Anggota!$C$5:$P$50,2,FALSE))</f>
        <v xml:space="preserve"> </v>
      </c>
      <c r="F79" s="5" t="str">
        <f>IF(ISBLANK(C79)," ",VLOOKUP(C79,Anggota!$C$5:$P$40,14,FALSE))</f>
        <v xml:space="preserve"> </v>
      </c>
      <c r="G79" s="8"/>
      <c r="H79" s="14" t="str">
        <f>IF(ISBLANK(C79)," ",VLOOKUP(C79,Anggota!$C$5:$P$50,4,FALSE))</f>
        <v xml:space="preserve"> </v>
      </c>
    </row>
    <row r="80" spans="2:8">
      <c r="B80" s="13" t="str">
        <f t="shared" si="1"/>
        <v/>
      </c>
      <c r="C80" s="342"/>
      <c r="D80" s="149"/>
      <c r="E80" s="35" t="str">
        <f>IF(ISBLANK(C80)," ",VLOOKUP(C80,Anggota!$C$5:$P$50,2,FALSE))</f>
        <v xml:space="preserve"> </v>
      </c>
      <c r="F80" s="5" t="str">
        <f>IF(ISBLANK(C80)," ",VLOOKUP(C80,Anggota!$C$5:$P$40,14,FALSE))</f>
        <v xml:space="preserve"> </v>
      </c>
      <c r="G80" s="8"/>
      <c r="H80" s="14" t="str">
        <f>IF(ISBLANK(C80)," ",VLOOKUP(C80,Anggota!$C$5:$P$50,4,FALSE))</f>
        <v xml:space="preserve"> </v>
      </c>
    </row>
    <row r="81" spans="2:11">
      <c r="B81" s="13" t="str">
        <f t="shared" si="1"/>
        <v/>
      </c>
      <c r="C81" s="342"/>
      <c r="D81" s="149"/>
      <c r="E81" s="35" t="str">
        <f>IF(ISBLANK(C81)," ",VLOOKUP(C81,Anggota!$C$5:$P$50,2,FALSE))</f>
        <v xml:space="preserve"> </v>
      </c>
      <c r="F81" s="5" t="str">
        <f>IF(ISBLANK(C81)," ",VLOOKUP(C81,Anggota!$C$5:$P$40,14,FALSE))</f>
        <v xml:space="preserve"> </v>
      </c>
      <c r="G81" s="8"/>
      <c r="H81" s="14" t="str">
        <f>IF(ISBLANK(C81)," ",VLOOKUP(C81,Anggota!$C$5:$P$50,4,FALSE))</f>
        <v xml:space="preserve"> </v>
      </c>
    </row>
    <row r="82" spans="2:11">
      <c r="B82" s="13" t="str">
        <f t="shared" si="1"/>
        <v/>
      </c>
      <c r="C82" s="342"/>
      <c r="D82" s="149"/>
      <c r="E82" s="35" t="str">
        <f>IF(ISBLANK(C82)," ",VLOOKUP(C82,Anggota!$C$5:$P$50,2,FALSE))</f>
        <v xml:space="preserve"> </v>
      </c>
      <c r="F82" s="5" t="str">
        <f>IF(ISBLANK(C82)," ",VLOOKUP(C82,Anggota!$C$5:$P$40,14,FALSE))</f>
        <v xml:space="preserve"> </v>
      </c>
      <c r="G82" s="8"/>
      <c r="H82" s="14" t="str">
        <f>IF(ISBLANK(C82)," ",VLOOKUP(C82,Anggota!$C$5:$P$50,4,FALSE))</f>
        <v xml:space="preserve"> </v>
      </c>
    </row>
    <row r="83" spans="2:11">
      <c r="B83" s="13" t="str">
        <f t="shared" si="1"/>
        <v/>
      </c>
      <c r="C83" s="342"/>
      <c r="D83" s="149"/>
      <c r="E83" s="35" t="str">
        <f>IF(ISBLANK(C83)," ",VLOOKUP(C83,Anggota!$C$5:$P$50,2,FALSE))</f>
        <v xml:space="preserve"> </v>
      </c>
      <c r="F83" s="5" t="str">
        <f>IF(ISBLANK(C83)," ",VLOOKUP(C83,Anggota!$C$5:$P$40,14,FALSE))</f>
        <v xml:space="preserve"> </v>
      </c>
      <c r="G83" s="8"/>
      <c r="H83" s="14" t="str">
        <f>IF(ISBLANK(C83)," ",VLOOKUP(C83,Anggota!$C$5:$P$50,4,FALSE))</f>
        <v xml:space="preserve"> </v>
      </c>
    </row>
    <row r="84" spans="2:11">
      <c r="B84" s="13" t="str">
        <f t="shared" si="1"/>
        <v/>
      </c>
      <c r="C84" s="342"/>
      <c r="D84" s="149"/>
      <c r="E84" s="35" t="str">
        <f>IF(ISBLANK(C84)," ",VLOOKUP(C84,Anggota!$C$5:$P$50,2,FALSE))</f>
        <v xml:space="preserve"> </v>
      </c>
      <c r="F84" s="5" t="str">
        <f>IF(ISBLANK(C84)," ",VLOOKUP(C84,Anggota!$C$5:$P$40,14,FALSE))</f>
        <v xml:space="preserve"> </v>
      </c>
      <c r="G84" s="8"/>
      <c r="H84" s="14" t="str">
        <f>IF(ISBLANK(C84)," ",VLOOKUP(C84,Anggota!$C$5:$P$50,4,FALSE))</f>
        <v xml:space="preserve"> </v>
      </c>
      <c r="K84" s="2"/>
    </row>
    <row r="85" spans="2:11">
      <c r="B85" s="13" t="str">
        <f t="shared" si="1"/>
        <v/>
      </c>
      <c r="C85" s="342"/>
      <c r="D85" s="149"/>
      <c r="E85" s="35" t="str">
        <f>IF(ISBLANK(C85)," ",VLOOKUP(C85,Anggota!$C$5:$P$50,2,FALSE))</f>
        <v xml:space="preserve"> </v>
      </c>
      <c r="F85" s="5" t="str">
        <f>IF(ISBLANK(C85)," ",VLOOKUP(C85,Anggota!$C$5:$P$40,14,FALSE))</f>
        <v xml:space="preserve"> </v>
      </c>
      <c r="G85" s="8"/>
      <c r="H85" s="14" t="str">
        <f>IF(ISBLANK(C85)," ",VLOOKUP(C85,Anggota!$C$5:$P$50,4,FALSE))</f>
        <v xml:space="preserve"> </v>
      </c>
      <c r="K85" s="282"/>
    </row>
    <row r="86" spans="2:11">
      <c r="B86" s="13" t="str">
        <f t="shared" si="1"/>
        <v/>
      </c>
      <c r="C86" s="342"/>
      <c r="D86" s="149"/>
      <c r="E86" s="35" t="str">
        <f>IF(ISBLANK(C86)," ",VLOOKUP(C86,Anggota!$C$5:$P$50,2,FALSE))</f>
        <v xml:space="preserve"> </v>
      </c>
      <c r="F86" s="5" t="str">
        <f>IF(ISBLANK(C86)," ",VLOOKUP(C86,Anggota!$C$5:$P$40,14,FALSE))</f>
        <v xml:space="preserve"> </v>
      </c>
      <c r="G86" s="8"/>
      <c r="H86" s="14" t="str">
        <f>IF(ISBLANK(C86)," ",VLOOKUP(C86,Anggota!$C$5:$P$50,4,FALSE))</f>
        <v xml:space="preserve"> </v>
      </c>
      <c r="K86" s="282"/>
    </row>
    <row r="87" spans="2:11">
      <c r="B87" s="13" t="str">
        <f t="shared" si="1"/>
        <v/>
      </c>
      <c r="C87" s="342"/>
      <c r="D87" s="149"/>
      <c r="E87" s="35" t="str">
        <f>IF(ISBLANK(C87)," ",VLOOKUP(C87,Anggota!$C$5:$P$50,2,FALSE))</f>
        <v xml:space="preserve"> </v>
      </c>
      <c r="F87" s="5" t="str">
        <f>IF(ISBLANK(C87)," ",VLOOKUP(C87,Anggota!$C$5:$P$40,14,FALSE))</f>
        <v xml:space="preserve"> </v>
      </c>
      <c r="G87" s="8"/>
      <c r="H87" s="14" t="str">
        <f>IF(ISBLANK(C87)," ",VLOOKUP(C87,Anggota!$C$5:$P$50,4,FALSE))</f>
        <v xml:space="preserve"> </v>
      </c>
      <c r="K87" s="282"/>
    </row>
    <row r="88" spans="2:11">
      <c r="B88" s="13" t="str">
        <f t="shared" si="1"/>
        <v/>
      </c>
      <c r="C88" s="342"/>
      <c r="D88" s="149"/>
      <c r="E88" s="35" t="str">
        <f>IF(ISBLANK(C88)," ",VLOOKUP(C88,Anggota!$C$5:$P$50,2,FALSE))</f>
        <v xml:space="preserve"> </v>
      </c>
      <c r="F88" s="5" t="str">
        <f>IF(ISBLANK(C88)," ",VLOOKUP(C88,Anggota!$C$5:$P$40,14,FALSE))</f>
        <v xml:space="preserve"> </v>
      </c>
      <c r="G88" s="8"/>
      <c r="H88" s="14" t="str">
        <f>IF(ISBLANK(C88)," ",VLOOKUP(C88,Anggota!$C$5:$P$50,4,FALSE))</f>
        <v xml:space="preserve"> </v>
      </c>
      <c r="K88" s="282"/>
    </row>
    <row r="89" spans="2:11">
      <c r="B89" s="13" t="str">
        <f t="shared" si="1"/>
        <v/>
      </c>
      <c r="C89" s="342"/>
      <c r="D89" s="149"/>
      <c r="E89" s="35" t="str">
        <f>IF(ISBLANK(C89)," ",VLOOKUP(C89,Anggota!$C$5:$P$50,2,FALSE))</f>
        <v xml:space="preserve"> </v>
      </c>
      <c r="F89" s="5" t="str">
        <f>IF(ISBLANK(C89)," ",VLOOKUP(C89,Anggota!$C$5:$P$40,14,FALSE))</f>
        <v xml:space="preserve"> </v>
      </c>
      <c r="G89" s="8"/>
      <c r="H89" s="14" t="str">
        <f>IF(ISBLANK(C89)," ",VLOOKUP(C89,Anggota!$C$5:$P$50,4,FALSE))</f>
        <v xml:space="preserve"> </v>
      </c>
      <c r="K89" s="282"/>
    </row>
    <row r="90" spans="2:11">
      <c r="B90" s="13" t="str">
        <f t="shared" si="1"/>
        <v/>
      </c>
      <c r="C90" s="342"/>
      <c r="D90" s="149"/>
      <c r="E90" s="35" t="str">
        <f>IF(ISBLANK(C90)," ",VLOOKUP(C90,Anggota!$C$5:$P$50,2,FALSE))</f>
        <v xml:space="preserve"> </v>
      </c>
      <c r="F90" s="5" t="str">
        <f>IF(ISBLANK(C90)," ",VLOOKUP(C90,Anggota!$C$5:$P$40,14,FALSE))</f>
        <v xml:space="preserve"> </v>
      </c>
      <c r="G90" s="8"/>
      <c r="H90" s="14" t="str">
        <f>IF(ISBLANK(C90)," ",VLOOKUP(C90,Anggota!$C$5:$P$50,4,FALSE))</f>
        <v xml:space="preserve"> </v>
      </c>
      <c r="K90" s="282"/>
    </row>
    <row r="91" spans="2:11">
      <c r="B91" s="13" t="str">
        <f t="shared" si="1"/>
        <v/>
      </c>
      <c r="C91" s="342"/>
      <c r="D91" s="149"/>
      <c r="E91" s="35" t="str">
        <f>IF(ISBLANK(C91)," ",VLOOKUP(C91,Anggota!$C$5:$P$50,2,FALSE))</f>
        <v xml:space="preserve"> </v>
      </c>
      <c r="F91" s="5" t="str">
        <f>IF(ISBLANK(C91)," ",VLOOKUP(C91,Anggota!$C$5:$P$40,14,FALSE))</f>
        <v xml:space="preserve"> </v>
      </c>
      <c r="G91" s="8"/>
      <c r="H91" s="14" t="str">
        <f>IF(ISBLANK(C91)," ",VLOOKUP(C91,Anggota!$C$5:$P$50,4,FALSE))</f>
        <v xml:space="preserve"> </v>
      </c>
      <c r="K91" s="282"/>
    </row>
    <row r="92" spans="2:11">
      <c r="B92" s="13" t="str">
        <f t="shared" si="1"/>
        <v/>
      </c>
      <c r="C92" s="342"/>
      <c r="D92" s="149"/>
      <c r="E92" s="35" t="str">
        <f>IF(ISBLANK(C92)," ",VLOOKUP(C92,Anggota!$C$5:$P$50,2,FALSE))</f>
        <v xml:space="preserve"> </v>
      </c>
      <c r="F92" s="5" t="str">
        <f>IF(ISBLANK(C92)," ",VLOOKUP(C92,Anggota!$C$5:$P$40,14,FALSE))</f>
        <v xml:space="preserve"> </v>
      </c>
      <c r="G92" s="8"/>
      <c r="H92" s="14" t="str">
        <f>IF(ISBLANK(C92)," ",VLOOKUP(C92,Anggota!$C$5:$P$50,4,FALSE))</f>
        <v xml:space="preserve"> </v>
      </c>
      <c r="K92" s="282"/>
    </row>
    <row r="93" spans="2:11">
      <c r="B93" s="13" t="str">
        <f t="shared" si="1"/>
        <v/>
      </c>
      <c r="C93" s="342"/>
      <c r="D93" s="149"/>
      <c r="E93" s="35" t="str">
        <f>IF(ISBLANK(C93)," ",VLOOKUP(C93,Anggota!$C$5:$P$50,2,FALSE))</f>
        <v xml:space="preserve"> </v>
      </c>
      <c r="F93" s="5" t="str">
        <f>IF(ISBLANK(C93)," ",VLOOKUP(C93,Anggota!$C$5:$P$40,14,FALSE))</f>
        <v xml:space="preserve"> </v>
      </c>
      <c r="G93" s="8"/>
      <c r="H93" s="14" t="str">
        <f>IF(ISBLANK(C93)," ",VLOOKUP(C93,Anggota!$C$5:$P$50,4,FALSE))</f>
        <v xml:space="preserve"> </v>
      </c>
      <c r="K93" s="282"/>
    </row>
    <row r="94" spans="2:11">
      <c r="B94" s="13" t="str">
        <f t="shared" si="1"/>
        <v/>
      </c>
      <c r="C94" s="342"/>
      <c r="D94" s="149"/>
      <c r="E94" s="35" t="str">
        <f>IF(ISBLANK(C94)," ",VLOOKUP(C94,Anggota!$C$5:$P$50,2,FALSE))</f>
        <v xml:space="preserve"> </v>
      </c>
      <c r="F94" s="5" t="str">
        <f>IF(ISBLANK(C94)," ",VLOOKUP(C94,Anggota!$C$5:$P$40,14,FALSE))</f>
        <v xml:space="preserve"> </v>
      </c>
      <c r="G94" s="8"/>
      <c r="H94" s="14" t="str">
        <f>IF(ISBLANK(C94)," ",VLOOKUP(C94,Anggota!$C$5:$P$50,4,FALSE))</f>
        <v xml:space="preserve"> </v>
      </c>
      <c r="K94" s="282"/>
    </row>
    <row r="95" spans="2:11">
      <c r="B95" s="13" t="str">
        <f t="shared" si="1"/>
        <v/>
      </c>
      <c r="C95" s="342"/>
      <c r="D95" s="149"/>
      <c r="E95" s="35" t="str">
        <f>IF(ISBLANK(C95)," ",VLOOKUP(C95,Anggota!$C$5:$P$50,2,FALSE))</f>
        <v xml:space="preserve"> </v>
      </c>
      <c r="F95" s="5" t="str">
        <f>IF(ISBLANK(C95)," ",VLOOKUP(C95,Anggota!$C$5:$P$40,14,FALSE))</f>
        <v xml:space="preserve"> </v>
      </c>
      <c r="G95" s="8"/>
      <c r="H95" s="14" t="str">
        <f>IF(ISBLANK(C95)," ",VLOOKUP(C95,Anggota!$C$5:$P$50,4,FALSE))</f>
        <v xml:space="preserve"> </v>
      </c>
      <c r="K95" s="282"/>
    </row>
    <row r="96" spans="2:11">
      <c r="B96" s="13" t="str">
        <f t="shared" si="1"/>
        <v/>
      </c>
      <c r="C96" s="342"/>
      <c r="D96" s="149"/>
      <c r="E96" s="35" t="str">
        <f>IF(ISBLANK(C96)," ",VLOOKUP(C96,Anggota!$C$5:$P$50,2,FALSE))</f>
        <v xml:space="preserve"> </v>
      </c>
      <c r="F96" s="5" t="str">
        <f>IF(ISBLANK(C96)," ",VLOOKUP(C96,Anggota!$C$5:$P$40,14,FALSE))</f>
        <v xml:space="preserve"> </v>
      </c>
      <c r="G96" s="8"/>
      <c r="H96" s="14" t="str">
        <f>IF(ISBLANK(C96)," ",VLOOKUP(C96,Anggota!$C$5:$P$50,4,FALSE))</f>
        <v xml:space="preserve"> </v>
      </c>
      <c r="K96" s="282"/>
    </row>
    <row r="97" spans="2:11">
      <c r="B97" s="13" t="str">
        <f>IF(C97="","",ROW()-4)</f>
        <v/>
      </c>
      <c r="C97" s="342"/>
      <c r="D97" s="149"/>
      <c r="E97" s="35" t="str">
        <f>IF(ISBLANK(C97)," ",VLOOKUP(C97,Anggota!$C$5:$P$50,2,FALSE))</f>
        <v xml:space="preserve"> </v>
      </c>
      <c r="F97" s="5" t="str">
        <f>IF(ISBLANK(C97)," ",VLOOKUP(C97,Anggota!$C$5:$P$40,14,FALSE))</f>
        <v xml:space="preserve"> </v>
      </c>
      <c r="G97" s="8"/>
      <c r="H97" s="14" t="str">
        <f>IF(ISBLANK(C97)," ",VLOOKUP(C97,Anggota!$C$5:$P$50,4,FALSE))</f>
        <v xml:space="preserve"> </v>
      </c>
      <c r="K97" s="282"/>
    </row>
    <row r="98" spans="2:11">
      <c r="B98" s="13" t="str">
        <f>IF(C98="","",ROW()-4)</f>
        <v/>
      </c>
      <c r="C98" s="342"/>
      <c r="D98" s="149"/>
      <c r="E98" s="35" t="str">
        <f>IF(ISBLANK(C98)," ",VLOOKUP(C98,Anggota!$C$5:$P$50,2,FALSE))</f>
        <v xml:space="preserve"> </v>
      </c>
      <c r="F98" s="5" t="str">
        <f>IF(ISBLANK(C98)," ",VLOOKUP(C98,Anggota!$C$5:$P$40,14,FALSE))</f>
        <v xml:space="preserve"> </v>
      </c>
      <c r="G98" s="8"/>
      <c r="H98" s="14" t="str">
        <f>IF(ISBLANK(C98)," ",VLOOKUP(C98,Anggota!$C$5:$P$50,4,FALSE))</f>
        <v xml:space="preserve"> </v>
      </c>
      <c r="K98" s="282" t="s">
        <v>139</v>
      </c>
    </row>
    <row r="99" spans="2:11">
      <c r="B99" s="13" t="str">
        <f>IF(C99="","",ROW()-4)</f>
        <v/>
      </c>
      <c r="C99" s="342"/>
      <c r="D99" s="149"/>
      <c r="E99" s="35" t="str">
        <f>IF(ISBLANK(C99)," ",VLOOKUP(C99,Anggota!$C$5:$P$50,2,FALSE))</f>
        <v xml:space="preserve"> </v>
      </c>
      <c r="F99" s="5" t="str">
        <f>IF(ISBLANK(C99)," ",VLOOKUP(C99,Anggota!$C$5:$P$40,14,FALSE))</f>
        <v xml:space="preserve"> </v>
      </c>
      <c r="G99" s="8"/>
      <c r="H99" s="14" t="str">
        <f>IF(ISBLANK(C99)," ",VLOOKUP(C99,Anggota!$C$5:$P$50,4,FALSE))</f>
        <v xml:space="preserve"> </v>
      </c>
      <c r="K99" s="282"/>
    </row>
    <row r="100" spans="2:11">
      <c r="B100" s="13" t="str">
        <f>IF(C100="","",ROW()-4)</f>
        <v/>
      </c>
      <c r="C100" s="342"/>
      <c r="D100" s="149"/>
      <c r="E100" s="35" t="str">
        <f>IF(ISBLANK(C100)," ",VLOOKUP(C100,Anggota!$C$5:$P$50,2,FALSE))</f>
        <v xml:space="preserve"> </v>
      </c>
      <c r="F100" s="5" t="str">
        <f>IF(ISBLANK(C100)," ",VLOOKUP(C100,Anggota!$C$5:$P$40,14,FALSE))</f>
        <v xml:space="preserve"> </v>
      </c>
      <c r="G100" s="8"/>
      <c r="H100" s="14" t="str">
        <f>IF(ISBLANK(C100)," ",VLOOKUP(C100,Anggota!$C$5:$P$50,4,FALSE))</f>
        <v xml:space="preserve"> </v>
      </c>
      <c r="K100" s="282"/>
    </row>
    <row r="101" spans="2:11">
      <c r="B101" s="13" t="str">
        <f t="shared" ref="B101:B117" si="2">IF(C101="","",ROW()-4)</f>
        <v/>
      </c>
      <c r="C101" s="342"/>
      <c r="D101" s="149"/>
      <c r="E101" s="35" t="str">
        <f>IF(ISBLANK(C101)," ",VLOOKUP(C101,Anggota!$C$5:$P$50,2,FALSE))</f>
        <v xml:space="preserve"> </v>
      </c>
      <c r="F101" s="5" t="str">
        <f>IF(ISBLANK(C101)," ",VLOOKUP(C101,Anggota!$C$5:$P$40,14,FALSE))</f>
        <v xml:space="preserve"> </v>
      </c>
      <c r="G101" s="8"/>
      <c r="H101" s="14" t="str">
        <f>IF(ISBLANK(C101)," ",VLOOKUP(C101,Anggota!$C$5:$P$50,4,FALSE))</f>
        <v xml:space="preserve"> </v>
      </c>
      <c r="K101" s="282"/>
    </row>
    <row r="102" spans="2:11">
      <c r="B102" s="13" t="str">
        <f t="shared" si="2"/>
        <v/>
      </c>
      <c r="C102" s="342"/>
      <c r="D102" s="149"/>
      <c r="E102" s="35" t="str">
        <f>IF(ISBLANK(C102)," ",VLOOKUP(C102,Anggota!$C$5:$P$50,2,FALSE))</f>
        <v xml:space="preserve"> </v>
      </c>
      <c r="F102" s="5" t="str">
        <f>IF(ISBLANK(C102)," ",VLOOKUP(C102,Anggota!$C$5:$P$40,14,FALSE))</f>
        <v xml:space="preserve"> </v>
      </c>
      <c r="G102" s="8"/>
      <c r="H102" s="14" t="str">
        <f>IF(ISBLANK(C102)," ",VLOOKUP(C102,Anggota!$C$5:$P$50,4,FALSE))</f>
        <v xml:space="preserve"> </v>
      </c>
      <c r="K102" s="282"/>
    </row>
    <row r="103" spans="2:11">
      <c r="B103" s="13" t="str">
        <f t="shared" si="2"/>
        <v/>
      </c>
      <c r="C103" s="342"/>
      <c r="D103" s="149"/>
      <c r="E103" s="35" t="str">
        <f>IF(ISBLANK(C103)," ",VLOOKUP(C103,Anggota!$C$5:$P$50,2,FALSE))</f>
        <v xml:space="preserve"> </v>
      </c>
      <c r="F103" s="5" t="str">
        <f>IF(ISBLANK(C103)," ",VLOOKUP(C103,Anggota!$C$5:$P$40,14,FALSE))</f>
        <v xml:space="preserve"> </v>
      </c>
      <c r="G103" s="8"/>
      <c r="H103" s="14" t="str">
        <f>IF(ISBLANK(C103)," ",VLOOKUP(C103,Anggota!$C$5:$P$50,4,FALSE))</f>
        <v xml:space="preserve"> </v>
      </c>
      <c r="K103" s="282"/>
    </row>
    <row r="104" spans="2:11">
      <c r="B104" s="13" t="str">
        <f t="shared" si="2"/>
        <v/>
      </c>
      <c r="C104" s="342"/>
      <c r="D104" s="149"/>
      <c r="E104" s="35" t="str">
        <f>IF(ISBLANK(C104)," ",VLOOKUP(C104,Anggota!$C$5:$P$50,2,FALSE))</f>
        <v xml:space="preserve"> </v>
      </c>
      <c r="F104" s="5" t="str">
        <f>IF(ISBLANK(C104)," ",VLOOKUP(C104,Anggota!$C$5:$P$40,14,FALSE))</f>
        <v xml:space="preserve"> </v>
      </c>
      <c r="G104" s="8"/>
      <c r="H104" s="14" t="str">
        <f>IF(ISBLANK(C104)," ",VLOOKUP(C104,Anggota!$C$5:$P$50,4,FALSE))</f>
        <v xml:space="preserve"> </v>
      </c>
      <c r="K104" s="282"/>
    </row>
    <row r="105" spans="2:11">
      <c r="B105" s="13" t="str">
        <f t="shared" si="2"/>
        <v/>
      </c>
      <c r="C105" s="342"/>
      <c r="D105" s="149"/>
      <c r="E105" s="35" t="str">
        <f>IF(ISBLANK(C105)," ",VLOOKUP(C105,Anggota!$C$5:$P$50,2,FALSE))</f>
        <v xml:space="preserve"> </v>
      </c>
      <c r="F105" s="5" t="str">
        <f>IF(ISBLANK(C105)," ",VLOOKUP(C105,Anggota!$C$5:$P$40,14,FALSE))</f>
        <v xml:space="preserve"> </v>
      </c>
      <c r="G105" s="8"/>
      <c r="H105" s="14" t="str">
        <f>IF(ISBLANK(C105)," ",VLOOKUP(C105,Anggota!$C$5:$P$50,4,FALSE))</f>
        <v xml:space="preserve"> </v>
      </c>
      <c r="K105" s="282"/>
    </row>
    <row r="106" spans="2:11">
      <c r="B106" s="13" t="str">
        <f t="shared" si="2"/>
        <v/>
      </c>
      <c r="C106" s="342"/>
      <c r="D106" s="149"/>
      <c r="E106" s="35" t="str">
        <f>IF(ISBLANK(C106)," ",VLOOKUP(C106,Anggota!$C$5:$P$50,2,FALSE))</f>
        <v xml:space="preserve"> </v>
      </c>
      <c r="F106" s="5" t="str">
        <f>IF(ISBLANK(C106)," ",VLOOKUP(C106,Anggota!$C$5:$P$40,14,FALSE))</f>
        <v xml:space="preserve"> </v>
      </c>
      <c r="G106" s="8"/>
      <c r="H106" s="14" t="str">
        <f>IF(ISBLANK(C106)," ",VLOOKUP(C106,Anggota!$C$5:$P$50,4,FALSE))</f>
        <v xml:space="preserve"> </v>
      </c>
      <c r="K106" s="282"/>
    </row>
    <row r="107" spans="2:11">
      <c r="B107" s="13" t="str">
        <f t="shared" si="2"/>
        <v/>
      </c>
      <c r="C107" s="342"/>
      <c r="D107" s="149"/>
      <c r="E107" s="35" t="str">
        <f>IF(ISBLANK(C107)," ",VLOOKUP(C107,Anggota!$C$5:$P$50,2,FALSE))</f>
        <v xml:space="preserve"> </v>
      </c>
      <c r="F107" s="5" t="str">
        <f>IF(ISBLANK(C107)," ",VLOOKUP(C107,Anggota!$C$5:$P$40,14,FALSE))</f>
        <v xml:space="preserve"> </v>
      </c>
      <c r="G107" s="8"/>
      <c r="H107" s="14" t="str">
        <f>IF(ISBLANK(C107)," ",VLOOKUP(C107,Anggota!$C$5:$P$50,4,FALSE))</f>
        <v xml:space="preserve"> </v>
      </c>
      <c r="K107" s="282"/>
    </row>
    <row r="108" spans="2:11">
      <c r="B108" s="13" t="str">
        <f t="shared" si="2"/>
        <v/>
      </c>
      <c r="C108" s="342"/>
      <c r="D108" s="149"/>
      <c r="E108" s="35" t="str">
        <f>IF(ISBLANK(C108)," ",VLOOKUP(C108,Anggota!$C$5:$P$50,2,FALSE))</f>
        <v xml:space="preserve"> </v>
      </c>
      <c r="F108" s="5" t="str">
        <f>IF(ISBLANK(C108)," ",VLOOKUP(C108,Anggota!$C$5:$P$40,14,FALSE))</f>
        <v xml:space="preserve"> </v>
      </c>
      <c r="G108" s="8"/>
      <c r="H108" s="14" t="str">
        <f>IF(ISBLANK(C108)," ",VLOOKUP(C108,Anggota!$C$5:$P$50,4,FALSE))</f>
        <v xml:space="preserve"> </v>
      </c>
      <c r="K108" s="282"/>
    </row>
    <row r="109" spans="2:11">
      <c r="B109" s="13" t="str">
        <f t="shared" si="2"/>
        <v/>
      </c>
      <c r="C109" s="342"/>
      <c r="D109" s="149"/>
      <c r="E109" s="35" t="str">
        <f>IF(ISBLANK(C109)," ",VLOOKUP(C109,Anggota!$C$5:$P$50,2,FALSE))</f>
        <v xml:space="preserve"> </v>
      </c>
      <c r="F109" s="5" t="str">
        <f>IF(ISBLANK(C109)," ",VLOOKUP(C109,Anggota!$C$5:$P$40,14,FALSE))</f>
        <v xml:space="preserve"> </v>
      </c>
      <c r="G109" s="8"/>
      <c r="H109" s="14" t="str">
        <f>IF(ISBLANK(C109)," ",VLOOKUP(C109,Anggota!$C$5:$P$50,4,FALSE))</f>
        <v xml:space="preserve"> </v>
      </c>
      <c r="K109" s="282"/>
    </row>
    <row r="110" spans="2:11">
      <c r="B110" s="13" t="str">
        <f t="shared" si="2"/>
        <v/>
      </c>
      <c r="C110" s="342"/>
      <c r="D110" s="149"/>
      <c r="E110" s="35" t="str">
        <f>IF(ISBLANK(C110)," ",VLOOKUP(C110,Anggota!$C$5:$P$50,2,FALSE))</f>
        <v xml:space="preserve"> </v>
      </c>
      <c r="F110" s="5" t="str">
        <f>IF(ISBLANK(C110)," ",VLOOKUP(C110,Anggota!$C$5:$P$40,14,FALSE))</f>
        <v xml:space="preserve"> </v>
      </c>
      <c r="G110" s="8"/>
      <c r="H110" s="14" t="str">
        <f>IF(ISBLANK(C110)," ",VLOOKUP(C110,Anggota!$C$5:$P$50,4,FALSE))</f>
        <v xml:space="preserve"> </v>
      </c>
      <c r="K110" s="282"/>
    </row>
    <row r="111" spans="2:11">
      <c r="B111" s="13" t="str">
        <f t="shared" si="2"/>
        <v/>
      </c>
      <c r="C111" s="342"/>
      <c r="D111" s="149"/>
      <c r="E111" s="35" t="str">
        <f>IF(ISBLANK(C111)," ",VLOOKUP(C111,Anggota!$C$5:$P$50,2,FALSE))</f>
        <v xml:space="preserve"> </v>
      </c>
      <c r="F111" s="5" t="str">
        <f>IF(ISBLANK(C111)," ",VLOOKUP(C111,Anggota!$C$5:$P$40,14,FALSE))</f>
        <v xml:space="preserve"> </v>
      </c>
      <c r="G111" s="8"/>
      <c r="H111" s="14" t="str">
        <f>IF(ISBLANK(C111)," ",VLOOKUP(C111,Anggota!$C$5:$P$50,4,FALSE))</f>
        <v xml:space="preserve"> </v>
      </c>
      <c r="K111" s="282"/>
    </row>
    <row r="112" spans="2:11">
      <c r="B112" s="13" t="str">
        <f t="shared" si="2"/>
        <v/>
      </c>
      <c r="C112" s="342"/>
      <c r="D112" s="149"/>
      <c r="E112" s="35" t="str">
        <f>IF(ISBLANK(C112)," ",VLOOKUP(C112,Anggota!$C$5:$P$50,2,FALSE))</f>
        <v xml:space="preserve"> </v>
      </c>
      <c r="F112" s="5" t="str">
        <f>IF(ISBLANK(C112)," ",VLOOKUP(C112,Anggota!$C$5:$P$40,14,FALSE))</f>
        <v xml:space="preserve"> </v>
      </c>
      <c r="G112" s="8"/>
      <c r="H112" s="14" t="str">
        <f>IF(ISBLANK(C112)," ",VLOOKUP(C112,Anggota!$C$5:$P$50,4,FALSE))</f>
        <v xml:space="preserve"> </v>
      </c>
      <c r="K112" s="282"/>
    </row>
    <row r="113" spans="2:11">
      <c r="B113" s="13" t="str">
        <f t="shared" si="2"/>
        <v/>
      </c>
      <c r="C113" s="342"/>
      <c r="D113" s="149"/>
      <c r="E113" s="35" t="str">
        <f>IF(ISBLANK(C113)," ",VLOOKUP(C113,Anggota!$C$5:$P$50,2,FALSE))</f>
        <v xml:space="preserve"> </v>
      </c>
      <c r="F113" s="5" t="str">
        <f>IF(ISBLANK(C113)," ",VLOOKUP(C113,Anggota!$C$5:$P$40,14,FALSE))</f>
        <v xml:space="preserve"> </v>
      </c>
      <c r="G113" s="8"/>
      <c r="H113" s="14" t="str">
        <f>IF(ISBLANK(C113)," ",VLOOKUP(C113,Anggota!$C$5:$P$50,4,FALSE))</f>
        <v xml:space="preserve"> </v>
      </c>
      <c r="K113" s="282"/>
    </row>
    <row r="114" spans="2:11">
      <c r="B114" s="13" t="str">
        <f t="shared" si="2"/>
        <v/>
      </c>
      <c r="C114" s="342"/>
      <c r="D114" s="149"/>
      <c r="E114" s="35" t="str">
        <f>IF(ISBLANK(C114)," ",VLOOKUP(C114,Anggota!$C$5:$P$50,2,FALSE))</f>
        <v xml:space="preserve"> </v>
      </c>
      <c r="F114" s="5" t="str">
        <f>IF(ISBLANK(C114)," ",VLOOKUP(C114,Anggota!$C$5:$P$40,14,FALSE))</f>
        <v xml:space="preserve"> </v>
      </c>
      <c r="G114" s="8"/>
      <c r="H114" s="14" t="str">
        <f>IF(ISBLANK(C114)," ",VLOOKUP(C114,Anggota!$C$5:$P$50,4,FALSE))</f>
        <v xml:space="preserve"> </v>
      </c>
      <c r="K114" s="282"/>
    </row>
    <row r="115" spans="2:11">
      <c r="B115" s="13" t="str">
        <f t="shared" si="2"/>
        <v/>
      </c>
      <c r="C115" s="342"/>
      <c r="D115" s="149"/>
      <c r="E115" s="35" t="str">
        <f>IF(ISBLANK(C115)," ",VLOOKUP(C115,Anggota!$C$5:$P$50,2,FALSE))</f>
        <v xml:space="preserve"> </v>
      </c>
      <c r="F115" s="5" t="str">
        <f>IF(ISBLANK(C115)," ",VLOOKUP(C115,Anggota!$C$5:$P$40,14,FALSE))</f>
        <v xml:space="preserve"> </v>
      </c>
      <c r="G115" s="8"/>
      <c r="H115" s="14" t="str">
        <f>IF(ISBLANK(C115)," ",VLOOKUP(C115,Anggota!$C$5:$P$50,4,FALSE))</f>
        <v xml:space="preserve"> </v>
      </c>
      <c r="K115" s="282"/>
    </row>
    <row r="116" spans="2:11">
      <c r="B116" s="13" t="str">
        <f t="shared" si="2"/>
        <v/>
      </c>
      <c r="C116" s="342"/>
      <c r="D116" s="149"/>
      <c r="E116" s="35" t="str">
        <f>IF(ISBLANK(C116)," ",VLOOKUP(C116,Anggota!$C$5:$P$50,2,FALSE))</f>
        <v xml:space="preserve"> </v>
      </c>
      <c r="F116" s="5" t="str">
        <f>IF(ISBLANK(C116)," ",VLOOKUP(C116,Anggota!$C$5:$P$40,14,FALSE))</f>
        <v xml:space="preserve"> </v>
      </c>
      <c r="G116" s="8"/>
      <c r="H116" s="14" t="str">
        <f>IF(ISBLANK(C116)," ",VLOOKUP(C116,Anggota!$C$5:$P$50,4,FALSE))</f>
        <v xml:space="preserve"> </v>
      </c>
      <c r="K116" s="282"/>
    </row>
    <row r="117" spans="2:11">
      <c r="B117" s="13" t="str">
        <f t="shared" si="2"/>
        <v/>
      </c>
      <c r="C117" s="342"/>
      <c r="D117" s="149"/>
      <c r="E117" s="35" t="str">
        <f>IF(ISBLANK(C117)," ",VLOOKUP(C117,Anggota!$C$5:$P$50,2,FALSE))</f>
        <v xml:space="preserve"> </v>
      </c>
      <c r="F117" s="5" t="str">
        <f>IF(ISBLANK(C117)," ",VLOOKUP(C117,Anggota!$C$5:$P$40,14,FALSE))</f>
        <v xml:space="preserve"> </v>
      </c>
      <c r="G117" s="8"/>
      <c r="H117" s="14" t="str">
        <f>IF(ISBLANK(C117)," ",VLOOKUP(C117,Anggota!$C$5:$P$50,4,FALSE))</f>
        <v xml:space="preserve"> </v>
      </c>
      <c r="K117" s="282"/>
    </row>
    <row r="118" spans="2:11">
      <c r="B118" s="13" t="str">
        <f t="shared" si="1"/>
        <v/>
      </c>
      <c r="C118" s="342"/>
      <c r="D118" s="149"/>
      <c r="E118" s="35" t="str">
        <f>IF(ISBLANK(C118)," ",VLOOKUP(C118,Anggota!$C$5:$P$50,2,FALSE))</f>
        <v xml:space="preserve"> </v>
      </c>
      <c r="F118" s="5" t="str">
        <f>IF(ISBLANK(C118)," ",VLOOKUP(C118,Anggota!$C$5:$P$40,14,FALSE))</f>
        <v xml:space="preserve"> </v>
      </c>
      <c r="G118" s="8"/>
      <c r="H118" s="14" t="str">
        <f>IF(ISBLANK(C118)," ",VLOOKUP(C118,Anggota!$C$5:$P$50,4,FALSE))</f>
        <v xml:space="preserve"> </v>
      </c>
      <c r="K118" s="283"/>
    </row>
    <row r="119" spans="2:11">
      <c r="B119" s="13" t="str">
        <f t="shared" si="1"/>
        <v/>
      </c>
      <c r="C119" s="342"/>
      <c r="D119" s="149"/>
      <c r="E119" s="35" t="str">
        <f>IF(ISBLANK(C119)," ",VLOOKUP(C119,Anggota!$C$5:$P$50,2,FALSE))</f>
        <v xml:space="preserve"> </v>
      </c>
      <c r="F119" s="5" t="str">
        <f>IF(ISBLANK(C119)," ",VLOOKUP(C119,Anggota!$C$5:$P$40,14,FALSE))</f>
        <v xml:space="preserve"> </v>
      </c>
      <c r="G119" s="8"/>
      <c r="H119" s="14" t="str">
        <f>IF(ISBLANK(C119)," ",VLOOKUP(C119,Anggota!$C$5:$P$50,4,FALSE))</f>
        <v xml:space="preserve"> </v>
      </c>
    </row>
    <row r="120" spans="2:11">
      <c r="B120" s="13" t="str">
        <f t="shared" si="1"/>
        <v/>
      </c>
      <c r="C120" s="342"/>
      <c r="D120" s="149"/>
      <c r="E120" s="35" t="str">
        <f>IF(ISBLANK(C120)," ",VLOOKUP(C120,Anggota!$C$5:$P$50,2,FALSE))</f>
        <v xml:space="preserve"> </v>
      </c>
      <c r="F120" s="5" t="str">
        <f>IF(ISBLANK(C120)," ",VLOOKUP(C120,Anggota!$C$5:$P$40,14,FALSE))</f>
        <v xml:space="preserve"> </v>
      </c>
      <c r="G120" s="8"/>
      <c r="H120" s="14" t="str">
        <f>IF(ISBLANK(C120)," ",VLOOKUP(C120,Anggota!$C$5:$P$50,4,FALSE))</f>
        <v xml:space="preserve"> </v>
      </c>
    </row>
    <row r="121" spans="2:11">
      <c r="B121" s="13" t="str">
        <f t="shared" si="1"/>
        <v/>
      </c>
      <c r="C121" s="342"/>
      <c r="D121" s="149"/>
      <c r="E121" s="35" t="str">
        <f>IF(ISBLANK(C121)," ",VLOOKUP(C121,Anggota!$C$5:$P$50,2,FALSE))</f>
        <v xml:space="preserve"> </v>
      </c>
      <c r="F121" s="5" t="str">
        <f>IF(ISBLANK(C121)," ",VLOOKUP(C121,Anggota!$C$5:$P$40,14,FALSE))</f>
        <v xml:space="preserve"> </v>
      </c>
      <c r="G121" s="8"/>
      <c r="H121" s="14" t="str">
        <f>IF(ISBLANK(C121)," ",VLOOKUP(C121,Anggota!$C$5:$P$50,4,FALSE))</f>
        <v xml:space="preserve"> </v>
      </c>
    </row>
    <row r="122" spans="2:11">
      <c r="B122" s="13" t="str">
        <f t="shared" si="1"/>
        <v/>
      </c>
      <c r="C122" s="342"/>
      <c r="D122" s="149"/>
      <c r="E122" s="35" t="str">
        <f>IF(ISBLANK(C122)," ",VLOOKUP(C122,Anggota!$C$5:$P$50,2,FALSE))</f>
        <v xml:space="preserve"> </v>
      </c>
      <c r="F122" s="5" t="str">
        <f>IF(ISBLANK(C122)," ",VLOOKUP(C122,Anggota!$C$5:$P$40,14,FALSE))</f>
        <v xml:space="preserve"> </v>
      </c>
      <c r="G122" s="8"/>
      <c r="H122" s="14" t="str">
        <f>IF(ISBLANK(C122)," ",VLOOKUP(C122,Anggota!$C$5:$P$50,4,FALSE))</f>
        <v xml:space="preserve"> </v>
      </c>
    </row>
    <row r="123" spans="2:11">
      <c r="B123" s="13" t="str">
        <f t="shared" si="1"/>
        <v/>
      </c>
      <c r="C123" s="342"/>
      <c r="D123" s="149"/>
      <c r="E123" s="35" t="str">
        <f>IF(ISBLANK(C123)," ",VLOOKUP(C123,Anggota!$C$5:$P$50,2,FALSE))</f>
        <v xml:space="preserve"> </v>
      </c>
      <c r="F123" s="5" t="str">
        <f>IF(ISBLANK(C123)," ",VLOOKUP(C123,Anggota!$C$5:$P$40,14,FALSE))</f>
        <v xml:space="preserve"> </v>
      </c>
      <c r="G123" s="8"/>
      <c r="H123" s="14" t="str">
        <f>IF(ISBLANK(C123)," ",VLOOKUP(C123,Anggota!$C$5:$P$50,4,FALSE))</f>
        <v xml:space="preserve"> </v>
      </c>
    </row>
    <row r="124" spans="2:11">
      <c r="B124" s="13" t="str">
        <f t="shared" si="1"/>
        <v/>
      </c>
      <c r="C124" s="342"/>
      <c r="D124" s="149"/>
      <c r="E124" s="35" t="str">
        <f>IF(ISBLANK(C124)," ",VLOOKUP(C124,Anggota!$C$5:$P$50,2,FALSE))</f>
        <v xml:space="preserve"> </v>
      </c>
      <c r="F124" s="5" t="str">
        <f>IF(ISBLANK(C124)," ",VLOOKUP(C124,Anggota!$C$5:$P$40,14,FALSE))</f>
        <v xml:space="preserve"> </v>
      </c>
      <c r="G124" s="8"/>
      <c r="H124" s="14" t="str">
        <f>IF(ISBLANK(C124)," ",VLOOKUP(C124,Anggota!$C$5:$P$50,4,FALSE))</f>
        <v xml:space="preserve"> </v>
      </c>
    </row>
    <row r="125" spans="2:11">
      <c r="B125" s="13" t="str">
        <f t="shared" si="1"/>
        <v/>
      </c>
      <c r="C125" s="342"/>
      <c r="D125" s="149"/>
      <c r="E125" s="35" t="str">
        <f>IF(ISBLANK(C125)," ",VLOOKUP(C125,Anggota!$C$5:$P$50,2,FALSE))</f>
        <v xml:space="preserve"> </v>
      </c>
      <c r="F125" s="5" t="str">
        <f>IF(ISBLANK(C125)," ",VLOOKUP(C125,Anggota!$C$5:$P$40,14,FALSE))</f>
        <v xml:space="preserve"> </v>
      </c>
      <c r="G125" s="8"/>
      <c r="H125" s="14" t="str">
        <f>IF(ISBLANK(C125)," ",VLOOKUP(C125,Anggota!$C$5:$P$50,4,FALSE))</f>
        <v xml:space="preserve"> </v>
      </c>
    </row>
    <row r="126" spans="2:11">
      <c r="B126" s="13" t="str">
        <f t="shared" si="1"/>
        <v/>
      </c>
      <c r="C126" s="342"/>
      <c r="D126" s="149"/>
      <c r="E126" s="35" t="str">
        <f>IF(ISBLANK(C126)," ",VLOOKUP(C126,Anggota!$C$5:$P$50,2,FALSE))</f>
        <v xml:space="preserve"> </v>
      </c>
      <c r="F126" s="5" t="str">
        <f>IF(ISBLANK(C126)," ",VLOOKUP(C126,Anggota!$C$5:$P$40,14,FALSE))</f>
        <v xml:space="preserve"> </v>
      </c>
      <c r="G126" s="8"/>
      <c r="H126" s="14" t="str">
        <f>IF(ISBLANK(C126)," ",VLOOKUP(C126,Anggota!$C$5:$P$50,4,FALSE))</f>
        <v xml:space="preserve"> </v>
      </c>
    </row>
    <row r="127" spans="2:11">
      <c r="B127" s="13" t="str">
        <f t="shared" si="1"/>
        <v/>
      </c>
      <c r="C127" s="342"/>
      <c r="D127" s="149"/>
      <c r="E127" s="35" t="str">
        <f>IF(ISBLANK(C127)," ",VLOOKUP(C127,Anggota!$C$5:$P$50,2,FALSE))</f>
        <v xml:space="preserve"> </v>
      </c>
      <c r="F127" s="5" t="str">
        <f>IF(ISBLANK(C127)," ",VLOOKUP(C127,Anggota!$C$5:$P$40,14,FALSE))</f>
        <v xml:space="preserve"> </v>
      </c>
      <c r="G127" s="8"/>
      <c r="H127" s="14" t="str">
        <f>IF(ISBLANK(C127)," ",VLOOKUP(C127,Anggota!$C$5:$P$50,4,FALSE))</f>
        <v xml:space="preserve"> </v>
      </c>
    </row>
    <row r="128" spans="2:11">
      <c r="B128" s="13" t="str">
        <f t="shared" si="1"/>
        <v/>
      </c>
      <c r="C128" s="342"/>
      <c r="D128" s="149"/>
      <c r="E128" s="35" t="str">
        <f>IF(ISBLANK(C128)," ",VLOOKUP(C128,Anggota!$C$5:$P$50,2,FALSE))</f>
        <v xml:space="preserve"> </v>
      </c>
      <c r="F128" s="5" t="str">
        <f>IF(ISBLANK(C128)," ",VLOOKUP(C128,Anggota!$C$5:$P$40,14,FALSE))</f>
        <v xml:space="preserve"> </v>
      </c>
      <c r="G128" s="8"/>
      <c r="H128" s="14" t="str">
        <f>IF(ISBLANK(C128)," ",VLOOKUP(C128,Anggota!$C$5:$P$50,4,FALSE))</f>
        <v xml:space="preserve"> </v>
      </c>
    </row>
    <row r="129" spans="2:8">
      <c r="B129" s="13" t="str">
        <f t="shared" si="1"/>
        <v/>
      </c>
      <c r="C129" s="342"/>
      <c r="D129" s="149"/>
      <c r="E129" s="35" t="str">
        <f>IF(ISBLANK(C129)," ",VLOOKUP(C129,Anggota!$C$5:$P$50,2,FALSE))</f>
        <v xml:space="preserve"> </v>
      </c>
      <c r="F129" s="5" t="str">
        <f>IF(ISBLANK(C129)," ",VLOOKUP(C129,Anggota!$C$5:$P$40,14,FALSE))</f>
        <v xml:space="preserve"> </v>
      </c>
      <c r="G129" s="8"/>
      <c r="H129" s="14" t="str">
        <f>IF(ISBLANK(C129)," ",VLOOKUP(C129,Anggota!$C$5:$P$50,4,FALSE))</f>
        <v xml:space="preserve"> </v>
      </c>
    </row>
    <row r="130" spans="2:8">
      <c r="B130" s="13" t="str">
        <f t="shared" si="1"/>
        <v/>
      </c>
      <c r="C130" s="342"/>
      <c r="D130" s="149"/>
      <c r="E130" s="35" t="str">
        <f>IF(ISBLANK(C130)," ",VLOOKUP(C130,Anggota!$C$5:$P$50,2,FALSE))</f>
        <v xml:space="preserve"> </v>
      </c>
      <c r="F130" s="5" t="str">
        <f>IF(ISBLANK(C130)," ",VLOOKUP(C130,Anggota!$C$5:$P$40,14,FALSE))</f>
        <v xml:space="preserve"> </v>
      </c>
      <c r="G130" s="8"/>
      <c r="H130" s="14" t="str">
        <f>IF(ISBLANK(C130)," ",VLOOKUP(C130,Anggota!$C$5:$P$50,4,FALSE))</f>
        <v xml:space="preserve"> </v>
      </c>
    </row>
    <row r="131" spans="2:8">
      <c r="B131" s="13" t="str">
        <f t="shared" si="1"/>
        <v/>
      </c>
      <c r="C131" s="342"/>
      <c r="D131" s="149"/>
      <c r="E131" s="35" t="str">
        <f>IF(ISBLANK(C131)," ",VLOOKUP(C131,Anggota!$C$5:$P$50,2,FALSE))</f>
        <v xml:space="preserve"> </v>
      </c>
      <c r="F131" s="5" t="str">
        <f>IF(ISBLANK(C131)," ",VLOOKUP(C131,Anggota!$C$5:$P$40,14,FALSE))</f>
        <v xml:space="preserve"> </v>
      </c>
      <c r="G131" s="8"/>
      <c r="H131" s="14" t="str">
        <f>IF(ISBLANK(C131)," ",VLOOKUP(C131,Anggota!$C$5:$P$50,4,FALSE))</f>
        <v xml:space="preserve"> </v>
      </c>
    </row>
    <row r="132" spans="2:8">
      <c r="B132" s="13" t="str">
        <f t="shared" si="1"/>
        <v/>
      </c>
      <c r="C132" s="342"/>
      <c r="D132" s="149"/>
      <c r="E132" s="35" t="str">
        <f>IF(ISBLANK(C132)," ",VLOOKUP(C132,Anggota!$C$5:$P$50,2,FALSE))</f>
        <v xml:space="preserve"> </v>
      </c>
      <c r="F132" s="5" t="str">
        <f>IF(ISBLANK(C132)," ",VLOOKUP(C132,Anggota!$C$5:$P$40,14,FALSE))</f>
        <v xml:space="preserve"> </v>
      </c>
      <c r="G132" s="8"/>
      <c r="H132" s="14" t="str">
        <f>IF(ISBLANK(C132)," ",VLOOKUP(C132,Anggota!$C$5:$P$50,4,FALSE))</f>
        <v xml:space="preserve"> </v>
      </c>
    </row>
    <row r="133" spans="2:8">
      <c r="B133" s="13" t="str">
        <f t="shared" si="1"/>
        <v/>
      </c>
      <c r="C133" s="342"/>
      <c r="D133" s="149"/>
      <c r="E133" s="35" t="str">
        <f>IF(ISBLANK(C133)," ",VLOOKUP(C133,Anggota!$C$5:$P$50,2,FALSE))</f>
        <v xml:space="preserve"> </v>
      </c>
      <c r="F133" s="5" t="str">
        <f>IF(ISBLANK(C133)," ",VLOOKUP(C133,Anggota!$C$5:$P$40,14,FALSE))</f>
        <v xml:space="preserve"> </v>
      </c>
      <c r="G133" s="8"/>
      <c r="H133" s="14" t="str">
        <f>IF(ISBLANK(C133)," ",VLOOKUP(C133,Anggota!$C$5:$P$50,4,FALSE))</f>
        <v xml:space="preserve"> </v>
      </c>
    </row>
    <row r="134" spans="2:8">
      <c r="B134" s="13" t="str">
        <f t="shared" si="1"/>
        <v/>
      </c>
      <c r="C134" s="342"/>
      <c r="D134" s="149"/>
      <c r="E134" s="35" t="str">
        <f>IF(ISBLANK(C134)," ",VLOOKUP(C134,Anggota!$C$5:$P$50,2,FALSE))</f>
        <v xml:space="preserve"> </v>
      </c>
      <c r="F134" s="5" t="str">
        <f>IF(ISBLANK(C134)," ",VLOOKUP(C134,Anggota!$C$5:$P$40,14,FALSE))</f>
        <v xml:space="preserve"> </v>
      </c>
      <c r="G134" s="8"/>
      <c r="H134" s="14" t="str">
        <f>IF(ISBLANK(C134)," ",VLOOKUP(C134,Anggota!$C$5:$P$50,4,FALSE))</f>
        <v xml:space="preserve"> </v>
      </c>
    </row>
    <row r="135" spans="2:8">
      <c r="B135" s="13" t="str">
        <f t="shared" si="1"/>
        <v/>
      </c>
      <c r="C135" s="342"/>
      <c r="D135" s="149"/>
      <c r="E135" s="35" t="str">
        <f>IF(ISBLANK(C135)," ",VLOOKUP(C135,Anggota!$C$5:$P$50,2,FALSE))</f>
        <v xml:space="preserve"> </v>
      </c>
      <c r="F135" s="5" t="str">
        <f>IF(ISBLANK(C135)," ",VLOOKUP(C135,Anggota!$C$5:$P$40,14,FALSE))</f>
        <v xml:space="preserve"> </v>
      </c>
      <c r="G135" s="8"/>
      <c r="H135" s="14" t="str">
        <f>IF(ISBLANK(C135)," ",VLOOKUP(C135,Anggota!$C$5:$P$50,4,FALSE))</f>
        <v xml:space="preserve"> </v>
      </c>
    </row>
    <row r="136" spans="2:8">
      <c r="B136" s="13" t="str">
        <f t="shared" si="1"/>
        <v/>
      </c>
      <c r="C136" s="342"/>
      <c r="D136" s="149"/>
      <c r="E136" s="35" t="str">
        <f>IF(ISBLANK(C136)," ",VLOOKUP(C136,Anggota!$C$5:$P$50,2,FALSE))</f>
        <v xml:space="preserve"> </v>
      </c>
      <c r="F136" s="5" t="str">
        <f>IF(ISBLANK(C136)," ",VLOOKUP(C136,Anggota!$C$5:$P$40,14,FALSE))</f>
        <v xml:space="preserve"> </v>
      </c>
      <c r="G136" s="8"/>
      <c r="H136" s="14" t="str">
        <f>IF(ISBLANK(C136)," ",VLOOKUP(C136,Anggota!$C$5:$P$50,4,FALSE))</f>
        <v xml:space="preserve"> </v>
      </c>
    </row>
    <row r="137" spans="2:8">
      <c r="B137" s="13" t="str">
        <f t="shared" si="1"/>
        <v/>
      </c>
      <c r="C137" s="342"/>
      <c r="D137" s="149"/>
      <c r="E137" s="35" t="str">
        <f>IF(ISBLANK(C137)," ",VLOOKUP(C137,Anggota!$C$5:$P$50,2,FALSE))</f>
        <v xml:space="preserve"> </v>
      </c>
      <c r="F137" s="5" t="str">
        <f>IF(ISBLANK(C137)," ",VLOOKUP(C137,Anggota!$C$5:$P$40,14,FALSE))</f>
        <v xml:space="preserve"> </v>
      </c>
      <c r="G137" s="8"/>
      <c r="H137" s="14" t="str">
        <f>IF(ISBLANK(C137)," ",VLOOKUP(C137,Anggota!$C$5:$P$50,4,FALSE))</f>
        <v xml:space="preserve"> </v>
      </c>
    </row>
    <row r="138" spans="2:8">
      <c r="B138" s="13" t="str">
        <f t="shared" si="1"/>
        <v/>
      </c>
      <c r="C138" s="342"/>
      <c r="D138" s="149"/>
      <c r="E138" s="35" t="str">
        <f>IF(ISBLANK(C138)," ",VLOOKUP(C138,Anggota!$C$5:$P$50,2,FALSE))</f>
        <v xml:space="preserve"> </v>
      </c>
      <c r="F138" s="5" t="str">
        <f>IF(ISBLANK(C138)," ",VLOOKUP(C138,Anggota!$C$5:$P$40,14,FALSE))</f>
        <v xml:space="preserve"> </v>
      </c>
      <c r="G138" s="8"/>
      <c r="H138" s="14" t="str">
        <f>IF(ISBLANK(C138)," ",VLOOKUP(C138,Anggota!$C$5:$P$50,4,FALSE))</f>
        <v xml:space="preserve"> </v>
      </c>
    </row>
    <row r="139" spans="2:8">
      <c r="B139" s="13" t="str">
        <f t="shared" si="1"/>
        <v/>
      </c>
      <c r="C139" s="342"/>
      <c r="D139" s="149"/>
      <c r="E139" s="35" t="str">
        <f>IF(ISBLANK(C139)," ",VLOOKUP(C139,Anggota!$C$5:$P$50,2,FALSE))</f>
        <v xml:space="preserve"> </v>
      </c>
      <c r="F139" s="5" t="str">
        <f>IF(ISBLANK(C139)," ",VLOOKUP(C139,Anggota!$C$5:$P$40,14,FALSE))</f>
        <v xml:space="preserve"> </v>
      </c>
      <c r="G139" s="8"/>
      <c r="H139" s="14" t="str">
        <f>IF(ISBLANK(C139)," ",VLOOKUP(C139,Anggota!$C$5:$P$50,4,FALSE))</f>
        <v xml:space="preserve"> </v>
      </c>
    </row>
    <row r="140" spans="2:8">
      <c r="B140" s="13" t="str">
        <f t="shared" si="1"/>
        <v/>
      </c>
      <c r="C140" s="342"/>
      <c r="D140" s="149"/>
      <c r="E140" s="35" t="str">
        <f>IF(ISBLANK(C140)," ",VLOOKUP(C140,Anggota!$C$5:$P$50,2,FALSE))</f>
        <v xml:space="preserve"> </v>
      </c>
      <c r="F140" s="5" t="str">
        <f>IF(ISBLANK(C140)," ",VLOOKUP(C140,Anggota!$C$5:$P$40,14,FALSE))</f>
        <v xml:space="preserve"> </v>
      </c>
      <c r="G140" s="8"/>
      <c r="H140" s="14" t="str">
        <f>IF(ISBLANK(C140)," ",VLOOKUP(C140,Anggota!$C$5:$P$50,4,FALSE))</f>
        <v xml:space="preserve"> </v>
      </c>
    </row>
    <row r="141" spans="2:8">
      <c r="B141" s="13" t="str">
        <f t="shared" si="1"/>
        <v/>
      </c>
      <c r="C141" s="342"/>
      <c r="D141" s="149"/>
      <c r="E141" s="35" t="str">
        <f>IF(ISBLANK(C141)," ",VLOOKUP(C141,Anggota!$C$5:$P$50,2,FALSE))</f>
        <v xml:space="preserve"> </v>
      </c>
      <c r="F141" s="5" t="str">
        <f>IF(ISBLANK(C141)," ",VLOOKUP(C141,Anggota!$C$5:$P$40,14,FALSE))</f>
        <v xml:space="preserve"> </v>
      </c>
      <c r="G141" s="8"/>
      <c r="H141" s="14" t="str">
        <f>IF(ISBLANK(C141)," ",VLOOKUP(C141,Anggota!$C$5:$P$50,4,FALSE))</f>
        <v xml:space="preserve"> </v>
      </c>
    </row>
    <row r="142" spans="2:8">
      <c r="B142" s="13" t="str">
        <f t="shared" si="1"/>
        <v/>
      </c>
      <c r="C142" s="342"/>
      <c r="D142" s="149"/>
      <c r="E142" s="35" t="str">
        <f>IF(ISBLANK(C142)," ",VLOOKUP(C142,Anggota!$C$5:$P$50,2,FALSE))</f>
        <v xml:space="preserve"> </v>
      </c>
      <c r="F142" s="5" t="str">
        <f>IF(ISBLANK(C142)," ",VLOOKUP(C142,Anggota!$C$5:$P$40,14,FALSE))</f>
        <v xml:space="preserve"> </v>
      </c>
      <c r="G142" s="8"/>
      <c r="H142" s="14" t="str">
        <f>IF(ISBLANK(C142)," ",VLOOKUP(C142,Anggota!$C$5:$P$50,4,FALSE))</f>
        <v xml:space="preserve"> </v>
      </c>
    </row>
    <row r="143" spans="2:8">
      <c r="B143" s="13" t="str">
        <f t="shared" si="1"/>
        <v/>
      </c>
      <c r="C143" s="342"/>
      <c r="D143" s="149"/>
      <c r="E143" s="35" t="str">
        <f>IF(ISBLANK(C143)," ",VLOOKUP(C143,Anggota!$C$5:$P$50,2,FALSE))</f>
        <v xml:space="preserve"> </v>
      </c>
      <c r="F143" s="5" t="str">
        <f>IF(ISBLANK(C143)," ",VLOOKUP(C143,Anggota!$C$5:$P$40,14,FALSE))</f>
        <v xml:space="preserve"> </v>
      </c>
      <c r="G143" s="8"/>
      <c r="H143" s="14" t="str">
        <f>IF(ISBLANK(C143)," ",VLOOKUP(C143,Anggota!$C$5:$P$50,4,FALSE))</f>
        <v xml:space="preserve"> </v>
      </c>
    </row>
    <row r="144" spans="2:8">
      <c r="B144" s="13" t="str">
        <f t="shared" si="1"/>
        <v/>
      </c>
      <c r="C144" s="342"/>
      <c r="D144" s="149"/>
      <c r="E144" s="35" t="str">
        <f>IF(ISBLANK(C144)," ",VLOOKUP(C144,Anggota!$C$5:$P$50,2,FALSE))</f>
        <v xml:space="preserve"> </v>
      </c>
      <c r="F144" s="5" t="str">
        <f>IF(ISBLANK(C144)," ",VLOOKUP(C144,Anggota!$C$5:$P$40,14,FALSE))</f>
        <v xml:space="preserve"> </v>
      </c>
      <c r="G144" s="8"/>
      <c r="H144" s="14" t="str">
        <f>IF(ISBLANK(C144)," ",VLOOKUP(C144,Anggota!$C$5:$P$50,4,FALSE))</f>
        <v xml:space="preserve"> </v>
      </c>
    </row>
    <row r="145" spans="2:8">
      <c r="B145" s="13" t="str">
        <f t="shared" si="1"/>
        <v/>
      </c>
      <c r="C145" s="342"/>
      <c r="D145" s="149"/>
      <c r="E145" s="35" t="str">
        <f>IF(ISBLANK(C145)," ",VLOOKUP(C145,Anggota!$C$5:$P$50,2,FALSE))</f>
        <v xml:space="preserve"> </v>
      </c>
      <c r="F145" s="5" t="str">
        <f>IF(ISBLANK(C145)," ",VLOOKUP(C145,Anggota!$C$5:$P$40,14,FALSE))</f>
        <v xml:space="preserve"> </v>
      </c>
      <c r="G145" s="8"/>
      <c r="H145" s="14" t="str">
        <f>IF(ISBLANK(C145)," ",VLOOKUP(C145,Anggota!$C$5:$P$50,4,FALSE))</f>
        <v xml:space="preserve"> </v>
      </c>
    </row>
    <row r="146" spans="2:8">
      <c r="B146" s="13" t="str">
        <f t="shared" si="1"/>
        <v/>
      </c>
      <c r="C146" s="342"/>
      <c r="D146" s="149"/>
      <c r="E146" s="35" t="str">
        <f>IF(ISBLANK(C146)," ",VLOOKUP(C146,Anggota!$C$5:$P$50,2,FALSE))</f>
        <v xml:space="preserve"> </v>
      </c>
      <c r="F146" s="5" t="str">
        <f>IF(ISBLANK(C146)," ",VLOOKUP(C146,Anggota!$C$5:$P$40,14,FALSE))</f>
        <v xml:space="preserve"> </v>
      </c>
      <c r="G146" s="8"/>
      <c r="H146" s="14" t="str">
        <f>IF(ISBLANK(C146)," ",VLOOKUP(C146,Anggota!$C$5:$P$50,4,FALSE))</f>
        <v xml:space="preserve"> </v>
      </c>
    </row>
    <row r="147" spans="2:8">
      <c r="B147" s="13" t="str">
        <f t="shared" si="1"/>
        <v/>
      </c>
      <c r="C147" s="342"/>
      <c r="D147" s="149"/>
      <c r="E147" s="35" t="str">
        <f>IF(ISBLANK(C147)," ",VLOOKUP(C147,Anggota!$C$5:$P$50,2,FALSE))</f>
        <v xml:space="preserve"> </v>
      </c>
      <c r="F147" s="5" t="str">
        <f>IF(ISBLANK(C147)," ",VLOOKUP(C147,Anggota!$C$5:$P$40,14,FALSE))</f>
        <v xml:space="preserve"> </v>
      </c>
      <c r="G147" s="8"/>
      <c r="H147" s="14" t="str">
        <f>IF(ISBLANK(C147)," ",VLOOKUP(C147,Anggota!$C$5:$P$50,4,FALSE))</f>
        <v xml:space="preserve"> </v>
      </c>
    </row>
    <row r="148" spans="2:8">
      <c r="B148" s="13" t="str">
        <f t="shared" si="1"/>
        <v/>
      </c>
      <c r="C148" s="342"/>
      <c r="D148" s="149"/>
      <c r="E148" s="35" t="str">
        <f>IF(ISBLANK(C148)," ",VLOOKUP(C148,Anggota!$C$5:$P$50,2,FALSE))</f>
        <v xml:space="preserve"> </v>
      </c>
      <c r="F148" s="5" t="str">
        <f>IF(ISBLANK(C148)," ",VLOOKUP(C148,Anggota!$C$5:$P$40,14,FALSE))</f>
        <v xml:space="preserve"> </v>
      </c>
      <c r="G148" s="8"/>
      <c r="H148" s="14" t="str">
        <f>IF(ISBLANK(C148)," ",VLOOKUP(C148,Anggota!$C$5:$P$50,4,FALSE))</f>
        <v xml:space="preserve"> </v>
      </c>
    </row>
    <row r="149" spans="2:8">
      <c r="B149" s="13" t="str">
        <f t="shared" si="1"/>
        <v/>
      </c>
      <c r="C149" s="342"/>
      <c r="D149" s="149"/>
      <c r="E149" s="35" t="str">
        <f>IF(ISBLANK(C149)," ",VLOOKUP(C149,Anggota!$C$5:$P$50,2,FALSE))</f>
        <v xml:space="preserve"> </v>
      </c>
      <c r="F149" s="5" t="str">
        <f>IF(ISBLANK(C149)," ",VLOOKUP(C149,Anggota!$C$5:$P$40,14,FALSE))</f>
        <v xml:space="preserve"> </v>
      </c>
      <c r="G149" s="8"/>
      <c r="H149" s="14" t="str">
        <f>IF(ISBLANK(C149)," ",VLOOKUP(C149,Anggota!$C$5:$P$50,4,FALSE))</f>
        <v xml:space="preserve"> </v>
      </c>
    </row>
    <row r="150" spans="2:8">
      <c r="B150" s="13" t="str">
        <f t="shared" si="1"/>
        <v/>
      </c>
      <c r="C150" s="342"/>
      <c r="D150" s="149"/>
      <c r="E150" s="35" t="str">
        <f>IF(ISBLANK(C150)," ",VLOOKUP(C150,Anggota!$C$5:$P$50,2,FALSE))</f>
        <v xml:space="preserve"> </v>
      </c>
      <c r="F150" s="5" t="str">
        <f>IF(ISBLANK(C150)," ",VLOOKUP(C150,Anggota!$C$5:$P$40,14,FALSE))</f>
        <v xml:space="preserve"> </v>
      </c>
      <c r="G150" s="8"/>
      <c r="H150" s="14" t="str">
        <f>IF(ISBLANK(C150)," ",VLOOKUP(C150,Anggota!$C$5:$P$50,4,FALSE))</f>
        <v xml:space="preserve"> </v>
      </c>
    </row>
    <row r="151" spans="2:8">
      <c r="B151" s="13" t="str">
        <f t="shared" si="1"/>
        <v/>
      </c>
      <c r="C151" s="342"/>
      <c r="D151" s="149"/>
      <c r="E151" s="35" t="str">
        <f>IF(ISBLANK(C151)," ",VLOOKUP(C151,Anggota!$C$5:$P$50,2,FALSE))</f>
        <v xml:space="preserve"> </v>
      </c>
      <c r="F151" s="5" t="str">
        <f>IF(ISBLANK(C151)," ",VLOOKUP(C151,Anggota!$C$5:$P$40,14,FALSE))</f>
        <v xml:space="preserve"> </v>
      </c>
      <c r="G151" s="8"/>
      <c r="H151" s="14" t="str">
        <f>IF(ISBLANK(C151)," ",VLOOKUP(C151,Anggota!$C$5:$P$50,4,FALSE))</f>
        <v xml:space="preserve"> </v>
      </c>
    </row>
    <row r="152" spans="2:8">
      <c r="B152" s="13" t="str">
        <f t="shared" si="1"/>
        <v/>
      </c>
      <c r="C152" s="342"/>
      <c r="D152" s="149"/>
      <c r="E152" s="35" t="str">
        <f>IF(ISBLANK(C152)," ",VLOOKUP(C152,Anggota!$C$5:$P$50,2,FALSE))</f>
        <v xml:space="preserve"> </v>
      </c>
      <c r="F152" s="5" t="str">
        <f>IF(ISBLANK(C152)," ",VLOOKUP(C152,Anggota!$C$5:$P$40,14,FALSE))</f>
        <v xml:space="preserve"> </v>
      </c>
      <c r="G152" s="8"/>
      <c r="H152" s="14" t="str">
        <f>IF(ISBLANK(C152)," ",VLOOKUP(C152,Anggota!$C$5:$P$50,4,FALSE))</f>
        <v xml:space="preserve"> </v>
      </c>
    </row>
    <row r="153" spans="2:8">
      <c r="B153" s="13" t="str">
        <f t="shared" si="1"/>
        <v/>
      </c>
      <c r="C153" s="342"/>
      <c r="D153" s="149"/>
      <c r="E153" s="35" t="str">
        <f>IF(ISBLANK(C153)," ",VLOOKUP(C153,Anggota!$C$5:$P$50,2,FALSE))</f>
        <v xml:space="preserve"> </v>
      </c>
      <c r="F153" s="5" t="str">
        <f>IF(ISBLANK(C153)," ",VLOOKUP(C153,Anggota!$C$5:$P$40,14,FALSE))</f>
        <v xml:space="preserve"> </v>
      </c>
      <c r="G153" s="8"/>
      <c r="H153" s="14" t="str">
        <f>IF(ISBLANK(C153)," ",VLOOKUP(C153,Anggota!$C$5:$P$50,4,FALSE))</f>
        <v xml:space="preserve"> </v>
      </c>
    </row>
    <row r="154" spans="2:8">
      <c r="B154" s="13" t="str">
        <f t="shared" si="1"/>
        <v/>
      </c>
      <c r="C154" s="342"/>
      <c r="D154" s="149"/>
      <c r="E154" s="35" t="str">
        <f>IF(ISBLANK(C154)," ",VLOOKUP(C154,Anggota!$C$5:$P$50,2,FALSE))</f>
        <v xml:space="preserve"> </v>
      </c>
      <c r="F154" s="5" t="str">
        <f>IF(ISBLANK(C154)," ",VLOOKUP(C154,Anggota!$C$5:$P$40,14,FALSE))</f>
        <v xml:space="preserve"> </v>
      </c>
      <c r="G154" s="8"/>
      <c r="H154" s="14" t="str">
        <f>IF(ISBLANK(C154)," ",VLOOKUP(C154,Anggota!$C$5:$P$50,4,FALSE))</f>
        <v xml:space="preserve"> </v>
      </c>
    </row>
    <row r="155" spans="2:8">
      <c r="B155" s="13" t="str">
        <f t="shared" si="1"/>
        <v/>
      </c>
      <c r="C155" s="342"/>
      <c r="D155" s="149"/>
      <c r="E155" s="35" t="str">
        <f>IF(ISBLANK(C155)," ",VLOOKUP(C155,Anggota!$C$5:$P$50,2,FALSE))</f>
        <v xml:space="preserve"> </v>
      </c>
      <c r="F155" s="5" t="str">
        <f>IF(ISBLANK(C155)," ",VLOOKUP(C155,Anggota!$C$5:$P$40,14,FALSE))</f>
        <v xml:space="preserve"> </v>
      </c>
      <c r="G155" s="8"/>
      <c r="H155" s="14" t="str">
        <f>IF(ISBLANK(C155)," ",VLOOKUP(C155,Anggota!$C$5:$P$50,4,FALSE))</f>
        <v xml:space="preserve"> </v>
      </c>
    </row>
    <row r="156" spans="2:8">
      <c r="B156" s="13" t="str">
        <f t="shared" si="1"/>
        <v/>
      </c>
      <c r="C156" s="342"/>
      <c r="D156" s="149"/>
      <c r="E156" s="35" t="str">
        <f>IF(ISBLANK(C156)," ",VLOOKUP(C156,Anggota!$C$5:$P$50,2,FALSE))</f>
        <v xml:space="preserve"> </v>
      </c>
      <c r="F156" s="5" t="str">
        <f>IF(ISBLANK(C156)," ",VLOOKUP(C156,Anggota!$C$5:$P$40,14,FALSE))</f>
        <v xml:space="preserve"> </v>
      </c>
      <c r="G156" s="8"/>
      <c r="H156" s="14" t="str">
        <f>IF(ISBLANK(C156)," ",VLOOKUP(C156,Anggota!$C$5:$P$50,4,FALSE))</f>
        <v xml:space="preserve"> </v>
      </c>
    </row>
    <row r="157" spans="2:8">
      <c r="B157" s="13" t="str">
        <f t="shared" si="1"/>
        <v/>
      </c>
      <c r="C157" s="342"/>
      <c r="D157" s="149"/>
      <c r="E157" s="35" t="str">
        <f>IF(ISBLANK(C157)," ",VLOOKUP(C157,Anggota!$C$5:$P$50,2,FALSE))</f>
        <v xml:space="preserve"> </v>
      </c>
      <c r="F157" s="5" t="str">
        <f>IF(ISBLANK(C157)," ",VLOOKUP(C157,Anggota!$C$5:$P$40,14,FALSE))</f>
        <v xml:space="preserve"> </v>
      </c>
      <c r="G157" s="8"/>
      <c r="H157" s="14" t="str">
        <f>IF(ISBLANK(C157)," ",VLOOKUP(C157,Anggota!$C$5:$P$50,4,FALSE))</f>
        <v xml:space="preserve"> </v>
      </c>
    </row>
    <row r="158" spans="2:8">
      <c r="B158" s="13" t="str">
        <f t="shared" si="1"/>
        <v/>
      </c>
      <c r="C158" s="342"/>
      <c r="D158" s="149"/>
      <c r="E158" s="35" t="str">
        <f>IF(ISBLANK(C158)," ",VLOOKUP(C158,Anggota!$C$5:$P$50,2,FALSE))</f>
        <v xml:space="preserve"> </v>
      </c>
      <c r="F158" s="5" t="str">
        <f>IF(ISBLANK(C158)," ",VLOOKUP(C158,Anggota!$C$5:$P$40,14,FALSE))</f>
        <v xml:space="preserve"> </v>
      </c>
      <c r="G158" s="8"/>
      <c r="H158" s="14" t="str">
        <f>IF(ISBLANK(C158)," ",VLOOKUP(C158,Anggota!$C$5:$P$50,4,FALSE))</f>
        <v xml:space="preserve"> </v>
      </c>
    </row>
    <row r="159" spans="2:8">
      <c r="B159" s="13" t="str">
        <f t="shared" ref="B159:B222" si="3">IF(C159="","",ROW()-4)</f>
        <v/>
      </c>
      <c r="C159" s="342"/>
      <c r="D159" s="149"/>
      <c r="E159" s="35" t="str">
        <f>IF(ISBLANK(C159)," ",VLOOKUP(C159,Anggota!$C$5:$P$50,2,FALSE))</f>
        <v xml:space="preserve"> </v>
      </c>
      <c r="F159" s="5" t="str">
        <f>IF(ISBLANK(C159)," ",VLOOKUP(C159,Anggota!$C$5:$P$40,14,FALSE))</f>
        <v xml:space="preserve"> </v>
      </c>
      <c r="G159" s="8"/>
      <c r="H159" s="14" t="str">
        <f>IF(ISBLANK(C159)," ",VLOOKUP(C159,Anggota!$C$5:$P$50,4,FALSE))</f>
        <v xml:space="preserve"> </v>
      </c>
    </row>
    <row r="160" spans="2:8">
      <c r="B160" s="13" t="str">
        <f t="shared" si="3"/>
        <v/>
      </c>
      <c r="C160" s="342"/>
      <c r="D160" s="149"/>
      <c r="E160" s="35" t="str">
        <f>IF(ISBLANK(C160)," ",VLOOKUP(C160,Anggota!$C$5:$P$50,2,FALSE))</f>
        <v xml:space="preserve"> </v>
      </c>
      <c r="F160" s="5" t="str">
        <f>IF(ISBLANK(C160)," ",VLOOKUP(C160,Anggota!$C$5:$P$40,14,FALSE))</f>
        <v xml:space="preserve"> </v>
      </c>
      <c r="G160" s="8"/>
      <c r="H160" s="14" t="str">
        <f>IF(ISBLANK(C160)," ",VLOOKUP(C160,Anggota!$C$5:$P$50,4,FALSE))</f>
        <v xml:space="preserve"> </v>
      </c>
    </row>
    <row r="161" spans="2:8">
      <c r="B161" s="13" t="str">
        <f t="shared" si="3"/>
        <v/>
      </c>
      <c r="C161" s="342"/>
      <c r="D161" s="149"/>
      <c r="E161" s="35" t="str">
        <f>IF(ISBLANK(C161)," ",VLOOKUP(C161,Anggota!$C$5:$P$50,2,FALSE))</f>
        <v xml:space="preserve"> </v>
      </c>
      <c r="F161" s="5" t="str">
        <f>IF(ISBLANK(C161)," ",VLOOKUP(C161,Anggota!$C$5:$P$40,14,FALSE))</f>
        <v xml:space="preserve"> </v>
      </c>
      <c r="G161" s="8"/>
      <c r="H161" s="14" t="str">
        <f>IF(ISBLANK(C161)," ",VLOOKUP(C161,Anggota!$C$5:$P$50,4,FALSE))</f>
        <v xml:space="preserve"> </v>
      </c>
    </row>
    <row r="162" spans="2:8">
      <c r="B162" s="13" t="str">
        <f t="shared" si="3"/>
        <v/>
      </c>
      <c r="C162" s="342"/>
      <c r="D162" s="149"/>
      <c r="E162" s="35" t="str">
        <f>IF(ISBLANK(C162)," ",VLOOKUP(C162,Anggota!$C$5:$P$50,2,FALSE))</f>
        <v xml:space="preserve"> </v>
      </c>
      <c r="F162" s="5" t="str">
        <f>IF(ISBLANK(C162)," ",VLOOKUP(C162,Anggota!$C$5:$P$40,14,FALSE))</f>
        <v xml:space="preserve"> </v>
      </c>
      <c r="G162" s="8"/>
      <c r="H162" s="14" t="str">
        <f>IF(ISBLANK(C162)," ",VLOOKUP(C162,Anggota!$C$5:$P$50,4,FALSE))</f>
        <v xml:space="preserve"> </v>
      </c>
    </row>
    <row r="163" spans="2:8">
      <c r="B163" s="13" t="str">
        <f t="shared" si="3"/>
        <v/>
      </c>
      <c r="C163" s="342"/>
      <c r="D163" s="149"/>
      <c r="E163" s="35" t="str">
        <f>IF(ISBLANK(C163)," ",VLOOKUP(C163,Anggota!$C$5:$P$50,2,FALSE))</f>
        <v xml:space="preserve"> </v>
      </c>
      <c r="F163" s="5" t="str">
        <f>IF(ISBLANK(C163)," ",VLOOKUP(C163,Anggota!$C$5:$P$40,14,FALSE))</f>
        <v xml:space="preserve"> </v>
      </c>
      <c r="G163" s="8"/>
      <c r="H163" s="14" t="str">
        <f>IF(ISBLANK(C163)," ",VLOOKUP(C163,Anggota!$C$5:$P$50,4,FALSE))</f>
        <v xml:space="preserve"> </v>
      </c>
    </row>
    <row r="164" spans="2:8">
      <c r="B164" s="13" t="str">
        <f t="shared" si="3"/>
        <v/>
      </c>
      <c r="C164" s="342"/>
      <c r="D164" s="149"/>
      <c r="E164" s="35" t="str">
        <f>IF(ISBLANK(C164)," ",VLOOKUP(C164,Anggota!$C$5:$P$50,2,FALSE))</f>
        <v xml:space="preserve"> </v>
      </c>
      <c r="F164" s="5" t="str">
        <f>IF(ISBLANK(C164)," ",VLOOKUP(C164,Anggota!$C$5:$P$40,14,FALSE))</f>
        <v xml:space="preserve"> </v>
      </c>
      <c r="G164" s="8"/>
      <c r="H164" s="14" t="str">
        <f>IF(ISBLANK(C164)," ",VLOOKUP(C164,Anggota!$C$5:$P$50,4,FALSE))</f>
        <v xml:space="preserve"> </v>
      </c>
    </row>
    <row r="165" spans="2:8">
      <c r="B165" s="13" t="str">
        <f t="shared" si="3"/>
        <v/>
      </c>
      <c r="C165" s="342"/>
      <c r="D165" s="149"/>
      <c r="E165" s="35" t="str">
        <f>IF(ISBLANK(C165)," ",VLOOKUP(C165,Anggota!$C$5:$P$50,2,FALSE))</f>
        <v xml:space="preserve"> </v>
      </c>
      <c r="F165" s="5" t="str">
        <f>IF(ISBLANK(C165)," ",VLOOKUP(C165,Anggota!$C$5:$P$40,14,FALSE))</f>
        <v xml:space="preserve"> </v>
      </c>
      <c r="G165" s="8"/>
      <c r="H165" s="14" t="str">
        <f>IF(ISBLANK(C165)," ",VLOOKUP(C165,Anggota!$C$5:$P$50,4,FALSE))</f>
        <v xml:space="preserve"> </v>
      </c>
    </row>
    <row r="166" spans="2:8">
      <c r="B166" s="13" t="str">
        <f t="shared" si="3"/>
        <v/>
      </c>
      <c r="C166" s="342"/>
      <c r="D166" s="149"/>
      <c r="E166" s="35" t="str">
        <f>IF(ISBLANK(C166)," ",VLOOKUP(C166,Anggota!$C$5:$P$50,2,FALSE))</f>
        <v xml:space="preserve"> </v>
      </c>
      <c r="F166" s="5" t="str">
        <f>IF(ISBLANK(C166)," ",VLOOKUP(C166,Anggota!$C$5:$P$40,14,FALSE))</f>
        <v xml:space="preserve"> </v>
      </c>
      <c r="G166" s="8"/>
      <c r="H166" s="14" t="str">
        <f>IF(ISBLANK(C166)," ",VLOOKUP(C166,Anggota!$C$5:$P$50,4,FALSE))</f>
        <v xml:space="preserve"> </v>
      </c>
    </row>
    <row r="167" spans="2:8">
      <c r="B167" s="13" t="str">
        <f t="shared" si="3"/>
        <v/>
      </c>
      <c r="C167" s="342"/>
      <c r="D167" s="149"/>
      <c r="E167" s="35" t="str">
        <f>IF(ISBLANK(C167)," ",VLOOKUP(C167,Anggota!$C$5:$P$50,2,FALSE))</f>
        <v xml:space="preserve"> </v>
      </c>
      <c r="F167" s="5" t="str">
        <f>IF(ISBLANK(C167)," ",VLOOKUP(C167,Anggota!$C$5:$P$40,14,FALSE))</f>
        <v xml:space="preserve"> </v>
      </c>
      <c r="G167" s="8"/>
      <c r="H167" s="14" t="str">
        <f>IF(ISBLANK(C167)," ",VLOOKUP(C167,Anggota!$C$5:$P$50,4,FALSE))</f>
        <v xml:space="preserve"> </v>
      </c>
    </row>
    <row r="168" spans="2:8">
      <c r="B168" s="13" t="str">
        <f t="shared" si="3"/>
        <v/>
      </c>
      <c r="C168" s="342"/>
      <c r="D168" s="149"/>
      <c r="E168" s="35" t="str">
        <f>IF(ISBLANK(C168)," ",VLOOKUP(C168,Anggota!$C$5:$P$50,2,FALSE))</f>
        <v xml:space="preserve"> </v>
      </c>
      <c r="F168" s="5" t="str">
        <f>IF(ISBLANK(C168)," ",VLOOKUP(C168,Anggota!$C$5:$P$40,14,FALSE))</f>
        <v xml:space="preserve"> </v>
      </c>
      <c r="G168" s="8"/>
      <c r="H168" s="14" t="str">
        <f>IF(ISBLANK(C168)," ",VLOOKUP(C168,Anggota!$C$5:$P$50,4,FALSE))</f>
        <v xml:space="preserve"> </v>
      </c>
    </row>
    <row r="169" spans="2:8">
      <c r="B169" s="13" t="str">
        <f t="shared" si="3"/>
        <v/>
      </c>
      <c r="C169" s="342"/>
      <c r="D169" s="149"/>
      <c r="E169" s="35" t="str">
        <f>IF(ISBLANK(C169)," ",VLOOKUP(C169,Anggota!$C$5:$P$50,2,FALSE))</f>
        <v xml:space="preserve"> </v>
      </c>
      <c r="F169" s="5" t="str">
        <f>IF(ISBLANK(C169)," ",VLOOKUP(C169,Anggota!$C$5:$P$40,14,FALSE))</f>
        <v xml:space="preserve"> </v>
      </c>
      <c r="G169" s="8"/>
      <c r="H169" s="14" t="str">
        <f>IF(ISBLANK(C169)," ",VLOOKUP(C169,Anggota!$C$5:$P$50,4,FALSE))</f>
        <v xml:space="preserve"> </v>
      </c>
    </row>
    <row r="170" spans="2:8">
      <c r="B170" s="13" t="str">
        <f t="shared" si="3"/>
        <v/>
      </c>
      <c r="C170" s="342"/>
      <c r="D170" s="149"/>
      <c r="E170" s="35" t="str">
        <f>IF(ISBLANK(C170)," ",VLOOKUP(C170,Anggota!$C$5:$P$50,2,FALSE))</f>
        <v xml:space="preserve"> </v>
      </c>
      <c r="F170" s="5" t="str">
        <f>IF(ISBLANK(C170)," ",VLOOKUP(C170,Anggota!$C$5:$P$40,14,FALSE))</f>
        <v xml:space="preserve"> </v>
      </c>
      <c r="G170" s="8"/>
      <c r="H170" s="14" t="str">
        <f>IF(ISBLANK(C170)," ",VLOOKUP(C170,Anggota!$C$5:$P$50,4,FALSE))</f>
        <v xml:space="preserve"> </v>
      </c>
    </row>
    <row r="171" spans="2:8">
      <c r="B171" s="13" t="str">
        <f t="shared" si="3"/>
        <v/>
      </c>
      <c r="C171" s="342"/>
      <c r="D171" s="149"/>
      <c r="E171" s="35" t="str">
        <f>IF(ISBLANK(C171)," ",VLOOKUP(C171,Anggota!$C$5:$P$50,2,FALSE))</f>
        <v xml:space="preserve"> </v>
      </c>
      <c r="F171" s="5" t="str">
        <f>IF(ISBLANK(C171)," ",VLOOKUP(C171,Anggota!$C$5:$P$40,14,FALSE))</f>
        <v xml:space="preserve"> </v>
      </c>
      <c r="G171" s="8"/>
      <c r="H171" s="14" t="str">
        <f>IF(ISBLANK(C171)," ",VLOOKUP(C171,Anggota!$C$5:$P$50,4,FALSE))</f>
        <v xml:space="preserve"> </v>
      </c>
    </row>
    <row r="172" spans="2:8">
      <c r="B172" s="13" t="str">
        <f t="shared" si="3"/>
        <v/>
      </c>
      <c r="C172" s="342"/>
      <c r="D172" s="149"/>
      <c r="E172" s="35" t="str">
        <f>IF(ISBLANK(C172)," ",VLOOKUP(C172,Anggota!$C$5:$P$50,2,FALSE))</f>
        <v xml:space="preserve"> </v>
      </c>
      <c r="F172" s="5" t="str">
        <f>IF(ISBLANK(C172)," ",VLOOKUP(C172,Anggota!$C$5:$P$40,14,FALSE))</f>
        <v xml:space="preserve"> </v>
      </c>
      <c r="G172" s="8"/>
      <c r="H172" s="14" t="str">
        <f>IF(ISBLANK(C172)," ",VLOOKUP(C172,Anggota!$C$5:$P$50,4,FALSE))</f>
        <v xml:space="preserve"> </v>
      </c>
    </row>
    <row r="173" spans="2:8">
      <c r="B173" s="13" t="str">
        <f t="shared" si="3"/>
        <v/>
      </c>
      <c r="C173" s="342"/>
      <c r="D173" s="149"/>
      <c r="E173" s="35" t="str">
        <f>IF(ISBLANK(C173)," ",VLOOKUP(C173,Anggota!$C$5:$P$50,2,FALSE))</f>
        <v xml:space="preserve"> </v>
      </c>
      <c r="F173" s="5" t="str">
        <f>IF(ISBLANK(C173)," ",VLOOKUP(C173,Anggota!$C$5:$P$40,14,FALSE))</f>
        <v xml:space="preserve"> </v>
      </c>
      <c r="G173" s="8"/>
      <c r="H173" s="14" t="str">
        <f>IF(ISBLANK(C173)," ",VLOOKUP(C173,Anggota!$C$5:$P$50,4,FALSE))</f>
        <v xml:space="preserve"> </v>
      </c>
    </row>
    <row r="174" spans="2:8">
      <c r="B174" s="13" t="str">
        <f t="shared" si="3"/>
        <v/>
      </c>
      <c r="C174" s="342"/>
      <c r="D174" s="149"/>
      <c r="E174" s="35" t="str">
        <f>IF(ISBLANK(C174)," ",VLOOKUP(C174,Anggota!$C$5:$P$50,2,FALSE))</f>
        <v xml:space="preserve"> </v>
      </c>
      <c r="F174" s="5" t="str">
        <f>IF(ISBLANK(C174)," ",VLOOKUP(C174,Anggota!$C$5:$P$40,14,FALSE))</f>
        <v xml:space="preserve"> </v>
      </c>
      <c r="G174" s="8"/>
      <c r="H174" s="14" t="str">
        <f>IF(ISBLANK(C174)," ",VLOOKUP(C174,Anggota!$C$5:$P$50,4,FALSE))</f>
        <v xml:space="preserve"> </v>
      </c>
    </row>
    <row r="175" spans="2:8">
      <c r="B175" s="13" t="str">
        <f t="shared" si="3"/>
        <v/>
      </c>
      <c r="C175" s="342"/>
      <c r="D175" s="149"/>
      <c r="E175" s="35" t="str">
        <f>IF(ISBLANK(C175)," ",VLOOKUP(C175,Anggota!$C$5:$P$50,2,FALSE))</f>
        <v xml:space="preserve"> </v>
      </c>
      <c r="F175" s="5" t="str">
        <f>IF(ISBLANK(C175)," ",VLOOKUP(C175,Anggota!$C$5:$P$40,14,FALSE))</f>
        <v xml:space="preserve"> </v>
      </c>
      <c r="G175" s="8"/>
      <c r="H175" s="14" t="str">
        <f>IF(ISBLANK(C175)," ",VLOOKUP(C175,Anggota!$C$5:$P$50,4,FALSE))</f>
        <v xml:space="preserve"> </v>
      </c>
    </row>
    <row r="176" spans="2:8">
      <c r="B176" s="13" t="str">
        <f t="shared" si="3"/>
        <v/>
      </c>
      <c r="C176" s="342"/>
      <c r="D176" s="149"/>
      <c r="E176" s="35" t="str">
        <f>IF(ISBLANK(C176)," ",VLOOKUP(C176,Anggota!$C$5:$P$50,2,FALSE))</f>
        <v xml:space="preserve"> </v>
      </c>
      <c r="F176" s="5" t="str">
        <f>IF(ISBLANK(C176)," ",VLOOKUP(C176,Anggota!$C$5:$P$40,14,FALSE))</f>
        <v xml:space="preserve"> </v>
      </c>
      <c r="G176" s="8"/>
      <c r="H176" s="14" t="str">
        <f>IF(ISBLANK(C176)," ",VLOOKUP(C176,Anggota!$C$5:$P$50,4,FALSE))</f>
        <v xml:space="preserve"> </v>
      </c>
    </row>
    <row r="177" spans="2:8">
      <c r="B177" s="13" t="str">
        <f t="shared" si="3"/>
        <v/>
      </c>
      <c r="C177" s="342"/>
      <c r="D177" s="149"/>
      <c r="E177" s="35" t="str">
        <f>IF(ISBLANK(C177)," ",VLOOKUP(C177,Anggota!$C$5:$P$50,2,FALSE))</f>
        <v xml:space="preserve"> </v>
      </c>
      <c r="F177" s="5" t="str">
        <f>IF(ISBLANK(C177)," ",VLOOKUP(C177,Anggota!$C$5:$P$40,14,FALSE))</f>
        <v xml:space="preserve"> </v>
      </c>
      <c r="G177" s="8"/>
      <c r="H177" s="14" t="str">
        <f>IF(ISBLANK(C177)," ",VLOOKUP(C177,Anggota!$C$5:$P$50,4,FALSE))</f>
        <v xml:space="preserve"> </v>
      </c>
    </row>
    <row r="178" spans="2:8">
      <c r="B178" s="13" t="str">
        <f t="shared" si="3"/>
        <v/>
      </c>
      <c r="C178" s="342"/>
      <c r="D178" s="149"/>
      <c r="E178" s="35" t="str">
        <f>IF(ISBLANK(C178)," ",VLOOKUP(C178,Anggota!$C$5:$P$50,2,FALSE))</f>
        <v xml:space="preserve"> </v>
      </c>
      <c r="F178" s="5" t="str">
        <f>IF(ISBLANK(C178)," ",VLOOKUP(C178,Anggota!$C$5:$P$40,14,FALSE))</f>
        <v xml:space="preserve"> </v>
      </c>
      <c r="G178" s="8"/>
      <c r="H178" s="14" t="str">
        <f>IF(ISBLANK(C178)," ",VLOOKUP(C178,Anggota!$C$5:$P$50,4,FALSE))</f>
        <v xml:space="preserve"> </v>
      </c>
    </row>
    <row r="179" spans="2:8">
      <c r="B179" s="13" t="str">
        <f t="shared" si="3"/>
        <v/>
      </c>
      <c r="C179" s="342"/>
      <c r="D179" s="149"/>
      <c r="E179" s="35" t="str">
        <f>IF(ISBLANK(C179)," ",VLOOKUP(C179,Anggota!$C$5:$P$50,2,FALSE))</f>
        <v xml:space="preserve"> </v>
      </c>
      <c r="F179" s="5" t="str">
        <f>IF(ISBLANK(C179)," ",VLOOKUP(C179,Anggota!$C$5:$P$40,14,FALSE))</f>
        <v xml:space="preserve"> </v>
      </c>
      <c r="G179" s="8"/>
      <c r="H179" s="14" t="str">
        <f>IF(ISBLANK(C179)," ",VLOOKUP(C179,Anggota!$C$5:$P$50,4,FALSE))</f>
        <v xml:space="preserve"> </v>
      </c>
    </row>
    <row r="180" spans="2:8">
      <c r="B180" s="13" t="str">
        <f t="shared" si="3"/>
        <v/>
      </c>
      <c r="C180" s="342"/>
      <c r="D180" s="149"/>
      <c r="E180" s="35" t="str">
        <f>IF(ISBLANK(C180)," ",VLOOKUP(C180,Anggota!$C$5:$P$50,2,FALSE))</f>
        <v xml:space="preserve"> </v>
      </c>
      <c r="F180" s="5" t="str">
        <f>IF(ISBLANK(C180)," ",VLOOKUP(C180,Anggota!$C$5:$P$40,14,FALSE))</f>
        <v xml:space="preserve"> </v>
      </c>
      <c r="G180" s="8"/>
      <c r="H180" s="14" t="str">
        <f>IF(ISBLANK(C180)," ",VLOOKUP(C180,Anggota!$C$5:$P$50,4,FALSE))</f>
        <v xml:space="preserve"> </v>
      </c>
    </row>
    <row r="181" spans="2:8">
      <c r="B181" s="13" t="str">
        <f t="shared" si="3"/>
        <v/>
      </c>
      <c r="C181" s="342"/>
      <c r="D181" s="149"/>
      <c r="E181" s="35" t="str">
        <f>IF(ISBLANK(C181)," ",VLOOKUP(C181,Anggota!$C$5:$P$50,2,FALSE))</f>
        <v xml:space="preserve"> </v>
      </c>
      <c r="F181" s="5" t="str">
        <f>IF(ISBLANK(C181)," ",VLOOKUP(C181,Anggota!$C$5:$P$40,14,FALSE))</f>
        <v xml:space="preserve"> </v>
      </c>
      <c r="G181" s="8"/>
      <c r="H181" s="14" t="str">
        <f>IF(ISBLANK(C181)," ",VLOOKUP(C181,Anggota!$C$5:$P$50,4,FALSE))</f>
        <v xml:space="preserve"> </v>
      </c>
    </row>
    <row r="182" spans="2:8">
      <c r="B182" s="13" t="str">
        <f t="shared" si="3"/>
        <v/>
      </c>
      <c r="C182" s="342"/>
      <c r="D182" s="149"/>
      <c r="E182" s="35" t="str">
        <f>IF(ISBLANK(C182)," ",VLOOKUP(C182,Anggota!$C$5:$P$50,2,FALSE))</f>
        <v xml:space="preserve"> </v>
      </c>
      <c r="F182" s="5" t="str">
        <f>IF(ISBLANK(C182)," ",VLOOKUP(C182,Anggota!$C$5:$P$40,14,FALSE))</f>
        <v xml:space="preserve"> </v>
      </c>
      <c r="G182" s="8"/>
      <c r="H182" s="14" t="str">
        <f>IF(ISBLANK(C182)," ",VLOOKUP(C182,Anggota!$C$5:$P$50,4,FALSE))</f>
        <v xml:space="preserve"> </v>
      </c>
    </row>
    <row r="183" spans="2:8">
      <c r="B183" s="13" t="str">
        <f t="shared" si="3"/>
        <v/>
      </c>
      <c r="C183" s="342"/>
      <c r="D183" s="149"/>
      <c r="E183" s="35" t="str">
        <f>IF(ISBLANK(C183)," ",VLOOKUP(C183,Anggota!$C$5:$P$50,2,FALSE))</f>
        <v xml:space="preserve"> </v>
      </c>
      <c r="F183" s="5" t="str">
        <f>IF(ISBLANK(C183)," ",VLOOKUP(C183,Anggota!$C$5:$P$40,14,FALSE))</f>
        <v xml:space="preserve"> </v>
      </c>
      <c r="G183" s="8"/>
      <c r="H183" s="14" t="str">
        <f>IF(ISBLANK(C183)," ",VLOOKUP(C183,Anggota!$C$5:$P$50,4,FALSE))</f>
        <v xml:space="preserve"> </v>
      </c>
    </row>
    <row r="184" spans="2:8">
      <c r="B184" s="13" t="str">
        <f t="shared" si="3"/>
        <v/>
      </c>
      <c r="C184" s="342"/>
      <c r="D184" s="149"/>
      <c r="E184" s="35" t="str">
        <f>IF(ISBLANK(C184)," ",VLOOKUP(C184,Anggota!$C$5:$P$50,2,FALSE))</f>
        <v xml:space="preserve"> </v>
      </c>
      <c r="F184" s="5" t="str">
        <f>IF(ISBLANK(C184)," ",VLOOKUP(C184,Anggota!$C$5:$P$40,14,FALSE))</f>
        <v xml:space="preserve"> </v>
      </c>
      <c r="G184" s="8"/>
      <c r="H184" s="14" t="str">
        <f>IF(ISBLANK(C184)," ",VLOOKUP(C184,Anggota!$C$5:$P$50,4,FALSE))</f>
        <v xml:space="preserve"> </v>
      </c>
    </row>
    <row r="185" spans="2:8">
      <c r="B185" s="13" t="str">
        <f t="shared" si="3"/>
        <v/>
      </c>
      <c r="C185" s="342"/>
      <c r="D185" s="149"/>
      <c r="E185" s="35" t="str">
        <f>IF(ISBLANK(C185)," ",VLOOKUP(C185,Anggota!$C$5:$P$50,2,FALSE))</f>
        <v xml:space="preserve"> </v>
      </c>
      <c r="F185" s="5" t="str">
        <f>IF(ISBLANK(C185)," ",VLOOKUP(C185,Anggota!$C$5:$P$40,14,FALSE))</f>
        <v xml:space="preserve"> </v>
      </c>
      <c r="G185" s="8"/>
      <c r="H185" s="14" t="str">
        <f>IF(ISBLANK(C185)," ",VLOOKUP(C185,Anggota!$C$5:$P$50,4,FALSE))</f>
        <v xml:space="preserve"> </v>
      </c>
    </row>
    <row r="186" spans="2:8">
      <c r="B186" s="13" t="str">
        <f t="shared" si="3"/>
        <v/>
      </c>
      <c r="C186" s="342"/>
      <c r="D186" s="149"/>
      <c r="E186" s="35" t="str">
        <f>IF(ISBLANK(C186)," ",VLOOKUP(C186,Anggota!$C$5:$P$50,2,FALSE))</f>
        <v xml:space="preserve"> </v>
      </c>
      <c r="F186" s="5" t="str">
        <f>IF(ISBLANK(C186)," ",VLOOKUP(C186,Anggota!$C$5:$P$40,14,FALSE))</f>
        <v xml:space="preserve"> </v>
      </c>
      <c r="G186" s="8"/>
      <c r="H186" s="14" t="str">
        <f>IF(ISBLANK(C186)," ",VLOOKUP(C186,Anggota!$C$5:$P$50,4,FALSE))</f>
        <v xml:space="preserve"> </v>
      </c>
    </row>
    <row r="187" spans="2:8">
      <c r="B187" s="13" t="str">
        <f t="shared" si="3"/>
        <v/>
      </c>
      <c r="C187" s="342"/>
      <c r="D187" s="149"/>
      <c r="E187" s="35" t="str">
        <f>IF(ISBLANK(C187)," ",VLOOKUP(C187,Anggota!$C$5:$P$50,2,FALSE))</f>
        <v xml:space="preserve"> </v>
      </c>
      <c r="F187" s="5" t="str">
        <f>IF(ISBLANK(C187)," ",VLOOKUP(C187,Anggota!$C$5:$P$40,14,FALSE))</f>
        <v xml:space="preserve"> </v>
      </c>
      <c r="G187" s="8"/>
      <c r="H187" s="14" t="str">
        <f>IF(ISBLANK(C187)," ",VLOOKUP(C187,Anggota!$C$5:$P$50,4,FALSE))</f>
        <v xml:space="preserve"> </v>
      </c>
    </row>
    <row r="188" spans="2:8">
      <c r="B188" s="13" t="str">
        <f t="shared" si="3"/>
        <v/>
      </c>
      <c r="C188" s="342"/>
      <c r="D188" s="149"/>
      <c r="E188" s="35" t="str">
        <f>IF(ISBLANK(C188)," ",VLOOKUP(C188,Anggota!$C$5:$P$50,2,FALSE))</f>
        <v xml:space="preserve"> </v>
      </c>
      <c r="F188" s="5" t="str">
        <f>IF(ISBLANK(C188)," ",VLOOKUP(C188,Anggota!$C$5:$P$40,14,FALSE))</f>
        <v xml:space="preserve"> </v>
      </c>
      <c r="G188" s="8"/>
      <c r="H188" s="14" t="str">
        <f>IF(ISBLANK(C188)," ",VLOOKUP(C188,Anggota!$C$5:$P$50,4,FALSE))</f>
        <v xml:space="preserve"> </v>
      </c>
    </row>
    <row r="189" spans="2:8">
      <c r="B189" s="13" t="str">
        <f t="shared" si="3"/>
        <v/>
      </c>
      <c r="C189" s="342"/>
      <c r="D189" s="149"/>
      <c r="E189" s="35" t="str">
        <f>IF(ISBLANK(C189)," ",VLOOKUP(C189,Anggota!$C$5:$P$50,2,FALSE))</f>
        <v xml:space="preserve"> </v>
      </c>
      <c r="F189" s="5" t="str">
        <f>IF(ISBLANK(C189)," ",VLOOKUP(C189,Anggota!$C$5:$P$40,14,FALSE))</f>
        <v xml:space="preserve"> </v>
      </c>
      <c r="G189" s="8"/>
      <c r="H189" s="14" t="str">
        <f>IF(ISBLANK(C189)," ",VLOOKUP(C189,Anggota!$C$5:$P$50,4,FALSE))</f>
        <v xml:space="preserve"> </v>
      </c>
    </row>
    <row r="190" spans="2:8">
      <c r="B190" s="13" t="str">
        <f t="shared" si="3"/>
        <v/>
      </c>
      <c r="C190" s="342"/>
      <c r="D190" s="149"/>
      <c r="E190" s="35" t="str">
        <f>IF(ISBLANK(C190)," ",VLOOKUP(C190,Anggota!$C$5:$P$50,2,FALSE))</f>
        <v xml:space="preserve"> </v>
      </c>
      <c r="F190" s="5" t="str">
        <f>IF(ISBLANK(C190)," ",VLOOKUP(C190,Anggota!$C$5:$P$40,14,FALSE))</f>
        <v xml:space="preserve"> </v>
      </c>
      <c r="G190" s="8"/>
      <c r="H190" s="14" t="str">
        <f>IF(ISBLANK(C190)," ",VLOOKUP(C190,Anggota!$C$5:$P$50,4,FALSE))</f>
        <v xml:space="preserve"> </v>
      </c>
    </row>
    <row r="191" spans="2:8">
      <c r="B191" s="13" t="str">
        <f t="shared" si="3"/>
        <v/>
      </c>
      <c r="C191" s="342"/>
      <c r="D191" s="149"/>
      <c r="E191" s="35" t="str">
        <f>IF(ISBLANK(C191)," ",VLOOKUP(C191,Anggota!$C$5:$P$50,2,FALSE))</f>
        <v xml:space="preserve"> </v>
      </c>
      <c r="F191" s="5" t="str">
        <f>IF(ISBLANK(C191)," ",VLOOKUP(C191,Anggota!$C$5:$P$40,14,FALSE))</f>
        <v xml:space="preserve"> </v>
      </c>
      <c r="G191" s="8"/>
      <c r="H191" s="14" t="str">
        <f>IF(ISBLANK(C191)," ",VLOOKUP(C191,Anggota!$C$5:$P$50,4,FALSE))</f>
        <v xml:space="preserve"> </v>
      </c>
    </row>
    <row r="192" spans="2:8">
      <c r="B192" s="13" t="str">
        <f t="shared" si="3"/>
        <v/>
      </c>
      <c r="C192" s="342"/>
      <c r="D192" s="149"/>
      <c r="E192" s="35" t="str">
        <f>IF(ISBLANK(C192)," ",VLOOKUP(C192,Anggota!$C$5:$P$50,2,FALSE))</f>
        <v xml:space="preserve"> </v>
      </c>
      <c r="F192" s="5" t="str">
        <f>IF(ISBLANK(C192)," ",VLOOKUP(C192,Anggota!$C$5:$P$40,14,FALSE))</f>
        <v xml:space="preserve"> </v>
      </c>
      <c r="G192" s="8"/>
      <c r="H192" s="14" t="str">
        <f>IF(ISBLANK(C192)," ",VLOOKUP(C192,Anggota!$C$5:$P$50,4,FALSE))</f>
        <v xml:space="preserve"> </v>
      </c>
    </row>
    <row r="193" spans="2:8">
      <c r="B193" s="13" t="str">
        <f t="shared" si="3"/>
        <v/>
      </c>
      <c r="C193" s="342"/>
      <c r="D193" s="149"/>
      <c r="E193" s="35" t="str">
        <f>IF(ISBLANK(C193)," ",VLOOKUP(C193,Anggota!$C$5:$P$50,2,FALSE))</f>
        <v xml:space="preserve"> </v>
      </c>
      <c r="F193" s="5" t="str">
        <f>IF(ISBLANK(C193)," ",VLOOKUP(C193,Anggota!$C$5:$P$40,14,FALSE))</f>
        <v xml:space="preserve"> </v>
      </c>
      <c r="G193" s="8"/>
      <c r="H193" s="14" t="str">
        <f>IF(ISBLANK(C193)," ",VLOOKUP(C193,Anggota!$C$5:$P$50,4,FALSE))</f>
        <v xml:space="preserve"> </v>
      </c>
    </row>
    <row r="194" spans="2:8">
      <c r="B194" s="13" t="str">
        <f t="shared" si="3"/>
        <v/>
      </c>
      <c r="C194" s="342"/>
      <c r="D194" s="149"/>
      <c r="E194" s="35" t="str">
        <f>IF(ISBLANK(C194)," ",VLOOKUP(C194,Anggota!$C$5:$P$50,2,FALSE))</f>
        <v xml:space="preserve"> </v>
      </c>
      <c r="F194" s="5" t="str">
        <f>IF(ISBLANK(C194)," ",VLOOKUP(C194,Anggota!$C$5:$P$40,14,FALSE))</f>
        <v xml:space="preserve"> </v>
      </c>
      <c r="G194" s="8"/>
      <c r="H194" s="14" t="str">
        <f>IF(ISBLANK(C194)," ",VLOOKUP(C194,Anggota!$C$5:$P$50,4,FALSE))</f>
        <v xml:space="preserve"> </v>
      </c>
    </row>
    <row r="195" spans="2:8">
      <c r="B195" s="13" t="str">
        <f t="shared" si="3"/>
        <v/>
      </c>
      <c r="C195" s="342"/>
      <c r="D195" s="149"/>
      <c r="E195" s="35" t="str">
        <f>IF(ISBLANK(C195)," ",VLOOKUP(C195,Anggota!$C$5:$P$50,2,FALSE))</f>
        <v xml:space="preserve"> </v>
      </c>
      <c r="F195" s="5" t="str">
        <f>IF(ISBLANK(C195)," ",VLOOKUP(C195,Anggota!$C$5:$P$40,14,FALSE))</f>
        <v xml:space="preserve"> </v>
      </c>
      <c r="G195" s="8"/>
      <c r="H195" s="14" t="str">
        <f>IF(ISBLANK(C195)," ",VLOOKUP(C195,Anggota!$C$5:$P$50,4,FALSE))</f>
        <v xml:space="preserve"> </v>
      </c>
    </row>
    <row r="196" spans="2:8">
      <c r="B196" s="13" t="str">
        <f t="shared" si="3"/>
        <v/>
      </c>
      <c r="C196" s="342"/>
      <c r="D196" s="149"/>
      <c r="E196" s="35" t="str">
        <f>IF(ISBLANK(C196)," ",VLOOKUP(C196,Anggota!$C$5:$P$50,2,FALSE))</f>
        <v xml:space="preserve"> </v>
      </c>
      <c r="F196" s="5" t="str">
        <f>IF(ISBLANK(C196)," ",VLOOKUP(C196,Anggota!$C$5:$P$40,14,FALSE))</f>
        <v xml:space="preserve"> </v>
      </c>
      <c r="G196" s="8"/>
      <c r="H196" s="14" t="str">
        <f>IF(ISBLANK(C196)," ",VLOOKUP(C196,Anggota!$C$5:$P$50,4,FALSE))</f>
        <v xml:space="preserve"> </v>
      </c>
    </row>
    <row r="197" spans="2:8">
      <c r="B197" s="13" t="str">
        <f t="shared" si="3"/>
        <v/>
      </c>
      <c r="C197" s="342"/>
      <c r="D197" s="149"/>
      <c r="E197" s="35" t="str">
        <f>IF(ISBLANK(C197)," ",VLOOKUP(C197,Anggota!$C$5:$P$50,2,FALSE))</f>
        <v xml:space="preserve"> </v>
      </c>
      <c r="F197" s="5" t="str">
        <f>IF(ISBLANK(C197)," ",VLOOKUP(C197,Anggota!$C$5:$P$40,14,FALSE))</f>
        <v xml:space="preserve"> </v>
      </c>
      <c r="G197" s="8"/>
      <c r="H197" s="14" t="str">
        <f>IF(ISBLANK(C197)," ",VLOOKUP(C197,Anggota!$C$5:$P$50,4,FALSE))</f>
        <v xml:space="preserve"> </v>
      </c>
    </row>
    <row r="198" spans="2:8">
      <c r="B198" s="13" t="str">
        <f t="shared" si="3"/>
        <v/>
      </c>
      <c r="C198" s="342"/>
      <c r="D198" s="149"/>
      <c r="E198" s="35" t="str">
        <f>IF(ISBLANK(C198)," ",VLOOKUP(C198,Anggota!$C$5:$P$50,2,FALSE))</f>
        <v xml:space="preserve"> </v>
      </c>
      <c r="F198" s="5" t="str">
        <f>IF(ISBLANK(C198)," ",VLOOKUP(C198,Anggota!$C$5:$P$40,14,FALSE))</f>
        <v xml:space="preserve"> </v>
      </c>
      <c r="G198" s="8"/>
      <c r="H198" s="14" t="str">
        <f>IF(ISBLANK(C198)," ",VLOOKUP(C198,Anggota!$C$5:$P$50,4,FALSE))</f>
        <v xml:space="preserve"> </v>
      </c>
    </row>
    <row r="199" spans="2:8">
      <c r="B199" s="13" t="str">
        <f t="shared" si="3"/>
        <v/>
      </c>
      <c r="C199" s="342"/>
      <c r="D199" s="149"/>
      <c r="E199" s="35" t="str">
        <f>IF(ISBLANK(C199)," ",VLOOKUP(C199,Anggota!$C$5:$P$50,2,FALSE))</f>
        <v xml:space="preserve"> </v>
      </c>
      <c r="F199" s="5" t="str">
        <f>IF(ISBLANK(C199)," ",VLOOKUP(C199,Anggota!$C$5:$P$40,14,FALSE))</f>
        <v xml:space="preserve"> </v>
      </c>
      <c r="G199" s="8"/>
      <c r="H199" s="14" t="str">
        <f>IF(ISBLANK(C199)," ",VLOOKUP(C199,Anggota!$C$5:$P$50,4,FALSE))</f>
        <v xml:space="preserve"> </v>
      </c>
    </row>
    <row r="200" spans="2:8">
      <c r="B200" s="13" t="str">
        <f t="shared" si="3"/>
        <v/>
      </c>
      <c r="C200" s="342"/>
      <c r="D200" s="149"/>
      <c r="E200" s="35" t="str">
        <f>IF(ISBLANK(C200)," ",VLOOKUP(C200,Anggota!$C$5:$P$50,2,FALSE))</f>
        <v xml:space="preserve"> </v>
      </c>
      <c r="F200" s="5" t="str">
        <f>IF(ISBLANK(C200)," ",VLOOKUP(C200,Anggota!$C$5:$P$40,14,FALSE))</f>
        <v xml:space="preserve"> </v>
      </c>
      <c r="G200" s="8"/>
      <c r="H200" s="14" t="str">
        <f>IF(ISBLANK(C200)," ",VLOOKUP(C200,Anggota!$C$5:$P$50,4,FALSE))</f>
        <v xml:space="preserve"> </v>
      </c>
    </row>
    <row r="201" spans="2:8">
      <c r="B201" s="13" t="str">
        <f t="shared" si="3"/>
        <v/>
      </c>
      <c r="C201" s="342"/>
      <c r="D201" s="149"/>
      <c r="E201" s="35" t="str">
        <f>IF(ISBLANK(C201)," ",VLOOKUP(C201,Anggota!$C$5:$P$50,2,FALSE))</f>
        <v xml:space="preserve"> </v>
      </c>
      <c r="F201" s="5" t="str">
        <f>IF(ISBLANK(C201)," ",VLOOKUP(C201,Anggota!$C$5:$P$40,14,FALSE))</f>
        <v xml:space="preserve"> </v>
      </c>
      <c r="G201" s="8"/>
      <c r="H201" s="14" t="str">
        <f>IF(ISBLANK(C201)," ",VLOOKUP(C201,Anggota!$C$5:$P$50,4,FALSE))</f>
        <v xml:space="preserve"> </v>
      </c>
    </row>
    <row r="202" spans="2:8">
      <c r="B202" s="13" t="str">
        <f t="shared" si="3"/>
        <v/>
      </c>
      <c r="C202" s="342"/>
      <c r="D202" s="149"/>
      <c r="E202" s="35" t="str">
        <f>IF(ISBLANK(C202)," ",VLOOKUP(C202,Anggota!$C$5:$P$50,2,FALSE))</f>
        <v xml:space="preserve"> </v>
      </c>
      <c r="F202" s="5" t="str">
        <f>IF(ISBLANK(C202)," ",VLOOKUP(C202,Anggota!$C$5:$P$40,14,FALSE))</f>
        <v xml:space="preserve"> </v>
      </c>
      <c r="G202" s="8"/>
      <c r="H202" s="14" t="str">
        <f>IF(ISBLANK(C202)," ",VLOOKUP(C202,Anggota!$C$5:$P$50,4,FALSE))</f>
        <v xml:space="preserve"> </v>
      </c>
    </row>
    <row r="203" spans="2:8">
      <c r="B203" s="13" t="str">
        <f t="shared" si="3"/>
        <v/>
      </c>
      <c r="C203" s="342"/>
      <c r="D203" s="149"/>
      <c r="E203" s="35" t="str">
        <f>IF(ISBLANK(C203)," ",VLOOKUP(C203,Anggota!$C$5:$P$50,2,FALSE))</f>
        <v xml:space="preserve"> </v>
      </c>
      <c r="F203" s="5" t="str">
        <f>IF(ISBLANK(C203)," ",VLOOKUP(C203,Anggota!$C$5:$P$40,14,FALSE))</f>
        <v xml:space="preserve"> </v>
      </c>
      <c r="G203" s="8"/>
      <c r="H203" s="14" t="str">
        <f>IF(ISBLANK(C203)," ",VLOOKUP(C203,Anggota!$C$5:$P$50,4,FALSE))</f>
        <v xml:space="preserve"> </v>
      </c>
    </row>
    <row r="204" spans="2:8">
      <c r="B204" s="13" t="str">
        <f t="shared" si="3"/>
        <v/>
      </c>
      <c r="C204" s="342"/>
      <c r="D204" s="149"/>
      <c r="E204" s="35" t="str">
        <f>IF(ISBLANK(C204)," ",VLOOKUP(C204,Anggota!$C$5:$P$50,2,FALSE))</f>
        <v xml:space="preserve"> </v>
      </c>
      <c r="F204" s="5" t="str">
        <f>IF(ISBLANK(C204)," ",VLOOKUP(C204,Anggota!$C$5:$P$40,14,FALSE))</f>
        <v xml:space="preserve"> </v>
      </c>
      <c r="G204" s="8"/>
      <c r="H204" s="14" t="str">
        <f>IF(ISBLANK(C204)," ",VLOOKUP(C204,Anggota!$C$5:$P$50,4,FALSE))</f>
        <v xml:space="preserve"> </v>
      </c>
    </row>
    <row r="205" spans="2:8">
      <c r="B205" s="13" t="str">
        <f t="shared" si="3"/>
        <v/>
      </c>
      <c r="C205" s="342"/>
      <c r="D205" s="149"/>
      <c r="E205" s="35" t="str">
        <f>IF(ISBLANK(C205)," ",VLOOKUP(C205,Anggota!$C$5:$P$50,2,FALSE))</f>
        <v xml:space="preserve"> </v>
      </c>
      <c r="F205" s="5" t="str">
        <f>IF(ISBLANK(C205)," ",VLOOKUP(C205,Anggota!$C$5:$P$40,14,FALSE))</f>
        <v xml:space="preserve"> </v>
      </c>
      <c r="G205" s="8"/>
      <c r="H205" s="14" t="str">
        <f>IF(ISBLANK(C205)," ",VLOOKUP(C205,Anggota!$C$5:$P$50,4,FALSE))</f>
        <v xml:space="preserve"> </v>
      </c>
    </row>
    <row r="206" spans="2:8">
      <c r="B206" s="13" t="str">
        <f t="shared" si="3"/>
        <v/>
      </c>
      <c r="C206" s="342"/>
      <c r="D206" s="149"/>
      <c r="E206" s="35" t="str">
        <f>IF(ISBLANK(C206)," ",VLOOKUP(C206,Anggota!$C$5:$P$50,2,FALSE))</f>
        <v xml:space="preserve"> </v>
      </c>
      <c r="F206" s="5" t="str">
        <f>IF(ISBLANK(C206)," ",VLOOKUP(C206,Anggota!$C$5:$P$40,14,FALSE))</f>
        <v xml:space="preserve"> </v>
      </c>
      <c r="G206" s="8"/>
      <c r="H206" s="14" t="str">
        <f>IF(ISBLANK(C206)," ",VLOOKUP(C206,Anggota!$C$5:$P$50,4,FALSE))</f>
        <v xml:space="preserve"> </v>
      </c>
    </row>
    <row r="207" spans="2:8">
      <c r="B207" s="13" t="str">
        <f t="shared" si="3"/>
        <v/>
      </c>
      <c r="C207" s="342"/>
      <c r="D207" s="149"/>
      <c r="E207" s="35" t="str">
        <f>IF(ISBLANK(C207)," ",VLOOKUP(C207,Anggota!$C$5:$P$50,2,FALSE))</f>
        <v xml:space="preserve"> </v>
      </c>
      <c r="F207" s="5" t="str">
        <f>IF(ISBLANK(C207)," ",VLOOKUP(C207,Anggota!$C$5:$P$40,14,FALSE))</f>
        <v xml:space="preserve"> </v>
      </c>
      <c r="G207" s="8"/>
      <c r="H207" s="14" t="str">
        <f>IF(ISBLANK(C207)," ",VLOOKUP(C207,Anggota!$C$5:$P$50,4,FALSE))</f>
        <v xml:space="preserve"> </v>
      </c>
    </row>
    <row r="208" spans="2:8">
      <c r="B208" s="13" t="str">
        <f t="shared" si="3"/>
        <v/>
      </c>
      <c r="C208" s="342"/>
      <c r="D208" s="149"/>
      <c r="E208" s="35" t="str">
        <f>IF(ISBLANK(C208)," ",VLOOKUP(C208,Anggota!$C$5:$P$50,2,FALSE))</f>
        <v xml:space="preserve"> </v>
      </c>
      <c r="F208" s="5" t="str">
        <f>IF(ISBLANK(C208)," ",VLOOKUP(C208,Anggota!$C$5:$P$40,14,FALSE))</f>
        <v xml:space="preserve"> </v>
      </c>
      <c r="G208" s="8"/>
      <c r="H208" s="14" t="str">
        <f>IF(ISBLANK(C208)," ",VLOOKUP(C208,Anggota!$C$5:$P$50,4,FALSE))</f>
        <v xml:space="preserve"> </v>
      </c>
    </row>
    <row r="209" spans="2:8">
      <c r="B209" s="13" t="str">
        <f t="shared" si="3"/>
        <v/>
      </c>
      <c r="C209" s="342"/>
      <c r="D209" s="149"/>
      <c r="E209" s="35" t="str">
        <f>IF(ISBLANK(C209)," ",VLOOKUP(C209,Anggota!$C$5:$P$50,2,FALSE))</f>
        <v xml:space="preserve"> </v>
      </c>
      <c r="F209" s="5" t="str">
        <f>IF(ISBLANK(C209)," ",VLOOKUP(C209,Anggota!$C$5:$P$40,14,FALSE))</f>
        <v xml:space="preserve"> </v>
      </c>
      <c r="G209" s="8"/>
      <c r="H209" s="14" t="str">
        <f>IF(ISBLANK(C209)," ",VLOOKUP(C209,Anggota!$C$5:$P$50,4,FALSE))</f>
        <v xml:space="preserve"> </v>
      </c>
    </row>
    <row r="210" spans="2:8">
      <c r="B210" s="13" t="str">
        <f t="shared" si="3"/>
        <v/>
      </c>
      <c r="C210" s="342"/>
      <c r="D210" s="149"/>
      <c r="E210" s="35" t="str">
        <f>IF(ISBLANK(C210)," ",VLOOKUP(C210,Anggota!$C$5:$P$50,2,FALSE))</f>
        <v xml:space="preserve"> </v>
      </c>
      <c r="F210" s="5" t="str">
        <f>IF(ISBLANK(C210)," ",VLOOKUP(C210,Anggota!$C$5:$P$40,14,FALSE))</f>
        <v xml:space="preserve"> </v>
      </c>
      <c r="G210" s="8"/>
      <c r="H210" s="14" t="str">
        <f>IF(ISBLANK(C210)," ",VLOOKUP(C210,Anggota!$C$5:$P$50,4,FALSE))</f>
        <v xml:space="preserve"> </v>
      </c>
    </row>
    <row r="211" spans="2:8">
      <c r="B211" s="13" t="str">
        <f t="shared" si="3"/>
        <v/>
      </c>
      <c r="C211" s="342"/>
      <c r="D211" s="149"/>
      <c r="E211" s="35" t="str">
        <f>IF(ISBLANK(C211)," ",VLOOKUP(C211,Anggota!$C$5:$P$50,2,FALSE))</f>
        <v xml:space="preserve"> </v>
      </c>
      <c r="F211" s="5" t="str">
        <f>IF(ISBLANK(C211)," ",VLOOKUP(C211,Anggota!$C$5:$P$40,14,FALSE))</f>
        <v xml:space="preserve"> </v>
      </c>
      <c r="G211" s="8"/>
      <c r="H211" s="14" t="str">
        <f>IF(ISBLANK(C211)," ",VLOOKUP(C211,Anggota!$C$5:$P$50,4,FALSE))</f>
        <v xml:space="preserve"> </v>
      </c>
    </row>
    <row r="212" spans="2:8">
      <c r="B212" s="13" t="str">
        <f t="shared" si="3"/>
        <v/>
      </c>
      <c r="C212" s="342"/>
      <c r="D212" s="149"/>
      <c r="E212" s="35" t="str">
        <f>IF(ISBLANK(C212)," ",VLOOKUP(C212,Anggota!$C$5:$P$50,2,FALSE))</f>
        <v xml:space="preserve"> </v>
      </c>
      <c r="F212" s="5" t="str">
        <f>IF(ISBLANK(C212)," ",VLOOKUP(C212,Anggota!$C$5:$P$40,14,FALSE))</f>
        <v xml:space="preserve"> </v>
      </c>
      <c r="G212" s="8"/>
      <c r="H212" s="14" t="str">
        <f>IF(ISBLANK(C212)," ",VLOOKUP(C212,Anggota!$C$5:$P$50,4,FALSE))</f>
        <v xml:space="preserve"> </v>
      </c>
    </row>
    <row r="213" spans="2:8">
      <c r="B213" s="13" t="str">
        <f t="shared" si="3"/>
        <v/>
      </c>
      <c r="C213" s="342"/>
      <c r="D213" s="149"/>
      <c r="E213" s="35" t="str">
        <f>IF(ISBLANK(C213)," ",VLOOKUP(C213,Anggota!$C$5:$P$50,2,FALSE))</f>
        <v xml:space="preserve"> </v>
      </c>
      <c r="F213" s="5" t="str">
        <f>IF(ISBLANK(C213)," ",VLOOKUP(C213,Anggota!$C$5:$P$40,14,FALSE))</f>
        <v xml:space="preserve"> </v>
      </c>
      <c r="G213" s="8"/>
      <c r="H213" s="14" t="str">
        <f>IF(ISBLANK(C213)," ",VLOOKUP(C213,Anggota!$C$5:$P$50,4,FALSE))</f>
        <v xml:space="preserve"> </v>
      </c>
    </row>
    <row r="214" spans="2:8">
      <c r="B214" s="13" t="str">
        <f t="shared" si="3"/>
        <v/>
      </c>
      <c r="C214" s="342"/>
      <c r="D214" s="149"/>
      <c r="E214" s="35" t="str">
        <f>IF(ISBLANK(C214)," ",VLOOKUP(C214,Anggota!$C$5:$P$50,2,FALSE))</f>
        <v xml:space="preserve"> </v>
      </c>
      <c r="F214" s="5" t="str">
        <f>IF(ISBLANK(C214)," ",VLOOKUP(C214,Anggota!$C$5:$P$40,14,FALSE))</f>
        <v xml:space="preserve"> </v>
      </c>
      <c r="G214" s="8"/>
      <c r="H214" s="14" t="str">
        <f>IF(ISBLANK(C214)," ",VLOOKUP(C214,Anggota!$C$5:$P$50,4,FALSE))</f>
        <v xml:space="preserve"> </v>
      </c>
    </row>
    <row r="215" spans="2:8">
      <c r="B215" s="13" t="str">
        <f t="shared" si="3"/>
        <v/>
      </c>
      <c r="C215" s="342"/>
      <c r="D215" s="149"/>
      <c r="E215" s="35" t="str">
        <f>IF(ISBLANK(C215)," ",VLOOKUP(C215,Anggota!$C$5:$P$50,2,FALSE))</f>
        <v xml:space="preserve"> </v>
      </c>
      <c r="F215" s="5" t="str">
        <f>IF(ISBLANK(C215)," ",VLOOKUP(C215,Anggota!$C$5:$P$40,14,FALSE))</f>
        <v xml:space="preserve"> </v>
      </c>
      <c r="G215" s="8"/>
      <c r="H215" s="14" t="str">
        <f>IF(ISBLANK(C215)," ",VLOOKUP(C215,Anggota!$C$5:$P$50,4,FALSE))</f>
        <v xml:space="preserve"> </v>
      </c>
    </row>
    <row r="216" spans="2:8">
      <c r="B216" s="13" t="str">
        <f t="shared" si="3"/>
        <v/>
      </c>
      <c r="C216" s="342"/>
      <c r="D216" s="149"/>
      <c r="E216" s="35" t="str">
        <f>IF(ISBLANK(C216)," ",VLOOKUP(C216,Anggota!$C$5:$P$50,2,FALSE))</f>
        <v xml:space="preserve"> </v>
      </c>
      <c r="F216" s="5" t="str">
        <f>IF(ISBLANK(C216)," ",VLOOKUP(C216,Anggota!$C$5:$P$40,14,FALSE))</f>
        <v xml:space="preserve"> </v>
      </c>
      <c r="G216" s="8"/>
      <c r="H216" s="14" t="str">
        <f>IF(ISBLANK(C216)," ",VLOOKUP(C216,Anggota!$C$5:$P$50,4,FALSE))</f>
        <v xml:space="preserve"> </v>
      </c>
    </row>
    <row r="217" spans="2:8">
      <c r="B217" s="13" t="str">
        <f t="shared" si="3"/>
        <v/>
      </c>
      <c r="C217" s="342"/>
      <c r="D217" s="149"/>
      <c r="E217" s="35" t="str">
        <f>IF(ISBLANK(C217)," ",VLOOKUP(C217,Anggota!$C$5:$P$50,2,FALSE))</f>
        <v xml:space="preserve"> </v>
      </c>
      <c r="F217" s="5" t="str">
        <f>IF(ISBLANK(C217)," ",VLOOKUP(C217,Anggota!$C$5:$P$40,14,FALSE))</f>
        <v xml:space="preserve"> </v>
      </c>
      <c r="G217" s="8"/>
      <c r="H217" s="14" t="str">
        <f>IF(ISBLANK(C217)," ",VLOOKUP(C217,Anggota!$C$5:$P$50,4,FALSE))</f>
        <v xml:space="preserve"> </v>
      </c>
    </row>
    <row r="218" spans="2:8">
      <c r="B218" s="13" t="str">
        <f t="shared" si="3"/>
        <v/>
      </c>
      <c r="C218" s="342"/>
      <c r="D218" s="149"/>
      <c r="E218" s="35" t="str">
        <f>IF(ISBLANK(C218)," ",VLOOKUP(C218,Anggota!$C$5:$P$50,2,FALSE))</f>
        <v xml:space="preserve"> </v>
      </c>
      <c r="F218" s="5" t="str">
        <f>IF(ISBLANK(C218)," ",VLOOKUP(C218,Anggota!$C$5:$P$40,14,FALSE))</f>
        <v xml:space="preserve"> </v>
      </c>
      <c r="G218" s="8"/>
      <c r="H218" s="14" t="str">
        <f>IF(ISBLANK(C218)," ",VLOOKUP(C218,Anggota!$C$5:$P$50,4,FALSE))</f>
        <v xml:space="preserve"> </v>
      </c>
    </row>
    <row r="219" spans="2:8">
      <c r="B219" s="13" t="str">
        <f t="shared" si="3"/>
        <v/>
      </c>
      <c r="C219" s="342"/>
      <c r="D219" s="149"/>
      <c r="E219" s="35" t="str">
        <f>IF(ISBLANK(C219)," ",VLOOKUP(C219,Anggota!$C$5:$P$50,2,FALSE))</f>
        <v xml:space="preserve"> </v>
      </c>
      <c r="F219" s="5" t="str">
        <f>IF(ISBLANK(C219)," ",VLOOKUP(C219,Anggota!$C$5:$P$40,14,FALSE))</f>
        <v xml:space="preserve"> </v>
      </c>
      <c r="G219" s="8"/>
      <c r="H219" s="14" t="str">
        <f>IF(ISBLANK(C219)," ",VLOOKUP(C219,Anggota!$C$5:$P$50,4,FALSE))</f>
        <v xml:space="preserve"> </v>
      </c>
    </row>
    <row r="220" spans="2:8">
      <c r="B220" s="13" t="str">
        <f t="shared" si="3"/>
        <v/>
      </c>
      <c r="C220" s="342"/>
      <c r="D220" s="149"/>
      <c r="E220" s="35" t="str">
        <f>IF(ISBLANK(C220)," ",VLOOKUP(C220,Anggota!$C$5:$P$50,2,FALSE))</f>
        <v xml:space="preserve"> </v>
      </c>
      <c r="F220" s="5" t="str">
        <f>IF(ISBLANK(C220)," ",VLOOKUP(C220,Anggota!$C$5:$P$40,14,FALSE))</f>
        <v xml:space="preserve"> </v>
      </c>
      <c r="G220" s="8"/>
      <c r="H220" s="14" t="str">
        <f>IF(ISBLANK(C220)," ",VLOOKUP(C220,Anggota!$C$5:$P$50,4,FALSE))</f>
        <v xml:space="preserve"> </v>
      </c>
    </row>
    <row r="221" spans="2:8">
      <c r="B221" s="13" t="str">
        <f t="shared" si="3"/>
        <v/>
      </c>
      <c r="C221" s="342"/>
      <c r="D221" s="149"/>
      <c r="E221" s="35" t="str">
        <f>IF(ISBLANK(C221)," ",VLOOKUP(C221,Anggota!$C$5:$P$50,2,FALSE))</f>
        <v xml:space="preserve"> </v>
      </c>
      <c r="F221" s="5" t="str">
        <f>IF(ISBLANK(C221)," ",VLOOKUP(C221,Anggota!$C$5:$P$40,14,FALSE))</f>
        <v xml:space="preserve"> </v>
      </c>
      <c r="G221" s="8"/>
      <c r="H221" s="14" t="str">
        <f>IF(ISBLANK(C221)," ",VLOOKUP(C221,Anggota!$C$5:$P$50,4,FALSE))</f>
        <v xml:space="preserve"> </v>
      </c>
    </row>
    <row r="222" spans="2:8">
      <c r="B222" s="13" t="str">
        <f t="shared" si="3"/>
        <v/>
      </c>
      <c r="C222" s="342"/>
      <c r="D222" s="149"/>
      <c r="E222" s="35" t="str">
        <f>IF(ISBLANK(C222)," ",VLOOKUP(C222,Anggota!$C$5:$P$50,2,FALSE))</f>
        <v xml:space="preserve"> </v>
      </c>
      <c r="F222" s="5" t="str">
        <f>IF(ISBLANK(C222)," ",VLOOKUP(C222,Anggota!$C$5:$P$40,14,FALSE))</f>
        <v xml:space="preserve"> </v>
      </c>
      <c r="G222" s="8"/>
      <c r="H222" s="14" t="str">
        <f>IF(ISBLANK(C222)," ",VLOOKUP(C222,Anggota!$C$5:$P$50,4,FALSE))</f>
        <v xml:space="preserve"> </v>
      </c>
    </row>
    <row r="223" spans="2:8">
      <c r="B223" s="13" t="str">
        <f t="shared" ref="B223:B239" si="4">IF(C223="","",ROW()-4)</f>
        <v/>
      </c>
      <c r="C223" s="342"/>
      <c r="D223" s="149"/>
      <c r="E223" s="35" t="str">
        <f>IF(ISBLANK(C223)," ",VLOOKUP(C223,Anggota!$C$5:$P$50,2,FALSE))</f>
        <v xml:space="preserve"> </v>
      </c>
      <c r="F223" s="5" t="str">
        <f>IF(ISBLANK(C223)," ",VLOOKUP(C223,Anggota!$C$5:$P$40,14,FALSE))</f>
        <v xml:space="preserve"> </v>
      </c>
      <c r="G223" s="8"/>
      <c r="H223" s="14" t="str">
        <f>IF(ISBLANK(C223)," ",VLOOKUP(C223,Anggota!$C$5:$P$50,4,FALSE))</f>
        <v xml:space="preserve"> </v>
      </c>
    </row>
    <row r="224" spans="2:8">
      <c r="B224" s="13" t="str">
        <f t="shared" si="4"/>
        <v/>
      </c>
      <c r="C224" s="342"/>
      <c r="D224" s="149"/>
      <c r="E224" s="35" t="str">
        <f>IF(ISBLANK(C224)," ",VLOOKUP(C224,Anggota!$C$5:$P$50,2,FALSE))</f>
        <v xml:space="preserve"> </v>
      </c>
      <c r="F224" s="5" t="str">
        <f>IF(ISBLANK(C224)," ",VLOOKUP(C224,Anggota!$C$5:$P$40,14,FALSE))</f>
        <v xml:space="preserve"> </v>
      </c>
      <c r="G224" s="8"/>
      <c r="H224" s="14" t="str">
        <f>IF(ISBLANK(C224)," ",VLOOKUP(C224,Anggota!$C$5:$P$50,4,FALSE))</f>
        <v xml:space="preserve"> </v>
      </c>
    </row>
    <row r="225" spans="2:8">
      <c r="B225" s="13" t="str">
        <f t="shared" si="4"/>
        <v/>
      </c>
      <c r="C225" s="342"/>
      <c r="D225" s="149"/>
      <c r="E225" s="35" t="str">
        <f>IF(ISBLANK(C225)," ",VLOOKUP(C225,Anggota!$C$5:$P$50,2,FALSE))</f>
        <v xml:space="preserve"> </v>
      </c>
      <c r="F225" s="5" t="str">
        <f>IF(ISBLANK(C225)," ",VLOOKUP(C225,Anggota!$C$5:$P$40,14,FALSE))</f>
        <v xml:space="preserve"> </v>
      </c>
      <c r="G225" s="8"/>
      <c r="H225" s="14" t="str">
        <f>IF(ISBLANK(C225)," ",VLOOKUP(C225,Anggota!$C$5:$P$50,4,FALSE))</f>
        <v xml:space="preserve"> </v>
      </c>
    </row>
    <row r="226" spans="2:8">
      <c r="B226" s="13" t="str">
        <f t="shared" si="4"/>
        <v/>
      </c>
      <c r="C226" s="342"/>
      <c r="D226" s="149"/>
      <c r="E226" s="35" t="str">
        <f>IF(ISBLANK(C226)," ",VLOOKUP(C226,Anggota!$C$5:$P$50,2,FALSE))</f>
        <v xml:space="preserve"> </v>
      </c>
      <c r="F226" s="5" t="str">
        <f>IF(ISBLANK(C226)," ",VLOOKUP(C226,Anggota!$C$5:$P$40,14,FALSE))</f>
        <v xml:space="preserve"> </v>
      </c>
      <c r="G226" s="8"/>
      <c r="H226" s="14" t="str">
        <f>IF(ISBLANK(C226)," ",VLOOKUP(C226,Anggota!$C$5:$P$50,4,FALSE))</f>
        <v xml:space="preserve"> </v>
      </c>
    </row>
    <row r="227" spans="2:8">
      <c r="B227" s="13" t="str">
        <f t="shared" si="4"/>
        <v/>
      </c>
      <c r="C227" s="342"/>
      <c r="D227" s="149"/>
      <c r="E227" s="35" t="str">
        <f>IF(ISBLANK(C227)," ",VLOOKUP(C227,Anggota!$C$5:$P$50,2,FALSE))</f>
        <v xml:space="preserve"> </v>
      </c>
      <c r="F227" s="5" t="str">
        <f>IF(ISBLANK(C227)," ",VLOOKUP(C227,Anggota!$C$5:$P$40,14,FALSE))</f>
        <v xml:space="preserve"> </v>
      </c>
      <c r="G227" s="8"/>
      <c r="H227" s="14" t="str">
        <f>IF(ISBLANK(C227)," ",VLOOKUP(C227,Anggota!$C$5:$P$50,4,FALSE))</f>
        <v xml:space="preserve"> </v>
      </c>
    </row>
    <row r="228" spans="2:8">
      <c r="B228" s="13" t="str">
        <f t="shared" si="4"/>
        <v/>
      </c>
      <c r="C228" s="342"/>
      <c r="D228" s="149"/>
      <c r="E228" s="35" t="str">
        <f>IF(ISBLANK(C228)," ",VLOOKUP(C228,Anggota!$C$5:$P$50,2,FALSE))</f>
        <v xml:space="preserve"> </v>
      </c>
      <c r="F228" s="5" t="str">
        <f>IF(ISBLANK(C228)," ",VLOOKUP(C228,Anggota!$C$5:$P$40,14,FALSE))</f>
        <v xml:space="preserve"> </v>
      </c>
      <c r="G228" s="8"/>
      <c r="H228" s="14" t="str">
        <f>IF(ISBLANK(C228)," ",VLOOKUP(C228,Anggota!$C$5:$P$50,4,FALSE))</f>
        <v xml:space="preserve"> </v>
      </c>
    </row>
    <row r="229" spans="2:8">
      <c r="B229" s="13" t="str">
        <f t="shared" si="4"/>
        <v/>
      </c>
      <c r="C229" s="342"/>
      <c r="D229" s="149"/>
      <c r="E229" s="35" t="str">
        <f>IF(ISBLANK(C229)," ",VLOOKUP(C229,Anggota!$C$5:$P$50,2,FALSE))</f>
        <v xml:space="preserve"> </v>
      </c>
      <c r="F229" s="5" t="str">
        <f>IF(ISBLANK(C229)," ",VLOOKUP(C229,Anggota!$C$5:$P$40,14,FALSE))</f>
        <v xml:space="preserve"> </v>
      </c>
      <c r="G229" s="8"/>
      <c r="H229" s="14" t="str">
        <f>IF(ISBLANK(C229)," ",VLOOKUP(C229,Anggota!$C$5:$P$50,4,FALSE))</f>
        <v xml:space="preserve"> </v>
      </c>
    </row>
    <row r="230" spans="2:8">
      <c r="B230" s="13" t="str">
        <f t="shared" si="4"/>
        <v/>
      </c>
      <c r="C230" s="342"/>
      <c r="D230" s="149"/>
      <c r="E230" s="35" t="str">
        <f>IF(ISBLANK(C230)," ",VLOOKUP(C230,Anggota!$C$5:$P$50,2,FALSE))</f>
        <v xml:space="preserve"> </v>
      </c>
      <c r="F230" s="5" t="str">
        <f>IF(ISBLANK(C230)," ",VLOOKUP(C230,Anggota!$C$5:$P$40,14,FALSE))</f>
        <v xml:space="preserve"> </v>
      </c>
      <c r="G230" s="8"/>
      <c r="H230" s="14" t="str">
        <f>IF(ISBLANK(C230)," ",VLOOKUP(C230,Anggota!$C$5:$P$50,4,FALSE))</f>
        <v xml:space="preserve"> </v>
      </c>
    </row>
    <row r="231" spans="2:8">
      <c r="B231" s="13" t="str">
        <f t="shared" si="4"/>
        <v/>
      </c>
      <c r="C231" s="342"/>
      <c r="D231" s="149"/>
      <c r="E231" s="35" t="str">
        <f>IF(ISBLANK(C231)," ",VLOOKUP(C231,Anggota!$C$5:$P$50,2,FALSE))</f>
        <v xml:space="preserve"> </v>
      </c>
      <c r="F231" s="5" t="str">
        <f>IF(ISBLANK(C231)," ",VLOOKUP(C231,Anggota!$C$5:$P$40,14,FALSE))</f>
        <v xml:space="preserve"> </v>
      </c>
      <c r="G231" s="8"/>
      <c r="H231" s="14" t="str">
        <f>IF(ISBLANK(C231)," ",VLOOKUP(C231,Anggota!$C$5:$P$50,4,FALSE))</f>
        <v xml:space="preserve"> </v>
      </c>
    </row>
    <row r="232" spans="2:8">
      <c r="B232" s="13" t="str">
        <f t="shared" si="4"/>
        <v/>
      </c>
      <c r="C232" s="342"/>
      <c r="D232" s="149"/>
      <c r="E232" s="35" t="str">
        <f>IF(ISBLANK(C232)," ",VLOOKUP(C232,Anggota!$C$5:$P$50,2,FALSE))</f>
        <v xml:space="preserve"> </v>
      </c>
      <c r="F232" s="5" t="str">
        <f>IF(ISBLANK(C232)," ",VLOOKUP(C232,Anggota!$C$5:$P$40,14,FALSE))</f>
        <v xml:space="preserve"> </v>
      </c>
      <c r="G232" s="8"/>
      <c r="H232" s="14" t="str">
        <f>IF(ISBLANK(C232)," ",VLOOKUP(C232,Anggota!$C$5:$P$50,4,FALSE))</f>
        <v xml:space="preserve"> </v>
      </c>
    </row>
    <row r="233" spans="2:8">
      <c r="B233" s="13" t="str">
        <f t="shared" si="4"/>
        <v/>
      </c>
      <c r="C233" s="342"/>
      <c r="D233" s="149"/>
      <c r="E233" s="35" t="str">
        <f>IF(ISBLANK(C233)," ",VLOOKUP(C233,Anggota!$C$5:$P$50,2,FALSE))</f>
        <v xml:space="preserve"> </v>
      </c>
      <c r="F233" s="5" t="str">
        <f>IF(ISBLANK(C233)," ",VLOOKUP(C233,Anggota!$C$5:$P$40,14,FALSE))</f>
        <v xml:space="preserve"> </v>
      </c>
      <c r="G233" s="8"/>
      <c r="H233" s="14" t="str">
        <f>IF(ISBLANK(C233)," ",VLOOKUP(C233,Anggota!$C$5:$P$50,4,FALSE))</f>
        <v xml:space="preserve"> </v>
      </c>
    </row>
    <row r="234" spans="2:8">
      <c r="B234" s="13" t="str">
        <f t="shared" si="4"/>
        <v/>
      </c>
      <c r="C234" s="342"/>
      <c r="D234" s="149"/>
      <c r="E234" s="35" t="str">
        <f>IF(ISBLANK(C234)," ",VLOOKUP(C234,Anggota!$C$5:$P$50,2,FALSE))</f>
        <v xml:space="preserve"> </v>
      </c>
      <c r="F234" s="5" t="str">
        <f>IF(ISBLANK(C234)," ",VLOOKUP(C234,Anggota!$C$5:$P$40,14,FALSE))</f>
        <v xml:space="preserve"> </v>
      </c>
      <c r="G234" s="8"/>
      <c r="H234" s="14" t="str">
        <f>IF(ISBLANK(C234)," ",VLOOKUP(C234,Anggota!$C$5:$P$50,4,FALSE))</f>
        <v xml:space="preserve"> </v>
      </c>
    </row>
    <row r="235" spans="2:8">
      <c r="B235" s="13" t="str">
        <f t="shared" si="4"/>
        <v/>
      </c>
      <c r="C235" s="342"/>
      <c r="D235" s="149"/>
      <c r="E235" s="35" t="str">
        <f>IF(ISBLANK(C235)," ",VLOOKUP(C235,Anggota!$C$5:$P$50,2,FALSE))</f>
        <v xml:space="preserve"> </v>
      </c>
      <c r="F235" s="5" t="str">
        <f>IF(ISBLANK(C235)," ",VLOOKUP(C235,Anggota!$C$5:$P$40,14,FALSE))</f>
        <v xml:space="preserve"> </v>
      </c>
      <c r="G235" s="8"/>
      <c r="H235" s="14" t="str">
        <f>IF(ISBLANK(C235)," ",VLOOKUP(C235,Anggota!$C$5:$P$50,4,FALSE))</f>
        <v xml:space="preserve"> </v>
      </c>
    </row>
    <row r="236" spans="2:8">
      <c r="B236" s="13" t="str">
        <f t="shared" si="4"/>
        <v/>
      </c>
      <c r="C236" s="342"/>
      <c r="D236" s="149"/>
      <c r="E236" s="35" t="str">
        <f>IF(ISBLANK(C236)," ",VLOOKUP(C236,Anggota!$C$5:$P$50,2,FALSE))</f>
        <v xml:space="preserve"> </v>
      </c>
      <c r="F236" s="5" t="str">
        <f>IF(ISBLANK(C236)," ",VLOOKUP(C236,Anggota!$C$5:$P$40,14,FALSE))</f>
        <v xml:space="preserve"> </v>
      </c>
      <c r="G236" s="8"/>
      <c r="H236" s="14" t="str">
        <f>IF(ISBLANK(C236)," ",VLOOKUP(C236,Anggota!$C$5:$P$50,4,FALSE))</f>
        <v xml:space="preserve"> </v>
      </c>
    </row>
    <row r="237" spans="2:8">
      <c r="B237" s="13" t="str">
        <f t="shared" si="4"/>
        <v/>
      </c>
      <c r="C237" s="342"/>
      <c r="D237" s="149"/>
      <c r="E237" s="35" t="str">
        <f>IF(ISBLANK(C237)," ",VLOOKUP(C237,Anggota!$C$5:$P$50,2,FALSE))</f>
        <v xml:space="preserve"> </v>
      </c>
      <c r="F237" s="5" t="str">
        <f>IF(ISBLANK(C237)," ",VLOOKUP(C237,Anggota!$C$5:$P$40,14,FALSE))</f>
        <v xml:space="preserve"> </v>
      </c>
      <c r="G237" s="8"/>
      <c r="H237" s="14" t="str">
        <f>IF(ISBLANK(C237)," ",VLOOKUP(C237,Anggota!$C$5:$P$50,4,FALSE))</f>
        <v xml:space="preserve"> </v>
      </c>
    </row>
    <row r="238" spans="2:8">
      <c r="B238" s="13" t="str">
        <f t="shared" si="4"/>
        <v/>
      </c>
      <c r="C238" s="342"/>
      <c r="D238" s="149"/>
      <c r="E238" s="35" t="str">
        <f>IF(ISBLANK(C238)," ",VLOOKUP(C238,Anggota!$C$5:$P$50,2,FALSE))</f>
        <v xml:space="preserve"> </v>
      </c>
      <c r="F238" s="5" t="str">
        <f>IF(ISBLANK(C238)," ",VLOOKUP(C238,Anggota!$C$5:$P$40,14,FALSE))</f>
        <v xml:space="preserve"> </v>
      </c>
      <c r="G238" s="8"/>
      <c r="H238" s="14" t="str">
        <f>IF(ISBLANK(C238)," ",VLOOKUP(C238,Anggota!$C$5:$P$50,4,FALSE))</f>
        <v xml:space="preserve"> </v>
      </c>
    </row>
    <row r="239" spans="2:8" ht="15.75" thickBot="1">
      <c r="B239" s="36" t="str">
        <f t="shared" si="4"/>
        <v/>
      </c>
      <c r="C239" s="343"/>
      <c r="D239" s="150"/>
      <c r="E239" s="35" t="str">
        <f>IF(ISBLANK(C239)," ",VLOOKUP(C239,Anggota!$C$5:$P$40,2,FALSE))</f>
        <v xml:space="preserve"> </v>
      </c>
      <c r="F239" s="5" t="str">
        <f>IF(ISBLANK(C239)," ",VLOOKUP(C239,Anggota!$C$5:$P$40,14,FALSE))</f>
        <v xml:space="preserve"> </v>
      </c>
      <c r="G239" s="8"/>
      <c r="H239" s="40" t="str">
        <f>IF(ISBLANK(C239)," ",VLOOKUP(C239,Anggota!$C$5:$P$40,4,FALSE))</f>
        <v xml:space="preserve"> </v>
      </c>
    </row>
    <row r="240" spans="2:8">
      <c r="F240" s="256">
        <f>SUM(F5:F239)</f>
        <v>0</v>
      </c>
    </row>
    <row r="241" spans="6:6">
      <c r="F241" s="256" t="e">
        <f>#REF!</f>
        <v>#REF!</v>
      </c>
    </row>
    <row r="242" spans="6:6">
      <c r="F242" s="256" t="e">
        <f>F240-F241</f>
        <v>#REF!</v>
      </c>
    </row>
  </sheetData>
  <mergeCells count="3">
    <mergeCell ref="B1:H1"/>
    <mergeCell ref="B2:H2"/>
    <mergeCell ref="I4:J4"/>
  </mergeCells>
  <dataValidations count="1">
    <dataValidation type="list" allowBlank="1" showInputMessage="1" showErrorMessage="1" sqref="G5:G239" xr:uid="{D987FCD7-A3A2-4179-BC98-AFEE50A84873}">
      <formula1>"Potongan, Transfer"</formula1>
    </dataValidation>
  </dataValidations>
  <hyperlinks>
    <hyperlink ref="B3" r:id="rId1" display="www.belajaroffice.com" xr:uid="{00000000-0004-0000-0400-000000000000}"/>
  </hyperlinks>
  <pageMargins left="0.7" right="0.7" top="0.75" bottom="0.75" header="0.3" footer="0.3"/>
  <pageSetup paperSize="9" orientation="portrait" horizontalDpi="180" verticalDpi="180"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Anggota!$C$5:$C$40</xm:f>
          </x14:formula1>
          <xm:sqref>C239</xm:sqref>
        </x14:dataValidation>
        <x14:dataValidation type="list" allowBlank="1" showInputMessage="1" showErrorMessage="1" xr:uid="{00000000-0002-0000-0400-000002000000}">
          <x14:formula1>
            <xm:f>Anggota!$C$5:$C$141</xm:f>
          </x14:formula1>
          <xm:sqref>C5:C238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B1:T95"/>
  <sheetViews>
    <sheetView showGridLines="0" topLeftCell="F1" zoomScale="90" zoomScaleNormal="90" workbookViewId="0">
      <pane ySplit="7" topLeftCell="A8" activePane="bottomLeft" state="frozen"/>
      <selection pane="bottomLeft" activeCell="R15" sqref="R15"/>
    </sheetView>
  </sheetViews>
  <sheetFormatPr defaultRowHeight="15"/>
  <cols>
    <col min="1" max="1" width="2.5703125" style="1" customWidth="1"/>
    <col min="2" max="2" width="4.140625" style="9" customWidth="1"/>
    <col min="3" max="3" width="9.140625" style="9"/>
    <col min="4" max="4" width="10.140625" style="9" bestFit="1" customWidth="1"/>
    <col min="5" max="5" width="21.5703125" style="1" bestFit="1" customWidth="1"/>
    <col min="6" max="6" width="15.5703125" style="1" bestFit="1" customWidth="1"/>
    <col min="7" max="7" width="14.42578125" style="1" bestFit="1" customWidth="1"/>
    <col min="8" max="8" width="8.7109375" style="1" bestFit="1" customWidth="1"/>
    <col min="9" max="9" width="7.140625" style="7" bestFit="1" customWidth="1"/>
    <col min="10" max="10" width="13.140625" style="54" bestFit="1" customWidth="1"/>
    <col min="11" max="11" width="14.42578125" style="1" customWidth="1"/>
    <col min="12" max="12" width="13.42578125" style="1" customWidth="1"/>
    <col min="13" max="13" width="11.28515625" style="1" customWidth="1"/>
    <col min="14" max="14" width="16.7109375" style="1" bestFit="1" customWidth="1"/>
    <col min="15" max="15" width="16" style="1" bestFit="1" customWidth="1"/>
    <col min="16" max="16" width="16.85546875" style="1" bestFit="1" customWidth="1"/>
    <col min="17" max="17" width="12.85546875" style="1" customWidth="1"/>
    <col min="18" max="18" width="15.7109375" style="1" bestFit="1" customWidth="1"/>
    <col min="19" max="19" width="14.140625" style="1" bestFit="1" customWidth="1"/>
    <col min="20" max="16384" width="9.140625" style="1"/>
  </cols>
  <sheetData>
    <row r="1" spans="2:19" ht="20.25">
      <c r="C1" s="152"/>
      <c r="D1" s="152"/>
      <c r="E1" s="152"/>
      <c r="F1" s="429" t="s">
        <v>164</v>
      </c>
      <c r="G1" s="429"/>
      <c r="H1" s="429"/>
      <c r="I1" s="429"/>
      <c r="J1" s="429"/>
      <c r="K1" s="429"/>
      <c r="L1" s="429"/>
      <c r="M1" s="429"/>
      <c r="N1" s="429"/>
      <c r="O1" s="429"/>
      <c r="P1" s="429"/>
      <c r="Q1" s="429"/>
    </row>
    <row r="2" spans="2:19" ht="15.75">
      <c r="B2" s="151" t="s">
        <v>81</v>
      </c>
      <c r="C2" s="443">
        <f ca="1">NOW()</f>
        <v>44593.953634027777</v>
      </c>
      <c r="D2" s="443"/>
      <c r="E2" s="444"/>
      <c r="F2" s="430" t="s">
        <v>153</v>
      </c>
      <c r="G2" s="430"/>
      <c r="H2" s="430"/>
      <c r="I2" s="430"/>
      <c r="J2" s="430"/>
      <c r="K2" s="430"/>
      <c r="L2" s="430"/>
      <c r="M2" s="430"/>
      <c r="N2" s="430"/>
      <c r="O2" s="430"/>
      <c r="P2" s="430"/>
      <c r="Q2" s="430"/>
      <c r="R2" s="169"/>
    </row>
    <row r="3" spans="2:19" ht="8.25" customHeight="1">
      <c r="B3" s="151"/>
      <c r="C3" s="161"/>
      <c r="D3" s="223"/>
      <c r="E3" s="162"/>
      <c r="F3" s="159"/>
      <c r="G3" s="159"/>
      <c r="H3" s="159"/>
      <c r="I3" s="159"/>
      <c r="J3" s="159"/>
      <c r="K3" s="170"/>
      <c r="L3" s="159"/>
      <c r="M3" s="159"/>
      <c r="N3" s="159"/>
      <c r="O3" s="159"/>
      <c r="P3" s="159"/>
      <c r="Q3" s="159"/>
      <c r="R3" s="169"/>
    </row>
    <row r="4" spans="2:19" ht="10.5" customHeight="1">
      <c r="K4" s="172">
        <f>SUM(K8:K89)</f>
        <v>112500</v>
      </c>
      <c r="R4" s="171">
        <f>SUM(R8:R43)</f>
        <v>0</v>
      </c>
    </row>
    <row r="5" spans="2:19" s="9" customFormat="1" ht="10.5" customHeight="1" thickBot="1">
      <c r="C5" s="8">
        <v>1</v>
      </c>
      <c r="D5" s="8">
        <v>2</v>
      </c>
      <c r="E5" s="8">
        <v>3</v>
      </c>
      <c r="F5" s="8">
        <v>4</v>
      </c>
      <c r="G5" s="8">
        <v>5</v>
      </c>
      <c r="H5" s="8">
        <v>6</v>
      </c>
      <c r="I5" s="8">
        <v>7</v>
      </c>
      <c r="J5" s="8">
        <v>8</v>
      </c>
      <c r="K5" s="230">
        <v>9</v>
      </c>
      <c r="L5" s="8">
        <v>10</v>
      </c>
      <c r="M5" s="8">
        <v>11</v>
      </c>
      <c r="N5" s="8">
        <v>12</v>
      </c>
      <c r="O5" s="8">
        <v>13</v>
      </c>
      <c r="P5" s="8">
        <v>14</v>
      </c>
      <c r="Q5" s="8">
        <v>15</v>
      </c>
      <c r="R5" s="229">
        <v>16</v>
      </c>
    </row>
    <row r="6" spans="2:19" ht="15.75" customHeight="1">
      <c r="B6" s="440" t="s">
        <v>0</v>
      </c>
      <c r="C6" s="434" t="s">
        <v>145</v>
      </c>
      <c r="D6" s="434" t="s">
        <v>1</v>
      </c>
      <c r="E6" s="434" t="s">
        <v>14</v>
      </c>
      <c r="F6" s="434" t="s">
        <v>158</v>
      </c>
      <c r="G6" s="436" t="s">
        <v>31</v>
      </c>
      <c r="H6" s="442"/>
      <c r="I6" s="434" t="s">
        <v>13</v>
      </c>
      <c r="J6" s="434" t="s">
        <v>138</v>
      </c>
      <c r="K6" s="434" t="s">
        <v>6</v>
      </c>
      <c r="L6" s="434" t="s">
        <v>16</v>
      </c>
      <c r="M6" s="436" t="s">
        <v>128</v>
      </c>
      <c r="N6" s="442"/>
      <c r="O6" s="436" t="s">
        <v>27</v>
      </c>
      <c r="P6" s="437"/>
      <c r="Q6" s="435" t="s">
        <v>19</v>
      </c>
      <c r="R6" s="432" t="s">
        <v>165</v>
      </c>
    </row>
    <row r="7" spans="2:19" ht="15.75">
      <c r="B7" s="441"/>
      <c r="C7" s="435"/>
      <c r="D7" s="435"/>
      <c r="E7" s="435"/>
      <c r="F7" s="435"/>
      <c r="G7" s="160" t="s">
        <v>28</v>
      </c>
      <c r="H7" s="160" t="s">
        <v>21</v>
      </c>
      <c r="I7" s="435"/>
      <c r="J7" s="435"/>
      <c r="K7" s="435"/>
      <c r="L7" s="435"/>
      <c r="M7" s="163" t="s">
        <v>17</v>
      </c>
      <c r="N7" s="163" t="s">
        <v>18</v>
      </c>
      <c r="O7" s="160" t="s">
        <v>28</v>
      </c>
      <c r="P7" s="55" t="s">
        <v>21</v>
      </c>
      <c r="Q7" s="446"/>
      <c r="R7" s="433"/>
    </row>
    <row r="8" spans="2:19" ht="15" customHeight="1">
      <c r="B8" s="13">
        <f>IF(C8=" "," ",ROW()-7)</f>
        <v>1</v>
      </c>
      <c r="C8" s="8" t="str">
        <f>IFERROR(Anggota!C5," ")</f>
        <v>0119</v>
      </c>
      <c r="D8" s="224">
        <f>IFERROR(VLOOKUP(C8,Anggota!$C$5:$P$209,3,FALSE), " ")</f>
        <v>44593</v>
      </c>
      <c r="E8" s="341" t="str">
        <f>IFERROR(VLOOKUP(C8,Anggota!$C$5:$P$43,2,FALSE), " ")</f>
        <v>Anggota</v>
      </c>
      <c r="F8" s="56">
        <f>IFERROR(VLOOKUP(C8,Anggota!$C$5:$P$209,12,FALSE), " ")</f>
        <v>500000</v>
      </c>
      <c r="G8" s="5">
        <f>IFERROR(IF(OR(F8=0,F8&lt;I8)," ",(F8/I8))," ")</f>
        <v>166666.66666666666</v>
      </c>
      <c r="H8" s="57">
        <f>IFERROR(IF(OR(F8=0,F8&lt;I8)," ",(F8*J8/I8)), " ")</f>
        <v>37500</v>
      </c>
      <c r="I8" s="337">
        <f>IFERROR(VLOOKUP(C8,Anggota!$C$5:$P$209,13,FALSE), " ")</f>
        <v>3</v>
      </c>
      <c r="J8" s="469">
        <v>0.22500000000000001</v>
      </c>
      <c r="K8" s="60">
        <f>IFERROR(VLOOKUP(C8,Anggota!$C$5:$P$209,11,FALSE), " ")</f>
        <v>112500</v>
      </c>
      <c r="L8" s="8">
        <f>IFERROR(COUNTIF(Pembayaran!$C$5:$F$240,C8)," ")</f>
        <v>0</v>
      </c>
      <c r="M8" s="8">
        <f>IFERROR(I8-L8, " ")</f>
        <v>3</v>
      </c>
      <c r="N8" s="15">
        <f>IFERROR((G8+H8)*M8, " ")</f>
        <v>612500</v>
      </c>
      <c r="O8" s="155">
        <f>IFERROR(F8-G8*L8, " ")</f>
        <v>500000</v>
      </c>
      <c r="P8" s="155">
        <f>IFERROR(H8*M8, " ")</f>
        <v>112500</v>
      </c>
      <c r="Q8" s="8" t="str">
        <f>IF(C8=0, " ",IF(I8&lt;=L8,"LUNAS", "Belum Lunas"))</f>
        <v>Belum Lunas</v>
      </c>
      <c r="R8" s="58">
        <f>IFERROR(H8*L8, " ")</f>
        <v>0</v>
      </c>
      <c r="S8" s="274"/>
    </row>
    <row r="9" spans="2:19" ht="15.75" customHeight="1">
      <c r="B9" s="13">
        <f t="shared" ref="B9:B43" si="0">IF(C9=" "," ",ROW()-7)</f>
        <v>2</v>
      </c>
      <c r="C9" s="8">
        <f>Anggota!C6</f>
        <v>0</v>
      </c>
      <c r="D9" s="224" t="str">
        <f>IFERROR(VLOOKUP(C9,Anggota!$C$5:$P$209,3,FALSE), " ")</f>
        <v xml:space="preserve"> </v>
      </c>
      <c r="E9" s="341" t="str">
        <f>IFERROR(VLOOKUP(C9,Anggota!$C$5:$P$43,2,FALSE), " ")</f>
        <v xml:space="preserve"> </v>
      </c>
      <c r="F9" s="56" t="str">
        <f>IFERROR(VLOOKUP(C9,Anggota!$C$5:$P$209,8,FALSE), " ")</f>
        <v xml:space="preserve"> </v>
      </c>
      <c r="G9" s="5" t="str">
        <f t="shared" ref="G9:G43" si="1">IFERROR(IF(OR(F9=0,F9&lt;I9)," ",(F9/I9))," ")</f>
        <v xml:space="preserve"> </v>
      </c>
      <c r="H9" s="57" t="str">
        <f t="shared" ref="H9:H43" si="2">IFERROR(IF(OR(F9=0,F9&lt;I9)," ",(F9*J9/I9)), " ")</f>
        <v xml:space="preserve"> </v>
      </c>
      <c r="I9" s="337" t="str">
        <f>IFERROR(VLOOKUP(C9,Anggota!$C$5:$P$209,9,FALSE), " ")</f>
        <v xml:space="preserve"> </v>
      </c>
      <c r="J9" s="59" t="str">
        <f>IFERROR(VLOOKUP(C9,Anggota!$C$5:$P$209,10,FALSE), " ")</f>
        <v xml:space="preserve"> </v>
      </c>
      <c r="K9" s="60" t="str">
        <f>IFERROR(VLOOKUP(C9,Anggota!$C$5:$P$209,11,FALSE), " ")</f>
        <v xml:space="preserve"> </v>
      </c>
      <c r="L9" s="8">
        <f>IFERROR(COUNTIF(Pembayaran!$C$5:$F$240,C9)," ")</f>
        <v>1</v>
      </c>
      <c r="M9" s="8" t="str">
        <f t="shared" ref="M9:M43" si="3">IFERROR(I9-L9, " ")</f>
        <v xml:space="preserve"> </v>
      </c>
      <c r="N9" s="15" t="str">
        <f t="shared" ref="N9:N43" si="4">IFERROR(M9*K9, " ")</f>
        <v xml:space="preserve"> </v>
      </c>
      <c r="O9" s="155" t="str">
        <f t="shared" ref="O9:O43" si="5">IFERROR(F9-G9*L9, " ")</f>
        <v xml:space="preserve"> </v>
      </c>
      <c r="P9" s="155" t="str">
        <f t="shared" ref="P9:P43" si="6">IFERROR(H9*M9, " ")</f>
        <v xml:space="preserve"> </v>
      </c>
      <c r="Q9" s="8" t="str">
        <f t="shared" ref="Q9:Q43" si="7">IF(C9=0, " ",IF(I9&lt;=L9,"LUNAS", "Belum Lunas"))</f>
        <v xml:space="preserve"> </v>
      </c>
      <c r="R9" s="58" t="str">
        <f>IFERROR(VLOOKUP(C9,Anggota!$C$5:$P$43,12,FALSE)-F9, " ")</f>
        <v xml:space="preserve"> </v>
      </c>
      <c r="S9" s="274"/>
    </row>
    <row r="10" spans="2:19" ht="15" customHeight="1">
      <c r="B10" s="13">
        <f t="shared" si="0"/>
        <v>3</v>
      </c>
      <c r="C10" s="8">
        <f>Anggota!C7</f>
        <v>0</v>
      </c>
      <c r="D10" s="224" t="str">
        <f>IFERROR(VLOOKUP(C10,Anggota!$C$5:$P$209,3,FALSE), " ")</f>
        <v xml:space="preserve"> </v>
      </c>
      <c r="E10" s="341" t="str">
        <f>IFERROR(VLOOKUP(C10,Anggota!$C$5:$P$43,2,FALSE), " ")</f>
        <v xml:space="preserve"> </v>
      </c>
      <c r="F10" s="56" t="str">
        <f>IFERROR(VLOOKUP(C10,Anggota!$C$5:$P$209,8,FALSE), " ")</f>
        <v xml:space="preserve"> </v>
      </c>
      <c r="G10" s="5" t="str">
        <f t="shared" si="1"/>
        <v xml:space="preserve"> </v>
      </c>
      <c r="H10" s="57" t="str">
        <f t="shared" si="2"/>
        <v xml:space="preserve"> </v>
      </c>
      <c r="I10" s="337" t="str">
        <f>IFERROR(VLOOKUP(C10,Anggota!$C$5:$P$209,9,FALSE), " ")</f>
        <v xml:space="preserve"> </v>
      </c>
      <c r="J10" s="59" t="str">
        <f>IFERROR(VLOOKUP(C10,Anggota!$C$5:$P$209,10,FALSE), " ")</f>
        <v xml:space="preserve"> </v>
      </c>
      <c r="K10" s="60" t="str">
        <f>IFERROR(VLOOKUP(C10,Anggota!$C$5:$P$209,11,FALSE), " ")</f>
        <v xml:space="preserve"> </v>
      </c>
      <c r="L10" s="8">
        <f>IFERROR(COUNTIF(Pembayaran!$C$5:$F$240,C10)," ")</f>
        <v>1</v>
      </c>
      <c r="M10" s="8" t="str">
        <f t="shared" si="3"/>
        <v xml:space="preserve"> </v>
      </c>
      <c r="N10" s="15" t="str">
        <f t="shared" si="4"/>
        <v xml:space="preserve"> </v>
      </c>
      <c r="O10" s="155" t="str">
        <f t="shared" si="5"/>
        <v xml:space="preserve"> </v>
      </c>
      <c r="P10" s="155" t="str">
        <f t="shared" si="6"/>
        <v xml:space="preserve"> </v>
      </c>
      <c r="Q10" s="8" t="str">
        <f t="shared" si="7"/>
        <v xml:space="preserve"> </v>
      </c>
      <c r="R10" s="58" t="str">
        <f>IFERROR(VLOOKUP(C10,Anggota!$C$5:$P$43,12,FALSE)-F10, " ")</f>
        <v xml:space="preserve"> </v>
      </c>
      <c r="S10" s="274"/>
    </row>
    <row r="11" spans="2:19" ht="15.75" customHeight="1">
      <c r="B11" s="13">
        <f t="shared" si="0"/>
        <v>4</v>
      </c>
      <c r="C11" s="8">
        <f>Anggota!C8</f>
        <v>0</v>
      </c>
      <c r="D11" s="224" t="str">
        <f>IFERROR(VLOOKUP(C11,Anggota!$C$5:$P$209,3,FALSE), " ")</f>
        <v xml:space="preserve"> </v>
      </c>
      <c r="E11" s="341" t="str">
        <f>IFERROR(VLOOKUP(C11,Anggota!$C$5:$P$43,2,FALSE), " ")</f>
        <v xml:space="preserve"> </v>
      </c>
      <c r="F11" s="56" t="str">
        <f>IFERROR(VLOOKUP(C11,Anggota!$C$5:$P$209,8,FALSE), " ")</f>
        <v xml:space="preserve"> </v>
      </c>
      <c r="G11" s="5" t="str">
        <f t="shared" si="1"/>
        <v xml:space="preserve"> </v>
      </c>
      <c r="H11" s="57" t="str">
        <f t="shared" si="2"/>
        <v xml:space="preserve"> </v>
      </c>
      <c r="I11" s="337" t="str">
        <f>IFERROR(VLOOKUP(C11,Anggota!$C$5:$P$209,9,FALSE), " ")</f>
        <v xml:space="preserve"> </v>
      </c>
      <c r="J11" s="59" t="str">
        <f>IFERROR(VLOOKUP(C11,Anggota!$C$5:$P$209,10,FALSE), " ")</f>
        <v xml:space="preserve"> </v>
      </c>
      <c r="K11" s="60" t="str">
        <f>IFERROR(VLOOKUP(C11,Anggota!$C$5:$P$209,11,FALSE), " ")</f>
        <v xml:space="preserve"> </v>
      </c>
      <c r="L11" s="8">
        <f>IFERROR(COUNTIF(Pembayaran!$C$5:$F$240,C11)," ")</f>
        <v>1</v>
      </c>
      <c r="M11" s="8" t="str">
        <f t="shared" si="3"/>
        <v xml:space="preserve"> </v>
      </c>
      <c r="N11" s="15" t="str">
        <f t="shared" si="4"/>
        <v xml:space="preserve"> </v>
      </c>
      <c r="O11" s="155" t="str">
        <f t="shared" si="5"/>
        <v xml:space="preserve"> </v>
      </c>
      <c r="P11" s="155" t="str">
        <f t="shared" si="6"/>
        <v xml:space="preserve"> </v>
      </c>
      <c r="Q11" s="8" t="str">
        <f t="shared" si="7"/>
        <v xml:space="preserve"> </v>
      </c>
      <c r="R11" s="58" t="str">
        <f>IFERROR(VLOOKUP(C11,Anggota!$C$5:$P$43,12,FALSE)-F11, " ")</f>
        <v xml:space="preserve"> </v>
      </c>
      <c r="S11" s="274"/>
    </row>
    <row r="12" spans="2:19" ht="15" customHeight="1">
      <c r="B12" s="13">
        <f t="shared" si="0"/>
        <v>5</v>
      </c>
      <c r="C12" s="8">
        <f>Anggota!C9</f>
        <v>0</v>
      </c>
      <c r="D12" s="224" t="str">
        <f>IFERROR(VLOOKUP(C12,Anggota!$C$5:$P$209,3,FALSE), " ")</f>
        <v xml:space="preserve"> </v>
      </c>
      <c r="E12" s="341" t="str">
        <f>IFERROR(VLOOKUP(C12,Anggota!$C$5:$P$43,2,FALSE), " ")</f>
        <v xml:space="preserve"> </v>
      </c>
      <c r="F12" s="56" t="str">
        <f>IFERROR(VLOOKUP(C12,Anggota!$C$5:$P$209,8,FALSE), " ")</f>
        <v xml:space="preserve"> </v>
      </c>
      <c r="G12" s="5" t="str">
        <f t="shared" si="1"/>
        <v xml:space="preserve"> </v>
      </c>
      <c r="H12" s="57" t="str">
        <f t="shared" si="2"/>
        <v xml:space="preserve"> </v>
      </c>
      <c r="I12" s="337" t="str">
        <f>IFERROR(VLOOKUP(C12,Anggota!$C$5:$P$209,9,FALSE), " ")</f>
        <v xml:space="preserve"> </v>
      </c>
      <c r="J12" s="59" t="str">
        <f>IFERROR(VLOOKUP(C12,Anggota!$C$5:$P$209,10,FALSE), " ")</f>
        <v xml:space="preserve"> </v>
      </c>
      <c r="K12" s="60" t="str">
        <f>IFERROR(VLOOKUP(C12,Anggota!$C$5:$P$209,11,FALSE), " ")</f>
        <v xml:space="preserve"> </v>
      </c>
      <c r="L12" s="8">
        <f>IFERROR(COUNTIF(Pembayaran!$C$5:$F$240,C12)," ")</f>
        <v>1</v>
      </c>
      <c r="M12" s="8" t="str">
        <f t="shared" si="3"/>
        <v xml:space="preserve"> </v>
      </c>
      <c r="N12" s="15" t="str">
        <f t="shared" si="4"/>
        <v xml:space="preserve"> </v>
      </c>
      <c r="O12" s="155" t="str">
        <f t="shared" si="5"/>
        <v xml:space="preserve"> </v>
      </c>
      <c r="P12" s="155" t="str">
        <f t="shared" si="6"/>
        <v xml:space="preserve"> </v>
      </c>
      <c r="Q12" s="8" t="str">
        <f t="shared" si="7"/>
        <v xml:space="preserve"> </v>
      </c>
      <c r="R12" s="58" t="str">
        <f>IFERROR(VLOOKUP(C12,Anggota!$C$5:$P$43,12,FALSE)-F12, " ")</f>
        <v xml:space="preserve"> </v>
      </c>
      <c r="S12" s="274"/>
    </row>
    <row r="13" spans="2:19" ht="15.75" customHeight="1">
      <c r="B13" s="13">
        <f t="shared" si="0"/>
        <v>6</v>
      </c>
      <c r="C13" s="8">
        <f>Anggota!C10</f>
        <v>0</v>
      </c>
      <c r="D13" s="224" t="str">
        <f>IFERROR(VLOOKUP(C13,Anggota!$C$5:$P$209,3,FALSE), " ")</f>
        <v xml:space="preserve"> </v>
      </c>
      <c r="E13" s="341" t="str">
        <f>IFERROR(VLOOKUP(C13,Anggota!$C$5:$P$43,2,FALSE), " ")</f>
        <v xml:space="preserve"> </v>
      </c>
      <c r="F13" s="56" t="str">
        <f>IFERROR(VLOOKUP(C13,Anggota!$C$5:$P$209,8,FALSE), " ")</f>
        <v xml:space="preserve"> </v>
      </c>
      <c r="G13" s="5" t="str">
        <f t="shared" si="1"/>
        <v xml:space="preserve"> </v>
      </c>
      <c r="H13" s="57" t="str">
        <f t="shared" si="2"/>
        <v xml:space="preserve"> </v>
      </c>
      <c r="I13" s="337" t="str">
        <f>IFERROR(VLOOKUP(C13,Anggota!$C$5:$P$209,9,FALSE), " ")</f>
        <v xml:space="preserve"> </v>
      </c>
      <c r="J13" s="59" t="str">
        <f>IFERROR(VLOOKUP(C13,Anggota!$C$5:$P$209,10,FALSE), " ")</f>
        <v xml:space="preserve"> </v>
      </c>
      <c r="K13" s="60" t="str">
        <f>IFERROR(VLOOKUP(C13,Anggota!$C$5:$P$209,11,FALSE), " ")</f>
        <v xml:space="preserve"> </v>
      </c>
      <c r="L13" s="8">
        <f>IFERROR(COUNTIF(Pembayaran!$C$5:$F$240,C13)," ")</f>
        <v>1</v>
      </c>
      <c r="M13" s="8" t="str">
        <f t="shared" si="3"/>
        <v xml:space="preserve"> </v>
      </c>
      <c r="N13" s="15" t="str">
        <f t="shared" si="4"/>
        <v xml:space="preserve"> </v>
      </c>
      <c r="O13" s="155" t="str">
        <f t="shared" si="5"/>
        <v xml:space="preserve"> </v>
      </c>
      <c r="P13" s="155" t="str">
        <f t="shared" si="6"/>
        <v xml:space="preserve"> </v>
      </c>
      <c r="Q13" s="8" t="str">
        <f t="shared" si="7"/>
        <v xml:space="preserve"> </v>
      </c>
      <c r="R13" s="58" t="str">
        <f>IFERROR(VLOOKUP(C13,Anggota!$C$5:$P$43,12,FALSE)-F13, " ")</f>
        <v xml:space="preserve"> </v>
      </c>
      <c r="S13" s="274"/>
    </row>
    <row r="14" spans="2:19" ht="15" customHeight="1">
      <c r="B14" s="13">
        <f t="shared" si="0"/>
        <v>7</v>
      </c>
      <c r="C14" s="8">
        <f>Anggota!C11</f>
        <v>0</v>
      </c>
      <c r="D14" s="224" t="str">
        <f>IFERROR(VLOOKUP(C14,Anggota!$C$5:$P$209,3,FALSE), " ")</f>
        <v xml:space="preserve"> </v>
      </c>
      <c r="E14" s="341" t="str">
        <f>IFERROR(VLOOKUP(C14,Anggota!$C$5:$P$43,2,FALSE), " ")</f>
        <v xml:space="preserve"> </v>
      </c>
      <c r="F14" s="56" t="str">
        <f>IFERROR(VLOOKUP(C14,Anggota!$C$5:$P$209,8,FALSE), " ")</f>
        <v xml:space="preserve"> </v>
      </c>
      <c r="G14" s="5" t="str">
        <f t="shared" si="1"/>
        <v xml:space="preserve"> </v>
      </c>
      <c r="H14" s="57" t="str">
        <f t="shared" si="2"/>
        <v xml:space="preserve"> </v>
      </c>
      <c r="I14" s="337" t="str">
        <f>IFERROR(VLOOKUP(C14,Anggota!$C$5:$P$209,9,FALSE), " ")</f>
        <v xml:space="preserve"> </v>
      </c>
      <c r="J14" s="59" t="str">
        <f>IFERROR(VLOOKUP(C14,Anggota!$C$5:$P$209,10,FALSE), " ")</f>
        <v xml:space="preserve"> </v>
      </c>
      <c r="K14" s="60" t="str">
        <f>IFERROR(VLOOKUP(C14,Anggota!$C$5:$P$209,11,FALSE), " ")</f>
        <v xml:space="preserve"> </v>
      </c>
      <c r="L14" s="8">
        <f>IFERROR(COUNTIF(Pembayaran!$C$5:$F$240,C14)," ")</f>
        <v>1</v>
      </c>
      <c r="M14" s="8" t="str">
        <f t="shared" si="3"/>
        <v xml:space="preserve"> </v>
      </c>
      <c r="N14" s="15" t="str">
        <f t="shared" si="4"/>
        <v xml:space="preserve"> </v>
      </c>
      <c r="O14" s="155" t="str">
        <f t="shared" si="5"/>
        <v xml:space="preserve"> </v>
      </c>
      <c r="P14" s="155" t="str">
        <f t="shared" si="6"/>
        <v xml:space="preserve"> </v>
      </c>
      <c r="Q14" s="8" t="str">
        <f t="shared" si="7"/>
        <v xml:space="preserve"> </v>
      </c>
      <c r="R14" s="58" t="str">
        <f>IFERROR(VLOOKUP(C14,Anggota!$C$5:$P$43,12,FALSE)-F14, " ")</f>
        <v xml:space="preserve"> </v>
      </c>
      <c r="S14" s="274"/>
    </row>
    <row r="15" spans="2:19" ht="15.75" customHeight="1">
      <c r="B15" s="13">
        <f t="shared" si="0"/>
        <v>8</v>
      </c>
      <c r="C15" s="8">
        <f>Anggota!C12</f>
        <v>0</v>
      </c>
      <c r="D15" s="224" t="str">
        <f>IFERROR(VLOOKUP(C15,Anggota!$C$5:$P$209,3,FALSE), " ")</f>
        <v xml:space="preserve"> </v>
      </c>
      <c r="E15" s="341" t="str">
        <f>IFERROR(VLOOKUP(C15,Anggota!$C$5:$P$43,2,FALSE), " ")</f>
        <v xml:space="preserve"> </v>
      </c>
      <c r="F15" s="56" t="str">
        <f>IFERROR(VLOOKUP(C15,Anggota!$C$5:$P$209,8,FALSE), " ")</f>
        <v xml:space="preserve"> </v>
      </c>
      <c r="G15" s="5" t="str">
        <f t="shared" si="1"/>
        <v xml:space="preserve"> </v>
      </c>
      <c r="H15" s="57" t="str">
        <f t="shared" si="2"/>
        <v xml:space="preserve"> </v>
      </c>
      <c r="I15" s="337" t="str">
        <f>IFERROR(VLOOKUP(C15,Anggota!$C$5:$P$209,9,FALSE), " ")</f>
        <v xml:space="preserve"> </v>
      </c>
      <c r="J15" s="59" t="str">
        <f>IFERROR(VLOOKUP(C15,Anggota!$C$5:$P$209,10,FALSE), " ")</f>
        <v xml:space="preserve"> </v>
      </c>
      <c r="K15" s="60" t="str">
        <f>IFERROR(VLOOKUP(C15,Anggota!$C$5:$P$209,11,FALSE), " ")</f>
        <v xml:space="preserve"> </v>
      </c>
      <c r="L15" s="8">
        <f>IFERROR(COUNTIF(Pembayaran!$C$5:$F$240,C15)," ")</f>
        <v>1</v>
      </c>
      <c r="M15" s="8" t="str">
        <f t="shared" si="3"/>
        <v xml:space="preserve"> </v>
      </c>
      <c r="N15" s="15" t="str">
        <f t="shared" si="4"/>
        <v xml:space="preserve"> </v>
      </c>
      <c r="O15" s="155" t="str">
        <f t="shared" si="5"/>
        <v xml:space="preserve"> </v>
      </c>
      <c r="P15" s="155" t="str">
        <f t="shared" si="6"/>
        <v xml:space="preserve"> </v>
      </c>
      <c r="Q15" s="8" t="str">
        <f t="shared" si="7"/>
        <v xml:space="preserve"> </v>
      </c>
      <c r="R15" s="58" t="str">
        <f>IFERROR(VLOOKUP(C15,Anggota!$C$5:$P$43,12,FALSE)-F15, " ")</f>
        <v xml:space="preserve"> </v>
      </c>
      <c r="S15" s="274"/>
    </row>
    <row r="16" spans="2:19" ht="15" customHeight="1">
      <c r="B16" s="13">
        <f t="shared" si="0"/>
        <v>9</v>
      </c>
      <c r="C16" s="8">
        <f>Anggota!C13</f>
        <v>0</v>
      </c>
      <c r="D16" s="224" t="str">
        <f>IFERROR(VLOOKUP(C16,Anggota!$C$5:$P$209,3,FALSE), " ")</f>
        <v xml:space="preserve"> </v>
      </c>
      <c r="E16" s="341" t="str">
        <f>IFERROR(VLOOKUP(C16,Anggota!$C$5:$P$43,2,FALSE), " ")</f>
        <v xml:space="preserve"> </v>
      </c>
      <c r="F16" s="56" t="str">
        <f>IFERROR(VLOOKUP(C16,Anggota!$C$5:$P$209,8,FALSE), " ")</f>
        <v xml:space="preserve"> </v>
      </c>
      <c r="G16" s="5" t="str">
        <f t="shared" si="1"/>
        <v xml:space="preserve"> </v>
      </c>
      <c r="H16" s="57" t="str">
        <f t="shared" si="2"/>
        <v xml:space="preserve"> </v>
      </c>
      <c r="I16" s="337" t="str">
        <f>IFERROR(VLOOKUP(C16,Anggota!$C$5:$P$209,9,FALSE), " ")</f>
        <v xml:space="preserve"> </v>
      </c>
      <c r="J16" s="59" t="str">
        <f>IFERROR(VLOOKUP(C16,Anggota!$C$5:$P$209,10,FALSE), " ")</f>
        <v xml:space="preserve"> </v>
      </c>
      <c r="K16" s="60" t="str">
        <f>IFERROR(VLOOKUP(C16,Anggota!$C$5:$P$209,11,FALSE), " ")</f>
        <v xml:space="preserve"> </v>
      </c>
      <c r="L16" s="8">
        <f>IFERROR(COUNTIF(Pembayaran!$C$5:$F$240,C16)," ")</f>
        <v>1</v>
      </c>
      <c r="M16" s="8" t="str">
        <f t="shared" si="3"/>
        <v xml:space="preserve"> </v>
      </c>
      <c r="N16" s="15" t="str">
        <f t="shared" si="4"/>
        <v xml:space="preserve"> </v>
      </c>
      <c r="O16" s="155" t="str">
        <f t="shared" si="5"/>
        <v xml:space="preserve"> </v>
      </c>
      <c r="P16" s="155" t="str">
        <f t="shared" si="6"/>
        <v xml:space="preserve"> </v>
      </c>
      <c r="Q16" s="8" t="str">
        <f t="shared" si="7"/>
        <v xml:space="preserve"> </v>
      </c>
      <c r="R16" s="58" t="str">
        <f>IFERROR(VLOOKUP(C16,Anggota!$C$5:$P$43,12,FALSE)-F16, " ")</f>
        <v xml:space="preserve"> </v>
      </c>
      <c r="S16" s="274"/>
    </row>
    <row r="17" spans="2:19" ht="15.75" customHeight="1">
      <c r="B17" s="13">
        <f t="shared" si="0"/>
        <v>10</v>
      </c>
      <c r="C17" s="8">
        <f>Anggota!C14</f>
        <v>0</v>
      </c>
      <c r="D17" s="224" t="str">
        <f>IFERROR(VLOOKUP(C17,Anggota!$C$5:$P$209,3,FALSE), " ")</f>
        <v xml:space="preserve"> </v>
      </c>
      <c r="E17" s="341" t="str">
        <f>IFERROR(VLOOKUP(C17,Anggota!$C$5:$P$43,2,FALSE), " ")</f>
        <v xml:space="preserve"> </v>
      </c>
      <c r="F17" s="56" t="str">
        <f>IFERROR(VLOOKUP(C17,Anggota!$C$5:$P$209,8,FALSE), " ")</f>
        <v xml:space="preserve"> </v>
      </c>
      <c r="G17" s="5" t="str">
        <f t="shared" si="1"/>
        <v xml:space="preserve"> </v>
      </c>
      <c r="H17" s="57" t="str">
        <f t="shared" si="2"/>
        <v xml:space="preserve"> </v>
      </c>
      <c r="I17" s="337" t="str">
        <f>IFERROR(VLOOKUP(C17,Anggota!$C$5:$P$209,9,FALSE), " ")</f>
        <v xml:space="preserve"> </v>
      </c>
      <c r="J17" s="59" t="str">
        <f>IFERROR(VLOOKUP(C17,Anggota!$C$5:$P$209,10,FALSE), " ")</f>
        <v xml:space="preserve"> </v>
      </c>
      <c r="K17" s="60" t="str">
        <f>IFERROR(VLOOKUP(C17,Anggota!$C$5:$P$209,11,FALSE), " ")</f>
        <v xml:space="preserve"> </v>
      </c>
      <c r="L17" s="8">
        <f>IFERROR(COUNTIF(Pembayaran!$C$5:$F$240,C17)," ")</f>
        <v>1</v>
      </c>
      <c r="M17" s="8" t="str">
        <f t="shared" si="3"/>
        <v xml:space="preserve"> </v>
      </c>
      <c r="N17" s="15" t="str">
        <f t="shared" si="4"/>
        <v xml:space="preserve"> </v>
      </c>
      <c r="O17" s="155" t="str">
        <f t="shared" si="5"/>
        <v xml:space="preserve"> </v>
      </c>
      <c r="P17" s="155" t="str">
        <f t="shared" si="6"/>
        <v xml:space="preserve"> </v>
      </c>
      <c r="Q17" s="8" t="str">
        <f t="shared" si="7"/>
        <v xml:space="preserve"> </v>
      </c>
      <c r="R17" s="58" t="str">
        <f>IFERROR(VLOOKUP(C17,Anggota!$C$5:$P$43,12,FALSE)-F17, " ")</f>
        <v xml:space="preserve"> </v>
      </c>
      <c r="S17" s="274"/>
    </row>
    <row r="18" spans="2:19" ht="15" customHeight="1">
      <c r="B18" s="13">
        <f t="shared" si="0"/>
        <v>11</v>
      </c>
      <c r="C18" s="8">
        <f>Anggota!C15</f>
        <v>0</v>
      </c>
      <c r="D18" s="224" t="str">
        <f>IFERROR(VLOOKUP(C18,Anggota!$C$5:$P$209,3,FALSE), " ")</f>
        <v xml:space="preserve"> </v>
      </c>
      <c r="E18" s="341" t="str">
        <f>IFERROR(VLOOKUP(C18,Anggota!$C$5:$P$43,2,FALSE), " ")</f>
        <v xml:space="preserve"> </v>
      </c>
      <c r="F18" s="56" t="str">
        <f>IFERROR(VLOOKUP(C18,Anggota!$C$5:$P$209,8,FALSE), " ")</f>
        <v xml:space="preserve"> </v>
      </c>
      <c r="G18" s="5" t="str">
        <f t="shared" si="1"/>
        <v xml:space="preserve"> </v>
      </c>
      <c r="H18" s="57" t="str">
        <f t="shared" si="2"/>
        <v xml:space="preserve"> </v>
      </c>
      <c r="I18" s="337" t="str">
        <f>IFERROR(VLOOKUP(C18,Anggota!$C$5:$P$209,9,FALSE), " ")</f>
        <v xml:space="preserve"> </v>
      </c>
      <c r="J18" s="59" t="str">
        <f>IFERROR(VLOOKUP(C18,Anggota!$C$5:$P$209,10,FALSE), " ")</f>
        <v xml:space="preserve"> </v>
      </c>
      <c r="K18" s="60" t="str">
        <f>IFERROR(VLOOKUP(C18,Anggota!$C$5:$P$209,11,FALSE), " ")</f>
        <v xml:space="preserve"> </v>
      </c>
      <c r="L18" s="8">
        <f>IFERROR(COUNTIF(Pembayaran!$C$5:$F$240,C18)," ")</f>
        <v>1</v>
      </c>
      <c r="M18" s="8" t="str">
        <f t="shared" si="3"/>
        <v xml:space="preserve"> </v>
      </c>
      <c r="N18" s="15" t="str">
        <f t="shared" si="4"/>
        <v xml:space="preserve"> </v>
      </c>
      <c r="O18" s="155" t="str">
        <f t="shared" si="5"/>
        <v xml:space="preserve"> </v>
      </c>
      <c r="P18" s="155" t="str">
        <f t="shared" si="6"/>
        <v xml:space="preserve"> </v>
      </c>
      <c r="Q18" s="8" t="str">
        <f t="shared" si="7"/>
        <v xml:space="preserve"> </v>
      </c>
      <c r="R18" s="58" t="str">
        <f>IFERROR(VLOOKUP(C18,Anggota!$C$5:$P$43,12,FALSE)-F18, " ")</f>
        <v xml:space="preserve"> </v>
      </c>
      <c r="S18" s="274"/>
    </row>
    <row r="19" spans="2:19" ht="15.75" customHeight="1">
      <c r="B19" s="13">
        <f t="shared" si="0"/>
        <v>12</v>
      </c>
      <c r="C19" s="8">
        <f>Anggota!C16</f>
        <v>0</v>
      </c>
      <c r="D19" s="224" t="str">
        <f>IFERROR(VLOOKUP(C19,Anggota!$C$5:$P$209,3,FALSE), " ")</f>
        <v xml:space="preserve"> </v>
      </c>
      <c r="E19" s="341" t="str">
        <f>IFERROR(VLOOKUP(C19,Anggota!$C$5:$P$43,2,FALSE), " ")</f>
        <v xml:space="preserve"> </v>
      </c>
      <c r="F19" s="56" t="str">
        <f>IFERROR(VLOOKUP(C19,Anggota!$C$5:$P$209,8,FALSE), " ")</f>
        <v xml:space="preserve"> </v>
      </c>
      <c r="G19" s="5" t="str">
        <f t="shared" si="1"/>
        <v xml:space="preserve"> </v>
      </c>
      <c r="H19" s="57" t="str">
        <f t="shared" si="2"/>
        <v xml:space="preserve"> </v>
      </c>
      <c r="I19" s="337" t="str">
        <f>IFERROR(VLOOKUP(C19,Anggota!$C$5:$P$209,9,FALSE), " ")</f>
        <v xml:space="preserve"> </v>
      </c>
      <c r="J19" s="59" t="str">
        <f>IFERROR(VLOOKUP(C19,Anggota!$C$5:$P$209,10,FALSE), " ")</f>
        <v xml:space="preserve"> </v>
      </c>
      <c r="K19" s="60" t="str">
        <f>IFERROR(VLOOKUP(C19,Anggota!$C$5:$P$209,11,FALSE), " ")</f>
        <v xml:space="preserve"> </v>
      </c>
      <c r="L19" s="8">
        <f>IFERROR(COUNTIF(Pembayaran!$C$5:$F$240,C19)," ")</f>
        <v>1</v>
      </c>
      <c r="M19" s="8" t="str">
        <f t="shared" si="3"/>
        <v xml:space="preserve"> </v>
      </c>
      <c r="N19" s="15" t="str">
        <f t="shared" si="4"/>
        <v xml:space="preserve"> </v>
      </c>
      <c r="O19" s="155" t="str">
        <f t="shared" si="5"/>
        <v xml:space="preserve"> </v>
      </c>
      <c r="P19" s="155" t="str">
        <f t="shared" si="6"/>
        <v xml:space="preserve"> </v>
      </c>
      <c r="Q19" s="8" t="str">
        <f t="shared" si="7"/>
        <v xml:space="preserve"> </v>
      </c>
      <c r="R19" s="58" t="str">
        <f>IFERROR(VLOOKUP(C19,Anggota!$C$5:$P$43,12,FALSE)-F19, " ")</f>
        <v xml:space="preserve"> </v>
      </c>
      <c r="S19" s="274"/>
    </row>
    <row r="20" spans="2:19" ht="15" customHeight="1">
      <c r="B20" s="13">
        <f t="shared" si="0"/>
        <v>13</v>
      </c>
      <c r="C20" s="8">
        <f>Anggota!C17</f>
        <v>0</v>
      </c>
      <c r="D20" s="224" t="str">
        <f>IFERROR(VLOOKUP(C20,Anggota!$C$5:$P$209,3,FALSE), " ")</f>
        <v xml:space="preserve"> </v>
      </c>
      <c r="E20" s="341" t="str">
        <f>IFERROR(VLOOKUP(C20,Anggota!$C$5:$P$43,2,FALSE), " ")</f>
        <v xml:space="preserve"> </v>
      </c>
      <c r="F20" s="56" t="str">
        <f>IFERROR(VLOOKUP(C20,Anggota!$C$5:$P$209,8,FALSE), " ")</f>
        <v xml:space="preserve"> </v>
      </c>
      <c r="G20" s="5" t="str">
        <f t="shared" si="1"/>
        <v xml:space="preserve"> </v>
      </c>
      <c r="H20" s="57" t="str">
        <f t="shared" si="2"/>
        <v xml:space="preserve"> </v>
      </c>
      <c r="I20" s="337" t="str">
        <f>IFERROR(VLOOKUP(C20,Anggota!$C$5:$P$209,9,FALSE), " ")</f>
        <v xml:space="preserve"> </v>
      </c>
      <c r="J20" s="59" t="str">
        <f>IFERROR(VLOOKUP(C20,Anggota!$C$5:$P$209,10,FALSE), " ")</f>
        <v xml:space="preserve"> </v>
      </c>
      <c r="K20" s="60" t="str">
        <f>IFERROR(VLOOKUP(C20,Anggota!$C$5:$P$209,11,FALSE), " ")</f>
        <v xml:space="preserve"> </v>
      </c>
      <c r="L20" s="8">
        <f>IFERROR(COUNTIF(Pembayaran!$C$5:$F$240,C20)," ")</f>
        <v>1</v>
      </c>
      <c r="M20" s="8" t="str">
        <f t="shared" si="3"/>
        <v xml:space="preserve"> </v>
      </c>
      <c r="N20" s="15" t="str">
        <f t="shared" si="4"/>
        <v xml:space="preserve"> </v>
      </c>
      <c r="O20" s="155" t="str">
        <f t="shared" si="5"/>
        <v xml:space="preserve"> </v>
      </c>
      <c r="P20" s="155" t="str">
        <f t="shared" si="6"/>
        <v xml:space="preserve"> </v>
      </c>
      <c r="Q20" s="8" t="str">
        <f t="shared" si="7"/>
        <v xml:space="preserve"> </v>
      </c>
      <c r="R20" s="58" t="str">
        <f>IFERROR(VLOOKUP(C20,Anggota!$C$5:$P$43,12,FALSE)-F20, " ")</f>
        <v xml:space="preserve"> </v>
      </c>
      <c r="S20" s="274"/>
    </row>
    <row r="21" spans="2:19" ht="15.75" customHeight="1">
      <c r="B21" s="13">
        <f t="shared" si="0"/>
        <v>14</v>
      </c>
      <c r="C21" s="8">
        <f>Anggota!C18</f>
        <v>0</v>
      </c>
      <c r="D21" s="224" t="str">
        <f>IFERROR(VLOOKUP(C21,Anggota!$C$5:$P$209,3,FALSE), " ")</f>
        <v xml:space="preserve"> </v>
      </c>
      <c r="E21" s="341" t="str">
        <f>IFERROR(VLOOKUP(C21,Anggota!$C$5:$P$43,2,FALSE), " ")</f>
        <v xml:space="preserve"> </v>
      </c>
      <c r="F21" s="56" t="str">
        <f>IFERROR(VLOOKUP(C21,Anggota!$C$5:$P$209,8,FALSE), " ")</f>
        <v xml:space="preserve"> </v>
      </c>
      <c r="G21" s="5" t="str">
        <f t="shared" si="1"/>
        <v xml:space="preserve"> </v>
      </c>
      <c r="H21" s="57" t="str">
        <f t="shared" si="2"/>
        <v xml:space="preserve"> </v>
      </c>
      <c r="I21" s="337" t="str">
        <f>IFERROR(VLOOKUP(C21,Anggota!$C$5:$P$209,9,FALSE), " ")</f>
        <v xml:space="preserve"> </v>
      </c>
      <c r="J21" s="59" t="str">
        <f>IFERROR(VLOOKUP(C21,Anggota!$C$5:$P$209,10,FALSE), " ")</f>
        <v xml:space="preserve"> </v>
      </c>
      <c r="K21" s="60" t="str">
        <f>IFERROR(VLOOKUP(C21,Anggota!$C$5:$P$209,11,FALSE), " ")</f>
        <v xml:space="preserve"> </v>
      </c>
      <c r="L21" s="8">
        <f>IFERROR(COUNTIF(Pembayaran!$C$5:$F$240,C21)," ")</f>
        <v>1</v>
      </c>
      <c r="M21" s="8" t="str">
        <f t="shared" si="3"/>
        <v xml:space="preserve"> </v>
      </c>
      <c r="N21" s="15" t="str">
        <f t="shared" si="4"/>
        <v xml:space="preserve"> </v>
      </c>
      <c r="O21" s="155" t="str">
        <f t="shared" si="5"/>
        <v xml:space="preserve"> </v>
      </c>
      <c r="P21" s="155" t="str">
        <f t="shared" si="6"/>
        <v xml:space="preserve"> </v>
      </c>
      <c r="Q21" s="8" t="str">
        <f t="shared" si="7"/>
        <v xml:space="preserve"> </v>
      </c>
      <c r="R21" s="58" t="str">
        <f>IFERROR(VLOOKUP(C21,Anggota!$C$5:$P$43,12,FALSE)-F21, " ")</f>
        <v xml:space="preserve"> </v>
      </c>
      <c r="S21" s="274"/>
    </row>
    <row r="22" spans="2:19" ht="15" customHeight="1">
      <c r="B22" s="13">
        <f t="shared" si="0"/>
        <v>15</v>
      </c>
      <c r="C22" s="8">
        <f>Anggota!C19</f>
        <v>0</v>
      </c>
      <c r="D22" s="224" t="str">
        <f>IFERROR(VLOOKUP(C22,Anggota!$C$5:$P$209,3,FALSE), " ")</f>
        <v xml:space="preserve"> </v>
      </c>
      <c r="E22" s="341" t="str">
        <f>IFERROR(VLOOKUP(C22,Anggota!$C$5:$P$43,2,FALSE), " ")</f>
        <v xml:space="preserve"> </v>
      </c>
      <c r="F22" s="56" t="str">
        <f>IFERROR(VLOOKUP(C22,Anggota!$C$5:$P$209,8,FALSE), " ")</f>
        <v xml:space="preserve"> </v>
      </c>
      <c r="G22" s="5" t="str">
        <f t="shared" si="1"/>
        <v xml:space="preserve"> </v>
      </c>
      <c r="H22" s="57" t="str">
        <f t="shared" si="2"/>
        <v xml:space="preserve"> </v>
      </c>
      <c r="I22" s="337" t="str">
        <f>IFERROR(VLOOKUP(C22,Anggota!$C$5:$P$209,9,FALSE), " ")</f>
        <v xml:space="preserve"> </v>
      </c>
      <c r="J22" s="59" t="str">
        <f>IFERROR(VLOOKUP(C22,Anggota!$C$5:$P$209,10,FALSE), " ")</f>
        <v xml:space="preserve"> </v>
      </c>
      <c r="K22" s="60" t="str">
        <f>IFERROR(VLOOKUP(C22,Anggota!$C$5:$P$209,11,FALSE), " ")</f>
        <v xml:space="preserve"> </v>
      </c>
      <c r="L22" s="8">
        <f>IFERROR(COUNTIF(Pembayaran!$C$5:$F$240,C22)," ")</f>
        <v>1</v>
      </c>
      <c r="M22" s="8" t="str">
        <f t="shared" si="3"/>
        <v xml:space="preserve"> </v>
      </c>
      <c r="N22" s="15" t="str">
        <f t="shared" si="4"/>
        <v xml:space="preserve"> </v>
      </c>
      <c r="O22" s="155" t="str">
        <f t="shared" si="5"/>
        <v xml:space="preserve"> </v>
      </c>
      <c r="P22" s="155" t="str">
        <f t="shared" si="6"/>
        <v xml:space="preserve"> </v>
      </c>
      <c r="Q22" s="8" t="str">
        <f t="shared" si="7"/>
        <v xml:space="preserve"> </v>
      </c>
      <c r="R22" s="58" t="str">
        <f>IFERROR(VLOOKUP(C22,Anggota!$C$5:$P$43,12,FALSE)-F22, " ")</f>
        <v xml:space="preserve"> </v>
      </c>
      <c r="S22" s="274"/>
    </row>
    <row r="23" spans="2:19" ht="15.75" customHeight="1">
      <c r="B23" s="13">
        <f t="shared" si="0"/>
        <v>16</v>
      </c>
      <c r="C23" s="8">
        <f>Anggota!C20</f>
        <v>0</v>
      </c>
      <c r="D23" s="224" t="str">
        <f>IFERROR(VLOOKUP(C23,Anggota!$C$5:$P$209,3,FALSE), " ")</f>
        <v xml:space="preserve"> </v>
      </c>
      <c r="E23" s="341" t="str">
        <f>IFERROR(VLOOKUP(C23,Anggota!$C$5:$P$43,2,FALSE), " ")</f>
        <v xml:space="preserve"> </v>
      </c>
      <c r="F23" s="56" t="str">
        <f>IFERROR(VLOOKUP(C23,Anggota!$C$5:$P$209,8,FALSE), " ")</f>
        <v xml:space="preserve"> </v>
      </c>
      <c r="G23" s="5" t="str">
        <f t="shared" si="1"/>
        <v xml:space="preserve"> </v>
      </c>
      <c r="H23" s="57" t="str">
        <f t="shared" si="2"/>
        <v xml:space="preserve"> </v>
      </c>
      <c r="I23" s="337" t="str">
        <f>IFERROR(VLOOKUP(C23,Anggota!$C$5:$P$209,9,FALSE), " ")</f>
        <v xml:space="preserve"> </v>
      </c>
      <c r="J23" s="59" t="str">
        <f>IFERROR(VLOOKUP(C23,Anggota!$C$5:$P$209,10,FALSE), " ")</f>
        <v xml:space="preserve"> </v>
      </c>
      <c r="K23" s="60" t="str">
        <f>IFERROR(VLOOKUP(C23,Anggota!$C$5:$P$209,11,FALSE), " ")</f>
        <v xml:space="preserve"> </v>
      </c>
      <c r="L23" s="8">
        <f>IFERROR(COUNTIF(Pembayaran!$C$5:$F$240,C23)," ")</f>
        <v>1</v>
      </c>
      <c r="M23" s="8" t="str">
        <f t="shared" si="3"/>
        <v xml:space="preserve"> </v>
      </c>
      <c r="N23" s="15" t="str">
        <f t="shared" si="4"/>
        <v xml:space="preserve"> </v>
      </c>
      <c r="O23" s="155" t="str">
        <f t="shared" si="5"/>
        <v xml:space="preserve"> </v>
      </c>
      <c r="P23" s="155" t="str">
        <f t="shared" si="6"/>
        <v xml:space="preserve"> </v>
      </c>
      <c r="Q23" s="8" t="str">
        <f t="shared" si="7"/>
        <v xml:space="preserve"> </v>
      </c>
      <c r="R23" s="58" t="str">
        <f>IFERROR(VLOOKUP(C23,Anggota!$C$5:$P$43,12,FALSE)-F23, " ")</f>
        <v xml:space="preserve"> </v>
      </c>
      <c r="S23" s="274"/>
    </row>
    <row r="24" spans="2:19" ht="15" customHeight="1">
      <c r="B24" s="13">
        <f t="shared" si="0"/>
        <v>17</v>
      </c>
      <c r="C24" s="8">
        <f>Anggota!C21</f>
        <v>0</v>
      </c>
      <c r="D24" s="224" t="str">
        <f>IFERROR(VLOOKUP(C24,Anggota!$C$5:$P$209,3,FALSE), " ")</f>
        <v xml:space="preserve"> </v>
      </c>
      <c r="E24" s="341" t="str">
        <f>IFERROR(VLOOKUP(C24,Anggota!$C$5:$P$43,2,FALSE), " ")</f>
        <v xml:space="preserve"> </v>
      </c>
      <c r="F24" s="56" t="str">
        <f>IFERROR(VLOOKUP(C24,Anggota!$C$5:$P$209,8,FALSE), " ")</f>
        <v xml:space="preserve"> </v>
      </c>
      <c r="G24" s="5" t="str">
        <f t="shared" si="1"/>
        <v xml:space="preserve"> </v>
      </c>
      <c r="H24" s="57" t="str">
        <f t="shared" si="2"/>
        <v xml:space="preserve"> </v>
      </c>
      <c r="I24" s="337" t="str">
        <f>IFERROR(VLOOKUP(C24,Anggota!$C$5:$P$209,9,FALSE), " ")</f>
        <v xml:space="preserve"> </v>
      </c>
      <c r="J24" s="59" t="str">
        <f>IFERROR(VLOOKUP(C24,Anggota!$C$5:$P$209,10,FALSE), " ")</f>
        <v xml:space="preserve"> </v>
      </c>
      <c r="K24" s="60" t="str">
        <f>IFERROR(VLOOKUP(C24,Anggota!$C$5:$P$209,11,FALSE), " ")</f>
        <v xml:space="preserve"> </v>
      </c>
      <c r="L24" s="8">
        <f>IFERROR(COUNTIF(Pembayaran!$C$5:$F$240,C24)," ")</f>
        <v>1</v>
      </c>
      <c r="M24" s="8" t="str">
        <f t="shared" si="3"/>
        <v xml:space="preserve"> </v>
      </c>
      <c r="N24" s="15" t="str">
        <f t="shared" si="4"/>
        <v xml:space="preserve"> </v>
      </c>
      <c r="O24" s="155" t="str">
        <f t="shared" si="5"/>
        <v xml:space="preserve"> </v>
      </c>
      <c r="P24" s="155" t="str">
        <f t="shared" si="6"/>
        <v xml:space="preserve"> </v>
      </c>
      <c r="Q24" s="8" t="str">
        <f t="shared" si="7"/>
        <v xml:space="preserve"> </v>
      </c>
      <c r="R24" s="58" t="str">
        <f>IFERROR(VLOOKUP(C24,Anggota!$C$5:$P$43,12,FALSE)-F24, " ")</f>
        <v xml:space="preserve"> </v>
      </c>
      <c r="S24" s="274"/>
    </row>
    <row r="25" spans="2:19" ht="15.75" customHeight="1">
      <c r="B25" s="13">
        <f t="shared" si="0"/>
        <v>18</v>
      </c>
      <c r="C25" s="8">
        <f>Anggota!C22</f>
        <v>0</v>
      </c>
      <c r="D25" s="224" t="str">
        <f>IFERROR(VLOOKUP(C25,Anggota!$C$5:$P$209,3,FALSE), " ")</f>
        <v xml:space="preserve"> </v>
      </c>
      <c r="E25" s="341" t="str">
        <f>IFERROR(VLOOKUP(C25,Anggota!$C$5:$P$43,2,FALSE), " ")</f>
        <v xml:space="preserve"> </v>
      </c>
      <c r="F25" s="56" t="str">
        <f>IFERROR(VLOOKUP(C25,Anggota!$C$5:$P$209,8,FALSE), " ")</f>
        <v xml:space="preserve"> </v>
      </c>
      <c r="G25" s="5" t="str">
        <f t="shared" si="1"/>
        <v xml:space="preserve"> </v>
      </c>
      <c r="H25" s="57" t="str">
        <f t="shared" si="2"/>
        <v xml:space="preserve"> </v>
      </c>
      <c r="I25" s="337" t="str">
        <f>IFERROR(VLOOKUP(C25,Anggota!$C$5:$P$209,9,FALSE), " ")</f>
        <v xml:space="preserve"> </v>
      </c>
      <c r="J25" s="59" t="str">
        <f>IFERROR(VLOOKUP(C25,Anggota!$C$5:$P$209,10,FALSE), " ")</f>
        <v xml:space="preserve"> </v>
      </c>
      <c r="K25" s="60" t="str">
        <f>IFERROR(VLOOKUP(C25,Anggota!$C$5:$P$209,11,FALSE), " ")</f>
        <v xml:space="preserve"> </v>
      </c>
      <c r="L25" s="8">
        <f>IFERROR(COUNTIF(Pembayaran!$C$5:$F$240,C25)," ")</f>
        <v>1</v>
      </c>
      <c r="M25" s="8" t="str">
        <f t="shared" si="3"/>
        <v xml:space="preserve"> </v>
      </c>
      <c r="N25" s="15" t="str">
        <f t="shared" si="4"/>
        <v xml:space="preserve"> </v>
      </c>
      <c r="O25" s="155" t="str">
        <f t="shared" si="5"/>
        <v xml:space="preserve"> </v>
      </c>
      <c r="P25" s="155" t="str">
        <f t="shared" si="6"/>
        <v xml:space="preserve"> </v>
      </c>
      <c r="Q25" s="8" t="str">
        <f t="shared" si="7"/>
        <v xml:space="preserve"> </v>
      </c>
      <c r="R25" s="58" t="str">
        <f>IFERROR(VLOOKUP(C25,Anggota!$C$5:$P$43,12,FALSE)-F25, " ")</f>
        <v xml:space="preserve"> </v>
      </c>
      <c r="S25" s="274"/>
    </row>
    <row r="26" spans="2:19" ht="15" customHeight="1">
      <c r="B26" s="13">
        <f t="shared" si="0"/>
        <v>19</v>
      </c>
      <c r="C26" s="8">
        <f>Anggota!C23</f>
        <v>0</v>
      </c>
      <c r="D26" s="224" t="str">
        <f>IFERROR(VLOOKUP(C26,Anggota!$C$5:$P$209,3,FALSE), " ")</f>
        <v xml:space="preserve"> </v>
      </c>
      <c r="E26" s="341" t="str">
        <f>IFERROR(VLOOKUP(C26,Anggota!$C$5:$P$43,2,FALSE), " ")</f>
        <v xml:space="preserve"> </v>
      </c>
      <c r="F26" s="56" t="str">
        <f>IFERROR(VLOOKUP(C26,Anggota!$C$5:$P$209,8,FALSE), " ")</f>
        <v xml:space="preserve"> </v>
      </c>
      <c r="G26" s="5" t="str">
        <f t="shared" si="1"/>
        <v xml:space="preserve"> </v>
      </c>
      <c r="H26" s="57" t="str">
        <f t="shared" si="2"/>
        <v xml:space="preserve"> </v>
      </c>
      <c r="I26" s="337" t="str">
        <f>IFERROR(VLOOKUP(C26,Anggota!$C$5:$P$209,9,FALSE), " ")</f>
        <v xml:space="preserve"> </v>
      </c>
      <c r="J26" s="59" t="str">
        <f>IFERROR(VLOOKUP(C26,Anggota!$C$5:$P$209,10,FALSE), " ")</f>
        <v xml:space="preserve"> </v>
      </c>
      <c r="K26" s="60" t="str">
        <f>IFERROR(VLOOKUP(C26,Anggota!$C$5:$P$209,11,FALSE), " ")</f>
        <v xml:space="preserve"> </v>
      </c>
      <c r="L26" s="8">
        <f>IFERROR(COUNTIF(Pembayaran!$C$5:$F$240,C26)," ")</f>
        <v>1</v>
      </c>
      <c r="M26" s="8" t="str">
        <f t="shared" si="3"/>
        <v xml:space="preserve"> </v>
      </c>
      <c r="N26" s="15" t="str">
        <f t="shared" si="4"/>
        <v xml:space="preserve"> </v>
      </c>
      <c r="O26" s="155" t="str">
        <f t="shared" si="5"/>
        <v xml:space="preserve"> </v>
      </c>
      <c r="P26" s="155" t="str">
        <f t="shared" si="6"/>
        <v xml:space="preserve"> </v>
      </c>
      <c r="Q26" s="8" t="str">
        <f t="shared" si="7"/>
        <v xml:space="preserve"> </v>
      </c>
      <c r="R26" s="58" t="str">
        <f>IFERROR(VLOOKUP(C26,Anggota!$C$5:$P$43,12,FALSE)-F26, " ")</f>
        <v xml:space="preserve"> </v>
      </c>
      <c r="S26" s="274"/>
    </row>
    <row r="27" spans="2:19" ht="15.75" customHeight="1">
      <c r="B27" s="13">
        <f t="shared" si="0"/>
        <v>20</v>
      </c>
      <c r="C27" s="8">
        <f>Anggota!C24</f>
        <v>0</v>
      </c>
      <c r="D27" s="224" t="str">
        <f>IFERROR(VLOOKUP(C27,Anggota!$C$5:$P$209,3,FALSE), " ")</f>
        <v xml:space="preserve"> </v>
      </c>
      <c r="E27" s="341" t="str">
        <f>IFERROR(VLOOKUP(C27,Anggota!$C$5:$P$43,2,FALSE), " ")</f>
        <v xml:space="preserve"> </v>
      </c>
      <c r="F27" s="56" t="str">
        <f>IFERROR(VLOOKUP(C27,Anggota!$C$5:$P$209,8,FALSE), " ")</f>
        <v xml:space="preserve"> </v>
      </c>
      <c r="G27" s="5" t="str">
        <f t="shared" si="1"/>
        <v xml:space="preserve"> </v>
      </c>
      <c r="H27" s="57" t="str">
        <f t="shared" si="2"/>
        <v xml:space="preserve"> </v>
      </c>
      <c r="I27" s="337" t="str">
        <f>IFERROR(VLOOKUP(C27,Anggota!$C$5:$P$209,9,FALSE), " ")</f>
        <v xml:space="preserve"> </v>
      </c>
      <c r="J27" s="59" t="str">
        <f>IFERROR(VLOOKUP(C27,Anggota!$C$5:$P$209,10,FALSE), " ")</f>
        <v xml:space="preserve"> </v>
      </c>
      <c r="K27" s="60" t="str">
        <f>IFERROR(VLOOKUP(C27,Anggota!$C$5:$P$209,11,FALSE), " ")</f>
        <v xml:space="preserve"> </v>
      </c>
      <c r="L27" s="8">
        <f>IFERROR(COUNTIF(Pembayaran!$C$5:$F$240,C27)," ")</f>
        <v>1</v>
      </c>
      <c r="M27" s="8" t="str">
        <f t="shared" si="3"/>
        <v xml:space="preserve"> </v>
      </c>
      <c r="N27" s="15" t="str">
        <f t="shared" si="4"/>
        <v xml:space="preserve"> </v>
      </c>
      <c r="O27" s="155" t="str">
        <f t="shared" si="5"/>
        <v xml:space="preserve"> </v>
      </c>
      <c r="P27" s="155" t="str">
        <f t="shared" si="6"/>
        <v xml:space="preserve"> </v>
      </c>
      <c r="Q27" s="8" t="str">
        <f t="shared" si="7"/>
        <v xml:space="preserve"> </v>
      </c>
      <c r="R27" s="58" t="str">
        <f>IFERROR(VLOOKUP(C27,Anggota!$C$5:$P$43,12,FALSE)-F27, " ")</f>
        <v xml:space="preserve"> </v>
      </c>
      <c r="S27" s="274"/>
    </row>
    <row r="28" spans="2:19" ht="15" customHeight="1">
      <c r="B28" s="13">
        <f t="shared" si="0"/>
        <v>21</v>
      </c>
      <c r="C28" s="8">
        <f>Anggota!C25</f>
        <v>0</v>
      </c>
      <c r="D28" s="224" t="str">
        <f>IFERROR(VLOOKUP(C28,Anggota!$C$5:$P$209,3,FALSE), " ")</f>
        <v xml:space="preserve"> </v>
      </c>
      <c r="E28" s="341" t="str">
        <f>IFERROR(VLOOKUP(C28,Anggota!$C$5:$P$43,2,FALSE), " ")</f>
        <v xml:space="preserve"> </v>
      </c>
      <c r="F28" s="56" t="str">
        <f>IFERROR(VLOOKUP(C28,Anggota!$C$5:$P$209,8,FALSE), " ")</f>
        <v xml:space="preserve"> </v>
      </c>
      <c r="G28" s="5" t="str">
        <f t="shared" si="1"/>
        <v xml:space="preserve"> </v>
      </c>
      <c r="H28" s="57" t="str">
        <f t="shared" si="2"/>
        <v xml:space="preserve"> </v>
      </c>
      <c r="I28" s="337" t="str">
        <f>IFERROR(VLOOKUP(C28,Anggota!$C$5:$P$209,9,FALSE), " ")</f>
        <v xml:space="preserve"> </v>
      </c>
      <c r="J28" s="59" t="str">
        <f>IFERROR(VLOOKUP(C28,Anggota!$C$5:$P$209,10,FALSE), " ")</f>
        <v xml:space="preserve"> </v>
      </c>
      <c r="K28" s="60" t="str">
        <f>IFERROR(VLOOKUP(C28,Anggota!$C$5:$P$209,11,FALSE), " ")</f>
        <v xml:space="preserve"> </v>
      </c>
      <c r="L28" s="8">
        <f>IFERROR(COUNTIF(Pembayaran!$C$5:$F$240,C28)," ")</f>
        <v>1</v>
      </c>
      <c r="M28" s="8" t="str">
        <f t="shared" si="3"/>
        <v xml:space="preserve"> </v>
      </c>
      <c r="N28" s="15" t="str">
        <f t="shared" si="4"/>
        <v xml:space="preserve"> </v>
      </c>
      <c r="O28" s="155" t="str">
        <f t="shared" si="5"/>
        <v xml:space="preserve"> </v>
      </c>
      <c r="P28" s="155" t="str">
        <f t="shared" si="6"/>
        <v xml:space="preserve"> </v>
      </c>
      <c r="Q28" s="8" t="str">
        <f t="shared" si="7"/>
        <v xml:space="preserve"> </v>
      </c>
      <c r="R28" s="58" t="str">
        <f>IFERROR(VLOOKUP(C28,Anggota!$C$5:$P$43,12,FALSE)-F28, " ")</f>
        <v xml:space="preserve"> </v>
      </c>
      <c r="S28" s="274"/>
    </row>
    <row r="29" spans="2:19" ht="15.75" customHeight="1">
      <c r="B29" s="13">
        <f t="shared" si="0"/>
        <v>22</v>
      </c>
      <c r="C29" s="8">
        <f>Anggota!C26</f>
        <v>0</v>
      </c>
      <c r="D29" s="224" t="str">
        <f>IFERROR(VLOOKUP(C29,Anggota!$C$5:$P$209,3,FALSE), " ")</f>
        <v xml:space="preserve"> </v>
      </c>
      <c r="E29" s="341" t="str">
        <f>IFERROR(VLOOKUP(C29,Anggota!$C$5:$P$43,2,FALSE), " ")</f>
        <v xml:space="preserve"> </v>
      </c>
      <c r="F29" s="56" t="str">
        <f>IFERROR(VLOOKUP(C29,Anggota!$C$5:$P$209,8,FALSE), " ")</f>
        <v xml:space="preserve"> </v>
      </c>
      <c r="G29" s="5" t="str">
        <f t="shared" si="1"/>
        <v xml:space="preserve"> </v>
      </c>
      <c r="H29" s="57" t="str">
        <f t="shared" si="2"/>
        <v xml:space="preserve"> </v>
      </c>
      <c r="I29" s="337" t="str">
        <f>IFERROR(VLOOKUP(C29,Anggota!$C$5:$P$209,9,FALSE), " ")</f>
        <v xml:space="preserve"> </v>
      </c>
      <c r="J29" s="59" t="str">
        <f>IFERROR(VLOOKUP(C29,Anggota!$C$5:$P$209,10,FALSE), " ")</f>
        <v xml:space="preserve"> </v>
      </c>
      <c r="K29" s="60" t="str">
        <f>IFERROR(VLOOKUP(C29,Anggota!$C$5:$P$209,11,FALSE), " ")</f>
        <v xml:space="preserve"> </v>
      </c>
      <c r="L29" s="8">
        <f>IFERROR(COUNTIF(Pembayaran!$C$5:$F$240,C29)," ")</f>
        <v>1</v>
      </c>
      <c r="M29" s="8" t="str">
        <f t="shared" si="3"/>
        <v xml:space="preserve"> </v>
      </c>
      <c r="N29" s="15" t="str">
        <f t="shared" si="4"/>
        <v xml:space="preserve"> </v>
      </c>
      <c r="O29" s="155" t="str">
        <f t="shared" si="5"/>
        <v xml:space="preserve"> </v>
      </c>
      <c r="P29" s="155" t="str">
        <f t="shared" si="6"/>
        <v xml:space="preserve"> </v>
      </c>
      <c r="Q29" s="8" t="str">
        <f t="shared" si="7"/>
        <v xml:space="preserve"> </v>
      </c>
      <c r="R29" s="58" t="str">
        <f>IFERROR(VLOOKUP(C29,Anggota!$C$5:$P$43,12,FALSE)-F29, " ")</f>
        <v xml:space="preserve"> </v>
      </c>
      <c r="S29" s="274"/>
    </row>
    <row r="30" spans="2:19" ht="15" customHeight="1">
      <c r="B30" s="13">
        <f t="shared" si="0"/>
        <v>23</v>
      </c>
      <c r="C30" s="8">
        <f>Anggota!C27</f>
        <v>0</v>
      </c>
      <c r="D30" s="224" t="str">
        <f>IFERROR(VLOOKUP(C30,Anggota!$C$5:$P$209,3,FALSE), " ")</f>
        <v xml:space="preserve"> </v>
      </c>
      <c r="E30" s="341" t="str">
        <f>IFERROR(VLOOKUP(C30,Anggota!$C$5:$P$43,2,FALSE), " ")</f>
        <v xml:space="preserve"> </v>
      </c>
      <c r="F30" s="56" t="str">
        <f>IFERROR(VLOOKUP(C30,Anggota!$C$5:$P$209,8,FALSE), " ")</f>
        <v xml:space="preserve"> </v>
      </c>
      <c r="G30" s="5" t="str">
        <f t="shared" si="1"/>
        <v xml:space="preserve"> </v>
      </c>
      <c r="H30" s="57" t="str">
        <f t="shared" si="2"/>
        <v xml:space="preserve"> </v>
      </c>
      <c r="I30" s="337" t="str">
        <f>IFERROR(VLOOKUP(C30,Anggota!$C$5:$P$209,9,FALSE), " ")</f>
        <v xml:space="preserve"> </v>
      </c>
      <c r="J30" s="59" t="str">
        <f>IFERROR(VLOOKUP(C30,Anggota!$C$5:$P$209,10,FALSE), " ")</f>
        <v xml:space="preserve"> </v>
      </c>
      <c r="K30" s="60" t="str">
        <f>IFERROR(VLOOKUP(C30,Anggota!$C$5:$P$209,11,FALSE), " ")</f>
        <v xml:space="preserve"> </v>
      </c>
      <c r="L30" s="8">
        <f>IFERROR(COUNTIF(Pembayaran!$C$5:$F$240,C30)," ")</f>
        <v>1</v>
      </c>
      <c r="M30" s="8" t="str">
        <f t="shared" si="3"/>
        <v xml:space="preserve"> </v>
      </c>
      <c r="N30" s="15" t="str">
        <f t="shared" si="4"/>
        <v xml:space="preserve"> </v>
      </c>
      <c r="O30" s="155" t="str">
        <f t="shared" si="5"/>
        <v xml:space="preserve"> </v>
      </c>
      <c r="P30" s="155" t="str">
        <f t="shared" si="6"/>
        <v xml:space="preserve"> </v>
      </c>
      <c r="Q30" s="8" t="str">
        <f t="shared" si="7"/>
        <v xml:space="preserve"> </v>
      </c>
      <c r="R30" s="58" t="str">
        <f>IFERROR(VLOOKUP(C30,Anggota!$C$5:$P$43,12,FALSE)-F30, " ")</f>
        <v xml:space="preserve"> </v>
      </c>
      <c r="S30" s="274"/>
    </row>
    <row r="31" spans="2:19" ht="15.75" customHeight="1">
      <c r="B31" s="13">
        <f t="shared" si="0"/>
        <v>24</v>
      </c>
      <c r="C31" s="8">
        <f>Anggota!C28</f>
        <v>0</v>
      </c>
      <c r="D31" s="224" t="str">
        <f>IFERROR(VLOOKUP(C31,Anggota!$C$5:$P$209,3,FALSE), " ")</f>
        <v xml:space="preserve"> </v>
      </c>
      <c r="E31" s="341" t="str">
        <f>IFERROR(VLOOKUP(C31,Anggota!$C$5:$P$43,2,FALSE), " ")</f>
        <v xml:space="preserve"> </v>
      </c>
      <c r="F31" s="56" t="str">
        <f>IFERROR(VLOOKUP(C31,Anggota!$C$5:$P$209,8,FALSE), " ")</f>
        <v xml:space="preserve"> </v>
      </c>
      <c r="G31" s="5" t="str">
        <f t="shared" si="1"/>
        <v xml:space="preserve"> </v>
      </c>
      <c r="H31" s="57" t="str">
        <f t="shared" si="2"/>
        <v xml:space="preserve"> </v>
      </c>
      <c r="I31" s="337" t="str">
        <f>IFERROR(VLOOKUP(C31,Anggota!$C$5:$P$209,9,FALSE), " ")</f>
        <v xml:space="preserve"> </v>
      </c>
      <c r="J31" s="59" t="str">
        <f>IFERROR(VLOOKUP(C31,Anggota!$C$5:$P$209,10,FALSE), " ")</f>
        <v xml:space="preserve"> </v>
      </c>
      <c r="K31" s="60" t="str">
        <f>IFERROR(VLOOKUP(C31,Anggota!$C$5:$P$209,11,FALSE), " ")</f>
        <v xml:space="preserve"> </v>
      </c>
      <c r="L31" s="8">
        <f>IFERROR(COUNTIF(Pembayaran!$C$5:$F$240,C31)," ")</f>
        <v>1</v>
      </c>
      <c r="M31" s="8" t="str">
        <f t="shared" si="3"/>
        <v xml:space="preserve"> </v>
      </c>
      <c r="N31" s="15" t="str">
        <f t="shared" si="4"/>
        <v xml:space="preserve"> </v>
      </c>
      <c r="O31" s="155" t="str">
        <f t="shared" si="5"/>
        <v xml:space="preserve"> </v>
      </c>
      <c r="P31" s="155" t="str">
        <f t="shared" si="6"/>
        <v xml:space="preserve"> </v>
      </c>
      <c r="Q31" s="8" t="str">
        <f t="shared" si="7"/>
        <v xml:space="preserve"> </v>
      </c>
      <c r="R31" s="58" t="str">
        <f>IFERROR(VLOOKUP(C31,Anggota!$C$5:$P$43,12,FALSE)-F31, " ")</f>
        <v xml:space="preserve"> </v>
      </c>
      <c r="S31" s="274"/>
    </row>
    <row r="32" spans="2:19" ht="15" customHeight="1">
      <c r="B32" s="13">
        <f t="shared" si="0"/>
        <v>25</v>
      </c>
      <c r="C32" s="8">
        <f>Anggota!C29</f>
        <v>0</v>
      </c>
      <c r="D32" s="224" t="str">
        <f>IFERROR(VLOOKUP(C32,Anggota!$C$5:$P$209,3,FALSE), " ")</f>
        <v xml:space="preserve"> </v>
      </c>
      <c r="E32" s="341" t="str">
        <f>IFERROR(VLOOKUP(C32,Anggota!$C$5:$P$43,2,FALSE), " ")</f>
        <v xml:space="preserve"> </v>
      </c>
      <c r="F32" s="56" t="str">
        <f>IFERROR(VLOOKUP(C32,Anggota!$C$5:$P$209,8,FALSE), " ")</f>
        <v xml:space="preserve"> </v>
      </c>
      <c r="G32" s="5" t="str">
        <f t="shared" si="1"/>
        <v xml:space="preserve"> </v>
      </c>
      <c r="H32" s="57" t="str">
        <f t="shared" si="2"/>
        <v xml:space="preserve"> </v>
      </c>
      <c r="I32" s="337" t="str">
        <f>IFERROR(VLOOKUP(C32,Anggota!$C$5:$P$209,9,FALSE), " ")</f>
        <v xml:space="preserve"> </v>
      </c>
      <c r="J32" s="59" t="str">
        <f>IFERROR(VLOOKUP(C32,Anggota!$C$5:$P$209,10,FALSE), " ")</f>
        <v xml:space="preserve"> </v>
      </c>
      <c r="K32" s="60" t="str">
        <f>IFERROR(VLOOKUP(C32,Anggota!$C$5:$P$209,11,FALSE), " ")</f>
        <v xml:space="preserve"> </v>
      </c>
      <c r="L32" s="8">
        <f>IFERROR(COUNTIF(Pembayaran!$C$5:$F$240,C32)," ")</f>
        <v>1</v>
      </c>
      <c r="M32" s="8" t="str">
        <f t="shared" si="3"/>
        <v xml:space="preserve"> </v>
      </c>
      <c r="N32" s="15" t="str">
        <f t="shared" si="4"/>
        <v xml:space="preserve"> </v>
      </c>
      <c r="O32" s="155" t="str">
        <f t="shared" si="5"/>
        <v xml:space="preserve"> </v>
      </c>
      <c r="P32" s="155" t="str">
        <f t="shared" si="6"/>
        <v xml:space="preserve"> </v>
      </c>
      <c r="Q32" s="8" t="str">
        <f t="shared" si="7"/>
        <v xml:space="preserve"> </v>
      </c>
      <c r="R32" s="58" t="str">
        <f>IFERROR(VLOOKUP(C32,Anggota!$C$5:$P$43,12,FALSE)-F32, " ")</f>
        <v xml:space="preserve"> </v>
      </c>
      <c r="S32" s="274"/>
    </row>
    <row r="33" spans="2:19" ht="15.75" customHeight="1">
      <c r="B33" s="13">
        <f t="shared" si="0"/>
        <v>26</v>
      </c>
      <c r="C33" s="8">
        <f>Anggota!C30</f>
        <v>0</v>
      </c>
      <c r="D33" s="224" t="str">
        <f>IFERROR(VLOOKUP(C33,Anggota!$C$5:$P$209,3,FALSE), " ")</f>
        <v xml:space="preserve"> </v>
      </c>
      <c r="E33" s="341" t="str">
        <f>IFERROR(VLOOKUP(C33,Anggota!$C$5:$P$43,2,FALSE), " ")</f>
        <v xml:space="preserve"> </v>
      </c>
      <c r="F33" s="56" t="str">
        <f>IFERROR(VLOOKUP(C33,Anggota!$C$5:$P$209,8,FALSE), " ")</f>
        <v xml:space="preserve"> </v>
      </c>
      <c r="G33" s="5" t="str">
        <f t="shared" si="1"/>
        <v xml:space="preserve"> </v>
      </c>
      <c r="H33" s="57" t="str">
        <f t="shared" si="2"/>
        <v xml:space="preserve"> </v>
      </c>
      <c r="I33" s="337" t="str">
        <f>IFERROR(VLOOKUP(C33,Anggota!$C$5:$P$209,9,FALSE), " ")</f>
        <v xml:space="preserve"> </v>
      </c>
      <c r="J33" s="59" t="str">
        <f>IFERROR(VLOOKUP(C33,Anggota!$C$5:$P$209,10,FALSE), " ")</f>
        <v xml:space="preserve"> </v>
      </c>
      <c r="K33" s="60" t="str">
        <f>IFERROR(VLOOKUP(C33,Anggota!$C$5:$P$209,11,FALSE), " ")</f>
        <v xml:space="preserve"> </v>
      </c>
      <c r="L33" s="8">
        <f>IFERROR(COUNTIF(Pembayaran!$C$5:$F$240,C33)," ")</f>
        <v>1</v>
      </c>
      <c r="M33" s="8" t="str">
        <f t="shared" si="3"/>
        <v xml:space="preserve"> </v>
      </c>
      <c r="N33" s="15" t="str">
        <f t="shared" si="4"/>
        <v xml:space="preserve"> </v>
      </c>
      <c r="O33" s="155" t="str">
        <f t="shared" si="5"/>
        <v xml:space="preserve"> </v>
      </c>
      <c r="P33" s="155" t="str">
        <f t="shared" si="6"/>
        <v xml:space="preserve"> </v>
      </c>
      <c r="Q33" s="8" t="str">
        <f t="shared" si="7"/>
        <v xml:space="preserve"> </v>
      </c>
      <c r="R33" s="58" t="str">
        <f>IFERROR(VLOOKUP(C33,Anggota!$C$5:$P$43,12,FALSE)-F33, " ")</f>
        <v xml:space="preserve"> </v>
      </c>
      <c r="S33" s="274"/>
    </row>
    <row r="34" spans="2:19" ht="15" customHeight="1">
      <c r="B34" s="13">
        <f t="shared" si="0"/>
        <v>27</v>
      </c>
      <c r="C34" s="8">
        <f>Anggota!C31</f>
        <v>0</v>
      </c>
      <c r="D34" s="224" t="str">
        <f>IFERROR(VLOOKUP(C34,Anggota!$C$5:$P$209,3,FALSE), " ")</f>
        <v xml:space="preserve"> </v>
      </c>
      <c r="E34" s="341" t="str">
        <f>IFERROR(VLOOKUP(C34,Anggota!$C$5:$P$43,2,FALSE), " ")</f>
        <v xml:space="preserve"> </v>
      </c>
      <c r="F34" s="56" t="str">
        <f>IFERROR(VLOOKUP(C34,Anggota!$C$5:$P$209,8,FALSE), " ")</f>
        <v xml:space="preserve"> </v>
      </c>
      <c r="G34" s="5" t="str">
        <f t="shared" si="1"/>
        <v xml:space="preserve"> </v>
      </c>
      <c r="H34" s="57" t="str">
        <f t="shared" si="2"/>
        <v xml:space="preserve"> </v>
      </c>
      <c r="I34" s="337" t="str">
        <f>IFERROR(VLOOKUP(C34,Anggota!$C$5:$P$209,9,FALSE), " ")</f>
        <v xml:space="preserve"> </v>
      </c>
      <c r="J34" s="59" t="str">
        <f>IFERROR(VLOOKUP(C34,Anggota!$C$5:$P$209,10,FALSE), " ")</f>
        <v xml:space="preserve"> </v>
      </c>
      <c r="K34" s="60" t="str">
        <f>IFERROR(VLOOKUP(C34,Anggota!$C$5:$P$209,11,FALSE), " ")</f>
        <v xml:space="preserve"> </v>
      </c>
      <c r="L34" s="8">
        <f>IFERROR(COUNTIF(Pembayaran!$C$5:$F$240,C34)," ")</f>
        <v>1</v>
      </c>
      <c r="M34" s="8" t="str">
        <f t="shared" si="3"/>
        <v xml:space="preserve"> </v>
      </c>
      <c r="N34" s="15" t="str">
        <f t="shared" si="4"/>
        <v xml:space="preserve"> </v>
      </c>
      <c r="O34" s="155" t="str">
        <f t="shared" si="5"/>
        <v xml:space="preserve"> </v>
      </c>
      <c r="P34" s="155" t="str">
        <f t="shared" si="6"/>
        <v xml:space="preserve"> </v>
      </c>
      <c r="Q34" s="8" t="str">
        <f t="shared" si="7"/>
        <v xml:space="preserve"> </v>
      </c>
      <c r="R34" s="58" t="str">
        <f>IFERROR(VLOOKUP(C34,Anggota!$C$5:$P$43,12,FALSE)-F34, " ")</f>
        <v xml:space="preserve"> </v>
      </c>
      <c r="S34" s="274"/>
    </row>
    <row r="35" spans="2:19" ht="15.75" customHeight="1">
      <c r="B35" s="13">
        <f t="shared" si="0"/>
        <v>28</v>
      </c>
      <c r="C35" s="8">
        <f>Anggota!C32</f>
        <v>0</v>
      </c>
      <c r="D35" s="224" t="str">
        <f>IFERROR(VLOOKUP(C35,Anggota!$C$5:$P$209,3,FALSE), " ")</f>
        <v xml:space="preserve"> </v>
      </c>
      <c r="E35" s="341" t="str">
        <f>IFERROR(VLOOKUP(C35,Anggota!$C$5:$P$43,2,FALSE), " ")</f>
        <v xml:space="preserve"> </v>
      </c>
      <c r="F35" s="56" t="str">
        <f>IFERROR(VLOOKUP(C35,Anggota!$C$5:$P$209,8,FALSE), " ")</f>
        <v xml:space="preserve"> </v>
      </c>
      <c r="G35" s="5" t="str">
        <f t="shared" si="1"/>
        <v xml:space="preserve"> </v>
      </c>
      <c r="H35" s="57" t="str">
        <f t="shared" si="2"/>
        <v xml:space="preserve"> </v>
      </c>
      <c r="I35" s="337" t="str">
        <f>IFERROR(VLOOKUP(C35,Anggota!$C$5:$P$209,9,FALSE), " ")</f>
        <v xml:space="preserve"> </v>
      </c>
      <c r="J35" s="59" t="str">
        <f>IFERROR(VLOOKUP(C35,Anggota!$C$5:$P$209,10,FALSE), " ")</f>
        <v xml:space="preserve"> </v>
      </c>
      <c r="K35" s="60" t="str">
        <f>IFERROR(VLOOKUP(C35,Anggota!$C$5:$P$209,11,FALSE), " ")</f>
        <v xml:space="preserve"> </v>
      </c>
      <c r="L35" s="8">
        <f>IFERROR(COUNTIF(Pembayaran!$C$5:$F$240,C35)," ")</f>
        <v>1</v>
      </c>
      <c r="M35" s="8" t="str">
        <f t="shared" si="3"/>
        <v xml:space="preserve"> </v>
      </c>
      <c r="N35" s="15" t="str">
        <f t="shared" si="4"/>
        <v xml:space="preserve"> </v>
      </c>
      <c r="O35" s="155" t="str">
        <f t="shared" si="5"/>
        <v xml:space="preserve"> </v>
      </c>
      <c r="P35" s="155" t="str">
        <f t="shared" si="6"/>
        <v xml:space="preserve"> </v>
      </c>
      <c r="Q35" s="8" t="str">
        <f t="shared" si="7"/>
        <v xml:space="preserve"> </v>
      </c>
      <c r="R35" s="58" t="str">
        <f>IFERROR(VLOOKUP(C35,Anggota!$C$5:$P$43,12,FALSE)-F35, " ")</f>
        <v xml:space="preserve"> </v>
      </c>
      <c r="S35" s="274"/>
    </row>
    <row r="36" spans="2:19" ht="15" customHeight="1">
      <c r="B36" s="13">
        <f t="shared" si="0"/>
        <v>29</v>
      </c>
      <c r="C36" s="8">
        <f>Anggota!C33</f>
        <v>0</v>
      </c>
      <c r="D36" s="224" t="str">
        <f>IFERROR(VLOOKUP(C36,Anggota!$C$5:$P$209,3,FALSE), " ")</f>
        <v xml:space="preserve"> </v>
      </c>
      <c r="E36" s="341" t="str">
        <f>IFERROR(VLOOKUP(C36,Anggota!$C$5:$P$43,2,FALSE), " ")</f>
        <v xml:space="preserve"> </v>
      </c>
      <c r="F36" s="56" t="str">
        <f>IFERROR(VLOOKUP(C36,Anggota!$C$5:$P$209,8,FALSE), " ")</f>
        <v xml:space="preserve"> </v>
      </c>
      <c r="G36" s="5" t="str">
        <f t="shared" si="1"/>
        <v xml:space="preserve"> </v>
      </c>
      <c r="H36" s="57" t="str">
        <f t="shared" si="2"/>
        <v xml:space="preserve"> </v>
      </c>
      <c r="I36" s="337" t="str">
        <f>IFERROR(VLOOKUP(C36,Anggota!$C$5:$P$209,9,FALSE), " ")</f>
        <v xml:space="preserve"> </v>
      </c>
      <c r="J36" s="59" t="str">
        <f>IFERROR(VLOOKUP(C36,Anggota!$C$5:$P$209,10,FALSE), " ")</f>
        <v xml:space="preserve"> </v>
      </c>
      <c r="K36" s="60" t="str">
        <f>IFERROR(VLOOKUP(C36,Anggota!$C$5:$P$209,11,FALSE), " ")</f>
        <v xml:space="preserve"> </v>
      </c>
      <c r="L36" s="8">
        <f>IFERROR(COUNTIF(Pembayaran!$C$5:$F$240,C36)," ")</f>
        <v>1</v>
      </c>
      <c r="M36" s="8" t="str">
        <f t="shared" si="3"/>
        <v xml:space="preserve"> </v>
      </c>
      <c r="N36" s="15" t="str">
        <f t="shared" si="4"/>
        <v xml:space="preserve"> </v>
      </c>
      <c r="O36" s="155" t="str">
        <f t="shared" si="5"/>
        <v xml:space="preserve"> </v>
      </c>
      <c r="P36" s="155" t="str">
        <f t="shared" si="6"/>
        <v xml:space="preserve"> </v>
      </c>
      <c r="Q36" s="8" t="str">
        <f t="shared" si="7"/>
        <v xml:space="preserve"> </v>
      </c>
      <c r="R36" s="58" t="str">
        <f>IFERROR(VLOOKUP(C36,Anggota!$C$5:$P$43,12,FALSE)-F36, " ")</f>
        <v xml:space="preserve"> </v>
      </c>
      <c r="S36" s="274"/>
    </row>
    <row r="37" spans="2:19" ht="15.75" customHeight="1">
      <c r="B37" s="13">
        <f t="shared" si="0"/>
        <v>30</v>
      </c>
      <c r="C37" s="8">
        <f>Anggota!C34</f>
        <v>0</v>
      </c>
      <c r="D37" s="224" t="str">
        <f>IFERROR(VLOOKUP(C37,Anggota!$C$5:$P$209,3,FALSE), " ")</f>
        <v xml:space="preserve"> </v>
      </c>
      <c r="E37" s="341" t="str">
        <f>IFERROR(VLOOKUP(C37,Anggota!$C$5:$P$43,2,FALSE), " ")</f>
        <v xml:space="preserve"> </v>
      </c>
      <c r="F37" s="56" t="str">
        <f>IFERROR(VLOOKUP(C37,Anggota!$C$5:$P$209,8,FALSE), " ")</f>
        <v xml:space="preserve"> </v>
      </c>
      <c r="G37" s="5" t="str">
        <f t="shared" si="1"/>
        <v xml:space="preserve"> </v>
      </c>
      <c r="H37" s="57" t="str">
        <f t="shared" si="2"/>
        <v xml:space="preserve"> </v>
      </c>
      <c r="I37" s="337" t="str">
        <f>IFERROR(VLOOKUP(C37,Anggota!$C$5:$P$209,9,FALSE), " ")</f>
        <v xml:space="preserve"> </v>
      </c>
      <c r="J37" s="59" t="str">
        <f>IFERROR(VLOOKUP(C37,Anggota!$C$5:$P$209,10,FALSE), " ")</f>
        <v xml:space="preserve"> </v>
      </c>
      <c r="K37" s="60" t="str">
        <f>IFERROR(VLOOKUP(C37,Anggota!$C$5:$P$209,11,FALSE), " ")</f>
        <v xml:space="preserve"> </v>
      </c>
      <c r="L37" s="8">
        <f>IFERROR(COUNTIF(Pembayaran!$C$5:$F$240,C37)," ")</f>
        <v>1</v>
      </c>
      <c r="M37" s="8" t="str">
        <f t="shared" si="3"/>
        <v xml:space="preserve"> </v>
      </c>
      <c r="N37" s="15" t="str">
        <f t="shared" si="4"/>
        <v xml:space="preserve"> </v>
      </c>
      <c r="O37" s="155" t="str">
        <f t="shared" si="5"/>
        <v xml:space="preserve"> </v>
      </c>
      <c r="P37" s="155" t="str">
        <f t="shared" si="6"/>
        <v xml:space="preserve"> </v>
      </c>
      <c r="Q37" s="8" t="str">
        <f t="shared" si="7"/>
        <v xml:space="preserve"> </v>
      </c>
      <c r="R37" s="58" t="str">
        <f>IFERROR(VLOOKUP(C37,Anggota!$C$5:$P$43,12,FALSE)-F37, " ")</f>
        <v xml:space="preserve"> </v>
      </c>
      <c r="S37" s="274"/>
    </row>
    <row r="38" spans="2:19" ht="15" customHeight="1">
      <c r="B38" s="13">
        <f t="shared" si="0"/>
        <v>31</v>
      </c>
      <c r="C38" s="8">
        <f>Anggota!C35</f>
        <v>0</v>
      </c>
      <c r="D38" s="224" t="str">
        <f>IFERROR(VLOOKUP(C38,Anggota!$C$5:$P$209,3,FALSE), " ")</f>
        <v xml:space="preserve"> </v>
      </c>
      <c r="E38" s="341" t="str">
        <f>IFERROR(VLOOKUP(C38,Anggota!$C$5:$P$43,2,FALSE), " ")</f>
        <v xml:space="preserve"> </v>
      </c>
      <c r="F38" s="56" t="str">
        <f>IFERROR(VLOOKUP(C38,Anggota!$C$5:$P$209,8,FALSE), " ")</f>
        <v xml:space="preserve"> </v>
      </c>
      <c r="G38" s="5" t="str">
        <f t="shared" si="1"/>
        <v xml:space="preserve"> </v>
      </c>
      <c r="H38" s="57" t="str">
        <f t="shared" si="2"/>
        <v xml:space="preserve"> </v>
      </c>
      <c r="I38" s="337" t="str">
        <f>IFERROR(VLOOKUP(C38,Anggota!$C$5:$P$209,9,FALSE), " ")</f>
        <v xml:space="preserve"> </v>
      </c>
      <c r="J38" s="59" t="str">
        <f>IFERROR(VLOOKUP(C38,Anggota!$C$5:$P$209,10,FALSE), " ")</f>
        <v xml:space="preserve"> </v>
      </c>
      <c r="K38" s="60" t="str">
        <f>IFERROR(VLOOKUP(C38,Anggota!$C$5:$P$209,11,FALSE), " ")</f>
        <v xml:space="preserve"> </v>
      </c>
      <c r="L38" s="8">
        <f>IFERROR(COUNTIF(Pembayaran!$C$5:$F$240,C38)," ")</f>
        <v>1</v>
      </c>
      <c r="M38" s="8" t="str">
        <f t="shared" si="3"/>
        <v xml:space="preserve"> </v>
      </c>
      <c r="N38" s="15" t="str">
        <f t="shared" si="4"/>
        <v xml:space="preserve"> </v>
      </c>
      <c r="O38" s="155" t="str">
        <f t="shared" si="5"/>
        <v xml:space="preserve"> </v>
      </c>
      <c r="P38" s="155" t="str">
        <f t="shared" si="6"/>
        <v xml:space="preserve"> </v>
      </c>
      <c r="Q38" s="8" t="str">
        <f t="shared" si="7"/>
        <v xml:space="preserve"> </v>
      </c>
      <c r="R38" s="58" t="str">
        <f>IFERROR(VLOOKUP(C38,Anggota!$C$5:$P$43,12,FALSE)-F38, " ")</f>
        <v xml:space="preserve"> </v>
      </c>
      <c r="S38" s="274"/>
    </row>
    <row r="39" spans="2:19" ht="15" customHeight="1">
      <c r="B39" s="13">
        <f t="shared" si="0"/>
        <v>32</v>
      </c>
      <c r="C39" s="8">
        <f>Anggota!C36</f>
        <v>0</v>
      </c>
      <c r="D39" s="224" t="str">
        <f>IFERROR(VLOOKUP(C39,Anggota!$C$5:$P$209,3,FALSE), " ")</f>
        <v xml:space="preserve"> </v>
      </c>
      <c r="E39" s="341" t="str">
        <f>IFERROR(VLOOKUP(C39,Anggota!$C$5:$P$43,2,FALSE), " ")</f>
        <v xml:space="preserve"> </v>
      </c>
      <c r="F39" s="56" t="str">
        <f>IFERROR(VLOOKUP(C39,Anggota!$C$5:$P$209,8,FALSE), " ")</f>
        <v xml:space="preserve"> </v>
      </c>
      <c r="G39" s="5" t="str">
        <f t="shared" si="1"/>
        <v xml:space="preserve"> </v>
      </c>
      <c r="H39" s="57" t="str">
        <f t="shared" si="2"/>
        <v xml:space="preserve"> </v>
      </c>
      <c r="I39" s="337" t="str">
        <f>IFERROR(VLOOKUP(C39,Anggota!$C$5:$P$209,9,FALSE), " ")</f>
        <v xml:space="preserve"> </v>
      </c>
      <c r="J39" s="59" t="str">
        <f>IFERROR(VLOOKUP(C39,Anggota!$C$5:$P$209,10,FALSE), " ")</f>
        <v xml:space="preserve"> </v>
      </c>
      <c r="K39" s="60" t="str">
        <f>IFERROR(VLOOKUP(C39,Anggota!$C$5:$P$209,11,FALSE), " ")</f>
        <v xml:space="preserve"> </v>
      </c>
      <c r="L39" s="8">
        <f>IFERROR(COUNTIF(Pembayaran!$C$5:$F$240,C39)," ")</f>
        <v>1</v>
      </c>
      <c r="M39" s="8" t="str">
        <f t="shared" si="3"/>
        <v xml:space="preserve"> </v>
      </c>
      <c r="N39" s="15" t="str">
        <f t="shared" si="4"/>
        <v xml:space="preserve"> </v>
      </c>
      <c r="O39" s="276" t="str">
        <f t="shared" si="5"/>
        <v xml:space="preserve"> </v>
      </c>
      <c r="P39" s="276" t="str">
        <f t="shared" si="6"/>
        <v xml:space="preserve"> </v>
      </c>
      <c r="Q39" s="278" t="str">
        <f t="shared" si="7"/>
        <v xml:space="preserve"> </v>
      </c>
      <c r="R39" s="277" t="str">
        <f>IFERROR(VLOOKUP(C39,Anggota!$C$5:$P$43,12,FALSE)-F39, " ")</f>
        <v xml:space="preserve"> </v>
      </c>
      <c r="S39" s="274"/>
    </row>
    <row r="40" spans="2:19" ht="15" customHeight="1">
      <c r="B40" s="13">
        <f t="shared" si="0"/>
        <v>33</v>
      </c>
      <c r="C40" s="8">
        <f>Anggota!C37</f>
        <v>0</v>
      </c>
      <c r="D40" s="224" t="str">
        <f>IFERROR(VLOOKUP(C40,Anggota!$C$5:$P$209,3,FALSE), " ")</f>
        <v xml:space="preserve"> </v>
      </c>
      <c r="E40" s="341" t="str">
        <f>IFERROR(VLOOKUP(C40,Anggota!$C$5:$P$43,2,FALSE), " ")</f>
        <v xml:space="preserve"> </v>
      </c>
      <c r="F40" s="56" t="str">
        <f>IFERROR(VLOOKUP(C40,Anggota!$C$5:$P$209,8,FALSE), " ")</f>
        <v xml:space="preserve"> </v>
      </c>
      <c r="G40" s="5" t="str">
        <f t="shared" si="1"/>
        <v xml:space="preserve"> </v>
      </c>
      <c r="H40" s="57" t="str">
        <f t="shared" si="2"/>
        <v xml:space="preserve"> </v>
      </c>
      <c r="I40" s="337" t="str">
        <f>IFERROR(VLOOKUP(C40,Anggota!$C$5:$P$209,9,FALSE), " ")</f>
        <v xml:space="preserve"> </v>
      </c>
      <c r="J40" s="59" t="str">
        <f>IFERROR(VLOOKUP(C40,Anggota!$C$5:$P$209,10,FALSE), " ")</f>
        <v xml:space="preserve"> </v>
      </c>
      <c r="K40" s="60" t="str">
        <f>IFERROR(VLOOKUP(C40,Anggota!$C$5:$P$209,11,FALSE), " ")</f>
        <v xml:space="preserve"> </v>
      </c>
      <c r="L40" s="8">
        <f>IFERROR(COUNTIF(Pembayaran!$C$5:$F$240,C40)," ")</f>
        <v>1</v>
      </c>
      <c r="M40" s="8" t="str">
        <f t="shared" si="3"/>
        <v xml:space="preserve"> </v>
      </c>
      <c r="N40" s="15" t="str">
        <f t="shared" si="4"/>
        <v xml:space="preserve"> </v>
      </c>
      <c r="O40" s="276" t="str">
        <f t="shared" si="5"/>
        <v xml:space="preserve"> </v>
      </c>
      <c r="P40" s="276" t="str">
        <f t="shared" si="6"/>
        <v xml:space="preserve"> </v>
      </c>
      <c r="Q40" s="278" t="str">
        <f t="shared" si="7"/>
        <v xml:space="preserve"> </v>
      </c>
      <c r="R40" s="277" t="str">
        <f>IFERROR(VLOOKUP(C40,Anggota!$C$5:$P$43,12,FALSE)-F40, " ")</f>
        <v xml:space="preserve"> </v>
      </c>
      <c r="S40" s="274"/>
    </row>
    <row r="41" spans="2:19" ht="15" customHeight="1">
      <c r="B41" s="13">
        <f t="shared" si="0"/>
        <v>34</v>
      </c>
      <c r="C41" s="8">
        <f>Anggota!C38</f>
        <v>0</v>
      </c>
      <c r="D41" s="224" t="str">
        <f>IFERROR(VLOOKUP(C41,Anggota!$C$5:$P$209,3,FALSE), " ")</f>
        <v xml:space="preserve"> </v>
      </c>
      <c r="E41" s="341" t="str">
        <f>IFERROR(VLOOKUP(C41,Anggota!$C$5:$P$43,2,FALSE), " ")</f>
        <v xml:space="preserve"> </v>
      </c>
      <c r="F41" s="56" t="str">
        <f>IFERROR(VLOOKUP(C41,Anggota!$C$5:$P$209,8,FALSE), " ")</f>
        <v xml:space="preserve"> </v>
      </c>
      <c r="G41" s="5" t="str">
        <f t="shared" si="1"/>
        <v xml:space="preserve"> </v>
      </c>
      <c r="H41" s="57" t="str">
        <f t="shared" si="2"/>
        <v xml:space="preserve"> </v>
      </c>
      <c r="I41" s="337" t="str">
        <f>IFERROR(VLOOKUP(C41,Anggota!$C$5:$P$209,9,FALSE), " ")</f>
        <v xml:space="preserve"> </v>
      </c>
      <c r="J41" s="59" t="str">
        <f>IFERROR(VLOOKUP(C41,Anggota!$C$5:$P$209,10,FALSE), " ")</f>
        <v xml:space="preserve"> </v>
      </c>
      <c r="K41" s="60" t="str">
        <f>IFERROR(VLOOKUP(C41,Anggota!$C$5:$P$209,11,FALSE), " ")</f>
        <v xml:space="preserve"> </v>
      </c>
      <c r="L41" s="8">
        <f>IFERROR(COUNTIF(Pembayaran!$C$5:$F$240,C41)," ")</f>
        <v>1</v>
      </c>
      <c r="M41" s="8" t="str">
        <f t="shared" si="3"/>
        <v xml:space="preserve"> </v>
      </c>
      <c r="N41" s="15" t="str">
        <f t="shared" si="4"/>
        <v xml:space="preserve"> </v>
      </c>
      <c r="O41" s="276" t="str">
        <f t="shared" si="5"/>
        <v xml:space="preserve"> </v>
      </c>
      <c r="P41" s="276" t="str">
        <f t="shared" si="6"/>
        <v xml:space="preserve"> </v>
      </c>
      <c r="Q41" s="278" t="str">
        <f t="shared" si="7"/>
        <v xml:space="preserve"> </v>
      </c>
      <c r="R41" s="277" t="str">
        <f>IFERROR(VLOOKUP(C41,Anggota!$C$5:$P$43,12,FALSE)-F41, " ")</f>
        <v xml:space="preserve"> </v>
      </c>
      <c r="S41" s="274"/>
    </row>
    <row r="42" spans="2:19" ht="15" customHeight="1">
      <c r="B42" s="13">
        <f t="shared" si="0"/>
        <v>35</v>
      </c>
      <c r="C42" s="8">
        <f>Anggota!C39</f>
        <v>0</v>
      </c>
      <c r="D42" s="224" t="str">
        <f>IFERROR(VLOOKUP(C42,Anggota!$C$5:$P$209,3,FALSE), " ")</f>
        <v xml:space="preserve"> </v>
      </c>
      <c r="E42" s="341" t="str">
        <f>IFERROR(VLOOKUP(C42,Anggota!$C$5:$P$43,2,FALSE), " ")</f>
        <v xml:space="preserve"> </v>
      </c>
      <c r="F42" s="56" t="str">
        <f>IFERROR(VLOOKUP(C42,Anggota!$C$5:$P$209,8,FALSE), " ")</f>
        <v xml:space="preserve"> </v>
      </c>
      <c r="G42" s="5" t="str">
        <f t="shared" si="1"/>
        <v xml:space="preserve"> </v>
      </c>
      <c r="H42" s="57" t="str">
        <f t="shared" si="2"/>
        <v xml:space="preserve"> </v>
      </c>
      <c r="I42" s="337" t="str">
        <f>IFERROR(VLOOKUP(C42,Anggota!$C$5:$P$209,9,FALSE), " ")</f>
        <v xml:space="preserve"> </v>
      </c>
      <c r="J42" s="59" t="str">
        <f>IFERROR(VLOOKUP(C42,Anggota!$C$5:$P$209,10,FALSE), " ")</f>
        <v xml:space="preserve"> </v>
      </c>
      <c r="K42" s="60" t="str">
        <f>IFERROR(VLOOKUP(C42,Anggota!$C$5:$P$209,11,FALSE), " ")</f>
        <v xml:space="preserve"> </v>
      </c>
      <c r="L42" s="8">
        <f>IFERROR(COUNTIF(Pembayaran!$C$5:$F$240,C42)," ")</f>
        <v>1</v>
      </c>
      <c r="M42" s="8" t="str">
        <f t="shared" si="3"/>
        <v xml:space="preserve"> </v>
      </c>
      <c r="N42" s="15" t="str">
        <f t="shared" si="4"/>
        <v xml:space="preserve"> </v>
      </c>
      <c r="O42" s="276" t="str">
        <f t="shared" si="5"/>
        <v xml:space="preserve"> </v>
      </c>
      <c r="P42" s="276" t="str">
        <f t="shared" si="6"/>
        <v xml:space="preserve"> </v>
      </c>
      <c r="Q42" s="278" t="str">
        <f t="shared" si="7"/>
        <v xml:space="preserve"> </v>
      </c>
      <c r="R42" s="277" t="str">
        <f>IFERROR(VLOOKUP(C42,Anggota!$C$5:$P$43,12,FALSE)-F42, " ")</f>
        <v xml:space="preserve"> </v>
      </c>
      <c r="S42" s="274"/>
    </row>
    <row r="43" spans="2:19" ht="15" customHeight="1">
      <c r="B43" s="13">
        <f t="shared" si="0"/>
        <v>36</v>
      </c>
      <c r="C43" s="8">
        <f>Anggota!C40</f>
        <v>0</v>
      </c>
      <c r="D43" s="224" t="str">
        <f>IFERROR(VLOOKUP(C43,Anggota!$C$5:$P$209,3,FALSE), " ")</f>
        <v xml:space="preserve"> </v>
      </c>
      <c r="E43" s="341" t="str">
        <f>IFERROR(VLOOKUP(C43,Anggota!$C$5:$P$43,2,FALSE), " ")</f>
        <v xml:space="preserve"> </v>
      </c>
      <c r="F43" s="56" t="str">
        <f>IFERROR(VLOOKUP(C43,Anggota!$C$5:$P$209,8,FALSE), " ")</f>
        <v xml:space="preserve"> </v>
      </c>
      <c r="G43" s="5" t="str">
        <f t="shared" si="1"/>
        <v xml:space="preserve"> </v>
      </c>
      <c r="H43" s="57" t="str">
        <f t="shared" si="2"/>
        <v xml:space="preserve"> </v>
      </c>
      <c r="I43" s="337" t="str">
        <f>IFERROR(VLOOKUP(C43,Anggota!$C$5:$P$209,9,FALSE), " ")</f>
        <v xml:space="preserve"> </v>
      </c>
      <c r="J43" s="59" t="str">
        <f>IFERROR(VLOOKUP(C43,Anggota!$C$5:$P$209,10,FALSE), " ")</f>
        <v xml:space="preserve"> </v>
      </c>
      <c r="K43" s="60" t="str">
        <f>IFERROR(VLOOKUP(C43,Anggota!$C$5:$P$209,11,FALSE), " ")</f>
        <v xml:space="preserve"> </v>
      </c>
      <c r="L43" s="8">
        <f>IFERROR(COUNTIF(Pembayaran!$C$5:$F$240,C43)," ")</f>
        <v>1</v>
      </c>
      <c r="M43" s="8" t="str">
        <f t="shared" si="3"/>
        <v xml:space="preserve"> </v>
      </c>
      <c r="N43" s="15" t="str">
        <f t="shared" si="4"/>
        <v xml:space="preserve"> </v>
      </c>
      <c r="O43" s="276" t="str">
        <f t="shared" si="5"/>
        <v xml:space="preserve"> </v>
      </c>
      <c r="P43" s="276" t="str">
        <f t="shared" si="6"/>
        <v xml:space="preserve"> </v>
      </c>
      <c r="Q43" s="278" t="str">
        <f t="shared" si="7"/>
        <v xml:space="preserve"> </v>
      </c>
      <c r="R43" s="277" t="str">
        <f>IFERROR(VLOOKUP(C43,Anggota!$C$5:$P$43,12,FALSE)-F43, " ")</f>
        <v xml:space="preserve"> </v>
      </c>
      <c r="S43" s="274"/>
    </row>
    <row r="44" spans="2:19" ht="15" customHeight="1">
      <c r="B44" s="13">
        <f>IF(C44=" "," ",ROW()-7)</f>
        <v>37</v>
      </c>
      <c r="C44" s="8">
        <f>Anggota!C41</f>
        <v>0</v>
      </c>
      <c r="D44" s="224" t="str">
        <f>IFERROR(VLOOKUP(C44,Anggota!$C$5:$P$209,3,FALSE), " ")</f>
        <v xml:space="preserve"> </v>
      </c>
      <c r="E44" s="341" t="str">
        <f>IFERROR(VLOOKUP(C44,Anggota!$C$5:$P$43,2,FALSE), " ")</f>
        <v xml:space="preserve"> </v>
      </c>
      <c r="F44" s="56" t="str">
        <f>IFERROR(VLOOKUP(C44,Anggota!$C$5:$P$209,8,FALSE), " ")</f>
        <v xml:space="preserve"> </v>
      </c>
      <c r="G44" s="5" t="str">
        <f>IFERROR(IF(OR(F44=0,F44&lt;I44)," ",(F44/I44))," ")</f>
        <v xml:space="preserve"> </v>
      </c>
      <c r="H44" s="57" t="str">
        <f>IFERROR(IF(OR(F44=0,F44&lt;I44)," ",(F44*J44/I44)), " ")</f>
        <v xml:space="preserve"> </v>
      </c>
      <c r="I44" s="337" t="str">
        <f>IFERROR(VLOOKUP(C44,Anggota!$C$5:$P$209,9,FALSE), " ")</f>
        <v xml:space="preserve"> </v>
      </c>
      <c r="J44" s="59" t="str">
        <f>IFERROR(VLOOKUP(C44,Anggota!$C$5:$P$209,10,FALSE), " ")</f>
        <v xml:space="preserve"> </v>
      </c>
      <c r="K44" s="60" t="str">
        <f>IFERROR(VLOOKUP(C44,Anggota!$C$5:$P$209,11,FALSE), " ")</f>
        <v xml:space="preserve"> </v>
      </c>
      <c r="L44" s="8">
        <f>IFERROR(COUNTIF(Pembayaran!$C$5:$F$240,C44)," ")</f>
        <v>1</v>
      </c>
      <c r="M44" s="8" t="str">
        <f>IFERROR(I44-L44, " ")</f>
        <v xml:space="preserve"> </v>
      </c>
      <c r="N44" s="15" t="str">
        <f>IFERROR(M44*K44, " ")</f>
        <v xml:space="preserve"> </v>
      </c>
      <c r="O44" s="276" t="str">
        <f>IFERROR(F44-G44*L44, " ")</f>
        <v xml:space="preserve"> </v>
      </c>
      <c r="P44" s="276" t="str">
        <f>IFERROR(H44*M44, " ")</f>
        <v xml:space="preserve"> </v>
      </c>
      <c r="Q44" s="278" t="str">
        <f>IF(C44=0, " ",IF(I44&lt;=L44,"LUNAS", "Belum Lunas"))</f>
        <v xml:space="preserve"> </v>
      </c>
      <c r="R44" s="277" t="str">
        <f>IFERROR(VLOOKUP(C44,Anggota!$C$5:$P$43,12,FALSE)-F44, " ")</f>
        <v xml:space="preserve"> </v>
      </c>
      <c r="S44" s="274"/>
    </row>
    <row r="45" spans="2:19" ht="15" customHeight="1">
      <c r="B45" s="13">
        <f>IF(C45=" "," ",ROW()-7)</f>
        <v>38</v>
      </c>
      <c r="C45" s="8">
        <f>Anggota!C42</f>
        <v>0</v>
      </c>
      <c r="D45" s="224" t="str">
        <f>IFERROR(VLOOKUP(C45,Anggota!$C$5:$P$209,3,FALSE), " ")</f>
        <v xml:space="preserve"> </v>
      </c>
      <c r="E45" s="341" t="str">
        <f>IFERROR(VLOOKUP(C45,Anggota!$C$5:$P$43,2,FALSE), " ")</f>
        <v xml:space="preserve"> </v>
      </c>
      <c r="F45" s="56" t="str">
        <f>IFERROR(VLOOKUP(C45,Anggota!$C$5:$P$209,8,FALSE), " ")</f>
        <v xml:space="preserve"> </v>
      </c>
      <c r="G45" s="5" t="str">
        <f>IFERROR(IF(OR(F45=0,F45&lt;I45)," ",(F45/I45))," ")</f>
        <v xml:space="preserve"> </v>
      </c>
      <c r="H45" s="57" t="str">
        <f>IFERROR(IF(OR(F45=0,F45&lt;I45)," ",(F45*J45/I45)), " ")</f>
        <v xml:space="preserve"> </v>
      </c>
      <c r="I45" s="337" t="str">
        <f>IFERROR(VLOOKUP(C45,Anggota!$C$5:$P$209,9,FALSE), " ")</f>
        <v xml:space="preserve"> </v>
      </c>
      <c r="J45" s="59" t="str">
        <f>IFERROR(VLOOKUP(C45,Anggota!$C$5:$P$209,10,FALSE), " ")</f>
        <v xml:space="preserve"> </v>
      </c>
      <c r="K45" s="60" t="str">
        <f>IFERROR(VLOOKUP(C45,Anggota!$C$5:$P$209,11,FALSE), " ")</f>
        <v xml:space="preserve"> </v>
      </c>
      <c r="L45" s="8">
        <f>IFERROR(COUNTIF(Pembayaran!$C$5:$F$240,C45)," ")</f>
        <v>1</v>
      </c>
      <c r="M45" s="8" t="str">
        <f>IFERROR(I45-L45, " ")</f>
        <v xml:space="preserve"> </v>
      </c>
      <c r="N45" s="15" t="str">
        <f>IFERROR(M45*K45, " ")</f>
        <v xml:space="preserve"> </v>
      </c>
      <c r="O45" s="276" t="str">
        <f>IFERROR(F45-G45*L45, " ")</f>
        <v xml:space="preserve"> </v>
      </c>
      <c r="P45" s="276" t="str">
        <f>IFERROR(H45*M45, " ")</f>
        <v xml:space="preserve"> </v>
      </c>
      <c r="Q45" s="278" t="str">
        <f>IF(C45=0, " ",IF(I45&lt;=L45,"LUNAS", "Belum Lunas"))</f>
        <v xml:space="preserve"> </v>
      </c>
      <c r="R45" s="277" t="str">
        <f>IFERROR(VLOOKUP(C45,Anggota!$C$5:$P$43,12,FALSE)-F45, " ")</f>
        <v xml:space="preserve"> </v>
      </c>
      <c r="S45" s="274"/>
    </row>
    <row r="46" spans="2:19" ht="15" customHeight="1">
      <c r="B46" s="13">
        <f>IF(C46=" "," ",ROW()-7)</f>
        <v>39</v>
      </c>
      <c r="C46" s="8">
        <f>Anggota!C43</f>
        <v>0</v>
      </c>
      <c r="D46" s="224" t="str">
        <f>IFERROR(VLOOKUP(C46,Anggota!$C$5:$P$209,3,FALSE), " ")</f>
        <v xml:space="preserve"> </v>
      </c>
      <c r="E46" s="341" t="str">
        <f>IFERROR(VLOOKUP(C46,Anggota!$C$5:$P$43,2,FALSE), " ")</f>
        <v xml:space="preserve"> </v>
      </c>
      <c r="F46" s="56" t="str">
        <f>IFERROR(VLOOKUP(C46,Anggota!$C$5:$P$209,8,FALSE), " ")</f>
        <v xml:space="preserve"> </v>
      </c>
      <c r="G46" s="5" t="str">
        <f>IFERROR(IF(OR(F46=0,F46&lt;I46)," ",(F46/I46))," ")</f>
        <v xml:space="preserve"> </v>
      </c>
      <c r="H46" s="57" t="str">
        <f>IFERROR(IF(OR(F46=0,F46&lt;I46)," ",(F46*J46/I46)), " ")</f>
        <v xml:space="preserve"> </v>
      </c>
      <c r="I46" s="337" t="str">
        <f>IFERROR(VLOOKUP(C46,Anggota!$C$5:$P$209,9,FALSE), " ")</f>
        <v xml:space="preserve"> </v>
      </c>
      <c r="J46" s="59" t="str">
        <f>IFERROR(VLOOKUP(C46,Anggota!$C$5:$P$209,10,FALSE), " ")</f>
        <v xml:space="preserve"> </v>
      </c>
      <c r="K46" s="60" t="str">
        <f>IFERROR(VLOOKUP(C46,Anggota!$C$5:$P$209,11,FALSE), " ")</f>
        <v xml:space="preserve"> </v>
      </c>
      <c r="L46" s="8">
        <f>IFERROR(COUNTIF(Pembayaran!$C$5:$F$240,C46)," ")</f>
        <v>1</v>
      </c>
      <c r="M46" s="8" t="str">
        <f>IFERROR(I46-L46, " ")</f>
        <v xml:space="preserve"> </v>
      </c>
      <c r="N46" s="15" t="str">
        <f>IFERROR(M46*K46, " ")</f>
        <v xml:space="preserve"> </v>
      </c>
      <c r="O46" s="276" t="str">
        <f>IFERROR(F46-G46*L46, " ")</f>
        <v xml:space="preserve"> </v>
      </c>
      <c r="P46" s="276" t="str">
        <f>IFERROR(H46*M46, " ")</f>
        <v xml:space="preserve"> </v>
      </c>
      <c r="Q46" s="278" t="str">
        <f>IF(C46=0, " ",IF(I46&lt;=L46,"LUNAS", "Belum Lunas"))</f>
        <v xml:space="preserve"> </v>
      </c>
      <c r="R46" s="277" t="str">
        <f>IFERROR(VLOOKUP(C46,Anggota!$C$5:$P$43,12,FALSE)-F46, " ")</f>
        <v xml:space="preserve"> </v>
      </c>
      <c r="S46" s="274"/>
    </row>
    <row r="47" spans="2:19" ht="15" customHeight="1">
      <c r="B47" s="13">
        <f>IF(C47=" "," ",ROW()-7)</f>
        <v>40</v>
      </c>
      <c r="C47" s="8">
        <f>Anggota!C40</f>
        <v>0</v>
      </c>
      <c r="D47" s="224" t="str">
        <f>IFERROR(VLOOKUP(C47,Anggota!$C$5:$P$209,3,FALSE), " ")</f>
        <v xml:space="preserve"> </v>
      </c>
      <c r="E47" s="341" t="str">
        <f>IFERROR(VLOOKUP(C47,Anggota!$C$5:$P$111,2,FALSE), " ")</f>
        <v xml:space="preserve"> </v>
      </c>
      <c r="F47" s="56" t="str">
        <f>IFERROR(VLOOKUP(C47,Anggota!$C$5:$P$209,8,FALSE), " ")</f>
        <v xml:space="preserve"> </v>
      </c>
      <c r="G47" s="5" t="str">
        <f>IFERROR(IF(OR(F47=0,F47&lt;I47)," ",(F47/I47))," ")</f>
        <v xml:space="preserve"> </v>
      </c>
      <c r="H47" s="57" t="str">
        <f>IFERROR(IF(OR(F47=0,F47&lt;I47)," ",(F47*J47/I47)), " ")</f>
        <v xml:space="preserve"> </v>
      </c>
      <c r="I47" s="337" t="str">
        <f>IFERROR(VLOOKUP(C47,Anggota!$C$5:$P$209,9,FALSE), " ")</f>
        <v xml:space="preserve"> </v>
      </c>
      <c r="J47" s="59" t="str">
        <f>IFERROR(VLOOKUP(C47,Anggota!$C$5:$P$209,10,FALSE), " ")</f>
        <v xml:space="preserve"> </v>
      </c>
      <c r="K47" s="60" t="str">
        <f>IFERROR(VLOOKUP(C47,Anggota!$C$5:$P$209,11,FALSE), " ")</f>
        <v xml:space="preserve"> </v>
      </c>
      <c r="L47" s="8">
        <f>IFERROR(COUNTIF(Pembayaran!$C$5:$F$240,C47)," ")</f>
        <v>1</v>
      </c>
      <c r="M47" s="8" t="str">
        <f>IFERROR(I47-L47, " ")</f>
        <v xml:space="preserve"> </v>
      </c>
      <c r="N47" s="15" t="str">
        <f>IFERROR(M47*K47, " ")</f>
        <v xml:space="preserve"> </v>
      </c>
      <c r="O47" s="276" t="str">
        <f>IFERROR(F47-G47*L47, " ")</f>
        <v xml:space="preserve"> </v>
      </c>
      <c r="P47" s="276" t="str">
        <f>IFERROR(H47*M47, " ")</f>
        <v xml:space="preserve"> </v>
      </c>
      <c r="Q47" s="278" t="str">
        <f>IF(C47=0, " ",IF(I47&lt;=L47,"LUNAS", "Belum Lunas"))</f>
        <v xml:space="preserve"> </v>
      </c>
      <c r="R47" s="277" t="str">
        <f>IFERROR(VLOOKUP(C47,Anggota!$C$5:$P$111,12,FALSE)-F47, " ")</f>
        <v xml:space="preserve"> </v>
      </c>
      <c r="S47" s="274"/>
    </row>
    <row r="48" spans="2:19" ht="15" customHeight="1">
      <c r="B48" s="13">
        <f t="shared" ref="B48:B88" si="8">IF(C48=" "," ",ROW()-7)</f>
        <v>41</v>
      </c>
      <c r="C48" s="8">
        <f>Anggota!C41</f>
        <v>0</v>
      </c>
      <c r="D48" s="224" t="str">
        <f>IFERROR(VLOOKUP(C48,Anggota!$C$5:$P$209,3,FALSE), " ")</f>
        <v xml:space="preserve"> </v>
      </c>
      <c r="E48" s="341" t="str">
        <f>IFERROR(VLOOKUP(C48,Anggota!$C$5:$P$111,2,FALSE), " ")</f>
        <v xml:space="preserve"> </v>
      </c>
      <c r="F48" s="56" t="str">
        <f>IFERROR(VLOOKUP(C48,Anggota!$C$5:$P$209,8,FALSE), " ")</f>
        <v xml:space="preserve"> </v>
      </c>
      <c r="G48" s="5" t="str">
        <f t="shared" ref="G48:G88" si="9">IFERROR(IF(OR(F48=0,F48&lt;I48)," ",(F48/I48))," ")</f>
        <v xml:space="preserve"> </v>
      </c>
      <c r="H48" s="57" t="str">
        <f t="shared" ref="H48:H88" si="10">IFERROR(IF(OR(F48=0,F48&lt;I48)," ",(F48*J48/I48)), " ")</f>
        <v xml:space="preserve"> </v>
      </c>
      <c r="I48" s="337" t="str">
        <f>IFERROR(VLOOKUP(C48,Anggota!$C$5:$P$209,9,FALSE), " ")</f>
        <v xml:space="preserve"> </v>
      </c>
      <c r="J48" s="59" t="str">
        <f>IFERROR(VLOOKUP(C48,Anggota!$C$5:$P$209,10,FALSE), " ")</f>
        <v xml:space="preserve"> </v>
      </c>
      <c r="K48" s="60" t="str">
        <f>IFERROR(VLOOKUP(C48,Anggota!$C$5:$P$209,11,FALSE), " ")</f>
        <v xml:space="preserve"> </v>
      </c>
      <c r="L48" s="8">
        <f>IFERROR(COUNTIF(Pembayaran!$C$5:$F$240,C48)," ")</f>
        <v>1</v>
      </c>
      <c r="M48" s="8" t="str">
        <f t="shared" ref="M48:M88" si="11">IFERROR(I48-L48, " ")</f>
        <v xml:space="preserve"> </v>
      </c>
      <c r="N48" s="15" t="str">
        <f t="shared" ref="N48:N88" si="12">IFERROR(M48*K48, " ")</f>
        <v xml:space="preserve"> </v>
      </c>
      <c r="O48" s="276" t="str">
        <f t="shared" ref="O48:O88" si="13">IFERROR(F48-G48*L48, " ")</f>
        <v xml:space="preserve"> </v>
      </c>
      <c r="P48" s="276" t="str">
        <f t="shared" ref="P48:P88" si="14">IFERROR(H48*M48, " ")</f>
        <v xml:space="preserve"> </v>
      </c>
      <c r="Q48" s="278" t="str">
        <f t="shared" ref="Q48:Q88" si="15">IF(C48=0, " ",IF(I48&lt;=L48,"LUNAS", "Belum Lunas"))</f>
        <v xml:space="preserve"> </v>
      </c>
      <c r="R48" s="277" t="str">
        <f>IFERROR(VLOOKUP(C48,Anggota!$C$5:$P$111,12,FALSE)-F48, " ")</f>
        <v xml:space="preserve"> </v>
      </c>
      <c r="S48" s="274"/>
    </row>
    <row r="49" spans="2:19" ht="15" customHeight="1">
      <c r="B49" s="13">
        <f t="shared" si="8"/>
        <v>42</v>
      </c>
      <c r="C49" s="8">
        <f>Anggota!C42</f>
        <v>0</v>
      </c>
      <c r="D49" s="224" t="str">
        <f>IFERROR(VLOOKUP(C49,Anggota!$C$5:$P$209,3,FALSE), " ")</f>
        <v xml:space="preserve"> </v>
      </c>
      <c r="E49" s="341" t="str">
        <f>IFERROR(VLOOKUP(C49,Anggota!$C$5:$P$111,2,FALSE), " ")</f>
        <v xml:space="preserve"> </v>
      </c>
      <c r="F49" s="56" t="str">
        <f>IFERROR(VLOOKUP(C49,Anggota!$C$5:$P$209,8,FALSE), " ")</f>
        <v xml:space="preserve"> </v>
      </c>
      <c r="G49" s="5" t="str">
        <f t="shared" si="9"/>
        <v xml:space="preserve"> </v>
      </c>
      <c r="H49" s="57" t="str">
        <f t="shared" si="10"/>
        <v xml:space="preserve"> </v>
      </c>
      <c r="I49" s="337" t="str">
        <f>IFERROR(VLOOKUP(C49,Anggota!$C$5:$P$209,9,FALSE), " ")</f>
        <v xml:space="preserve"> </v>
      </c>
      <c r="J49" s="59" t="str">
        <f>IFERROR(VLOOKUP(C49,Anggota!$C$5:$P$209,10,FALSE), " ")</f>
        <v xml:space="preserve"> </v>
      </c>
      <c r="K49" s="60" t="str">
        <f>IFERROR(VLOOKUP(C49,Anggota!$C$5:$P$209,11,FALSE), " ")</f>
        <v xml:space="preserve"> </v>
      </c>
      <c r="L49" s="8">
        <f>IFERROR(COUNTIF(Pembayaran!$C$5:$F$240,C49)," ")</f>
        <v>1</v>
      </c>
      <c r="M49" s="8" t="str">
        <f t="shared" si="11"/>
        <v xml:space="preserve"> </v>
      </c>
      <c r="N49" s="15" t="str">
        <f t="shared" si="12"/>
        <v xml:space="preserve"> </v>
      </c>
      <c r="O49" s="276" t="str">
        <f t="shared" si="13"/>
        <v xml:space="preserve"> </v>
      </c>
      <c r="P49" s="276" t="str">
        <f t="shared" si="14"/>
        <v xml:space="preserve"> </v>
      </c>
      <c r="Q49" s="278" t="str">
        <f t="shared" si="15"/>
        <v xml:space="preserve"> </v>
      </c>
      <c r="R49" s="277" t="str">
        <f>IFERROR(VLOOKUP(C49,Anggota!$C$5:$P$111,12,FALSE)-F49, " ")</f>
        <v xml:space="preserve"> </v>
      </c>
      <c r="S49" s="274"/>
    </row>
    <row r="50" spans="2:19" ht="15" customHeight="1">
      <c r="B50" s="13">
        <f t="shared" si="8"/>
        <v>43</v>
      </c>
      <c r="C50" s="8">
        <f>Anggota!C43</f>
        <v>0</v>
      </c>
      <c r="D50" s="224" t="str">
        <f>IFERROR(VLOOKUP(C50,Anggota!$C$5:$P$209,3,FALSE), " ")</f>
        <v xml:space="preserve"> </v>
      </c>
      <c r="E50" s="341" t="str">
        <f>IFERROR(VLOOKUP(C50,Anggota!$C$5:$P$111,2,FALSE), " ")</f>
        <v xml:space="preserve"> </v>
      </c>
      <c r="F50" s="56" t="str">
        <f>IFERROR(VLOOKUP(C50,Anggota!$C$5:$P$209,8,FALSE), " ")</f>
        <v xml:space="preserve"> </v>
      </c>
      <c r="G50" s="5" t="str">
        <f t="shared" si="9"/>
        <v xml:space="preserve"> </v>
      </c>
      <c r="H50" s="57" t="str">
        <f t="shared" si="10"/>
        <v xml:space="preserve"> </v>
      </c>
      <c r="I50" s="337" t="str">
        <f>IFERROR(VLOOKUP(C50,Anggota!$C$5:$P$209,9,FALSE), " ")</f>
        <v xml:space="preserve"> </v>
      </c>
      <c r="J50" s="59" t="str">
        <f>IFERROR(VLOOKUP(C50,Anggota!$C$5:$P$209,10,FALSE), " ")</f>
        <v xml:space="preserve"> </v>
      </c>
      <c r="K50" s="60" t="str">
        <f>IFERROR(VLOOKUP(C50,Anggota!$C$5:$P$209,11,FALSE), " ")</f>
        <v xml:space="preserve"> </v>
      </c>
      <c r="L50" s="8">
        <f>IFERROR(COUNTIF(Pembayaran!$C$5:$F$240,C50)," ")</f>
        <v>1</v>
      </c>
      <c r="M50" s="8" t="str">
        <f t="shared" si="11"/>
        <v xml:space="preserve"> </v>
      </c>
      <c r="N50" s="15" t="str">
        <f t="shared" si="12"/>
        <v xml:space="preserve"> </v>
      </c>
      <c r="O50" s="276" t="str">
        <f t="shared" si="13"/>
        <v xml:space="preserve"> </v>
      </c>
      <c r="P50" s="276" t="str">
        <f t="shared" si="14"/>
        <v xml:space="preserve"> </v>
      </c>
      <c r="Q50" s="278" t="str">
        <f t="shared" si="15"/>
        <v xml:space="preserve"> </v>
      </c>
      <c r="R50" s="277" t="str">
        <f>IFERROR(VLOOKUP(C50,Anggota!$C$5:$P$111,12,FALSE)-F50, " ")</f>
        <v xml:space="preserve"> </v>
      </c>
      <c r="S50" s="274"/>
    </row>
    <row r="51" spans="2:19" ht="15" customHeight="1">
      <c r="B51" s="13">
        <f t="shared" si="8"/>
        <v>44</v>
      </c>
      <c r="C51" s="8">
        <f>Anggota!C44</f>
        <v>0</v>
      </c>
      <c r="D51" s="224" t="str">
        <f>IFERROR(VLOOKUP(C51,Anggota!$C$5:$P$209,3,FALSE), " ")</f>
        <v xml:space="preserve"> </v>
      </c>
      <c r="E51" s="341" t="str">
        <f>IFERROR(VLOOKUP(C51,Anggota!$C$5:$P$111,2,FALSE), " ")</f>
        <v xml:space="preserve"> </v>
      </c>
      <c r="F51" s="56" t="str">
        <f>IFERROR(VLOOKUP(C51,Anggota!$C$5:$P$209,8,FALSE), " ")</f>
        <v xml:space="preserve"> </v>
      </c>
      <c r="G51" s="5" t="str">
        <f t="shared" si="9"/>
        <v xml:space="preserve"> </v>
      </c>
      <c r="H51" s="57" t="str">
        <f t="shared" si="10"/>
        <v xml:space="preserve"> </v>
      </c>
      <c r="I51" s="337" t="str">
        <f>IFERROR(VLOOKUP(C51,Anggota!$C$5:$P$209,9,FALSE), " ")</f>
        <v xml:space="preserve"> </v>
      </c>
      <c r="J51" s="59" t="str">
        <f>IFERROR(VLOOKUP(C51,Anggota!$C$5:$P$209,10,FALSE), " ")</f>
        <v xml:space="preserve"> </v>
      </c>
      <c r="K51" s="60" t="str">
        <f>IFERROR(VLOOKUP(C51,Anggota!$C$5:$P$209,11,FALSE), " ")</f>
        <v xml:space="preserve"> </v>
      </c>
      <c r="L51" s="8">
        <f>IFERROR(COUNTIF(Pembayaran!$C$5:$F$240,C51)," ")</f>
        <v>1</v>
      </c>
      <c r="M51" s="8" t="str">
        <f t="shared" si="11"/>
        <v xml:space="preserve"> </v>
      </c>
      <c r="N51" s="15" t="str">
        <f t="shared" si="12"/>
        <v xml:space="preserve"> </v>
      </c>
      <c r="O51" s="276" t="str">
        <f t="shared" si="13"/>
        <v xml:space="preserve"> </v>
      </c>
      <c r="P51" s="276" t="str">
        <f t="shared" si="14"/>
        <v xml:space="preserve"> </v>
      </c>
      <c r="Q51" s="278" t="str">
        <f t="shared" si="15"/>
        <v xml:space="preserve"> </v>
      </c>
      <c r="R51" s="277" t="str">
        <f>IFERROR(VLOOKUP(C51,Anggota!$C$5:$P$111,12,FALSE)-F51, " ")</f>
        <v xml:space="preserve"> </v>
      </c>
      <c r="S51" s="274"/>
    </row>
    <row r="52" spans="2:19" ht="15" customHeight="1">
      <c r="B52" s="13">
        <f t="shared" si="8"/>
        <v>45</v>
      </c>
      <c r="C52" s="8">
        <f>Anggota!C45</f>
        <v>0</v>
      </c>
      <c r="D52" s="224" t="str">
        <f>IFERROR(VLOOKUP(C52,Anggota!$C$5:$P$209,3,FALSE), " ")</f>
        <v xml:space="preserve"> </v>
      </c>
      <c r="E52" s="341" t="str">
        <f>IFERROR(VLOOKUP(C52,Anggota!$C$5:$P$111,2,FALSE), " ")</f>
        <v xml:space="preserve"> </v>
      </c>
      <c r="F52" s="56" t="str">
        <f>IFERROR(VLOOKUP(C52,Anggota!$C$5:$P$209,8,FALSE), " ")</f>
        <v xml:space="preserve"> </v>
      </c>
      <c r="G52" s="5" t="str">
        <f t="shared" si="9"/>
        <v xml:space="preserve"> </v>
      </c>
      <c r="H52" s="57" t="str">
        <f t="shared" si="10"/>
        <v xml:space="preserve"> </v>
      </c>
      <c r="I52" s="337" t="str">
        <f>IFERROR(VLOOKUP(C52,Anggota!$C$5:$P$209,9,FALSE), " ")</f>
        <v xml:space="preserve"> </v>
      </c>
      <c r="J52" s="59" t="str">
        <f>IFERROR(VLOOKUP(C52,Anggota!$C$5:$P$209,10,FALSE), " ")</f>
        <v xml:space="preserve"> </v>
      </c>
      <c r="K52" s="60" t="str">
        <f>IFERROR(VLOOKUP(C52,Anggota!$C$5:$P$209,11,FALSE), " ")</f>
        <v xml:space="preserve"> </v>
      </c>
      <c r="L52" s="8">
        <f>IFERROR(COUNTIF(Pembayaran!$C$5:$F$240,C52)," ")</f>
        <v>1</v>
      </c>
      <c r="M52" s="8" t="str">
        <f t="shared" si="11"/>
        <v xml:space="preserve"> </v>
      </c>
      <c r="N52" s="15" t="str">
        <f t="shared" si="12"/>
        <v xml:space="preserve"> </v>
      </c>
      <c r="O52" s="276" t="str">
        <f t="shared" si="13"/>
        <v xml:space="preserve"> </v>
      </c>
      <c r="P52" s="276" t="str">
        <f t="shared" si="14"/>
        <v xml:space="preserve"> </v>
      </c>
      <c r="Q52" s="278" t="str">
        <f t="shared" si="15"/>
        <v xml:space="preserve"> </v>
      </c>
      <c r="R52" s="277" t="str">
        <f>IFERROR(VLOOKUP(C52,Anggota!$C$5:$P$111,12,FALSE)-F52, " ")</f>
        <v xml:space="preserve"> </v>
      </c>
      <c r="S52" s="274"/>
    </row>
    <row r="53" spans="2:19" ht="15" customHeight="1">
      <c r="B53" s="13">
        <f t="shared" si="8"/>
        <v>46</v>
      </c>
      <c r="C53" s="8">
        <f>Anggota!C46</f>
        <v>0</v>
      </c>
      <c r="D53" s="224" t="str">
        <f>IFERROR(VLOOKUP(C53,Anggota!$C$5:$P$209,3,FALSE), " ")</f>
        <v xml:space="preserve"> </v>
      </c>
      <c r="E53" s="341" t="str">
        <f>IFERROR(VLOOKUP(C53,Anggota!$C$5:$P$111,2,FALSE), " ")</f>
        <v xml:space="preserve"> </v>
      </c>
      <c r="F53" s="56" t="str">
        <f>IFERROR(VLOOKUP(C53,Anggota!$C$5:$P$209,8,FALSE), " ")</f>
        <v xml:space="preserve"> </v>
      </c>
      <c r="G53" s="5" t="str">
        <f t="shared" si="9"/>
        <v xml:space="preserve"> </v>
      </c>
      <c r="H53" s="57" t="str">
        <f t="shared" si="10"/>
        <v xml:space="preserve"> </v>
      </c>
      <c r="I53" s="337" t="str">
        <f>IFERROR(VLOOKUP(C53,Anggota!$C$5:$P$209,9,FALSE), " ")</f>
        <v xml:space="preserve"> </v>
      </c>
      <c r="J53" s="59" t="str">
        <f>IFERROR(VLOOKUP(C53,Anggota!$C$5:$P$209,10,FALSE), " ")</f>
        <v xml:space="preserve"> </v>
      </c>
      <c r="K53" s="60" t="str">
        <f>IFERROR(VLOOKUP(C53,Anggota!$C$5:$P$209,11,FALSE), " ")</f>
        <v xml:space="preserve"> </v>
      </c>
      <c r="L53" s="8">
        <f>IFERROR(COUNTIF(Pembayaran!$C$5:$F$240,C53)," ")</f>
        <v>1</v>
      </c>
      <c r="M53" s="8" t="str">
        <f t="shared" si="11"/>
        <v xml:space="preserve"> </v>
      </c>
      <c r="N53" s="15" t="str">
        <f t="shared" si="12"/>
        <v xml:space="preserve"> </v>
      </c>
      <c r="O53" s="276" t="str">
        <f t="shared" si="13"/>
        <v xml:space="preserve"> </v>
      </c>
      <c r="P53" s="276" t="str">
        <f t="shared" si="14"/>
        <v xml:space="preserve"> </v>
      </c>
      <c r="Q53" s="278" t="str">
        <f t="shared" si="15"/>
        <v xml:space="preserve"> </v>
      </c>
      <c r="R53" s="277" t="str">
        <f>IFERROR(VLOOKUP(C53,Anggota!$C$5:$P$111,12,FALSE)-F53, " ")</f>
        <v xml:space="preserve"> </v>
      </c>
      <c r="S53" s="274"/>
    </row>
    <row r="54" spans="2:19" ht="15" customHeight="1">
      <c r="B54" s="13">
        <f t="shared" si="8"/>
        <v>47</v>
      </c>
      <c r="C54" s="8">
        <f>Anggota!C47</f>
        <v>0</v>
      </c>
      <c r="D54" s="224" t="str">
        <f>IFERROR(VLOOKUP(C54,Anggota!$C$5:$P$209,3,FALSE), " ")</f>
        <v xml:space="preserve"> </v>
      </c>
      <c r="E54" s="341" t="str">
        <f>IFERROR(VLOOKUP(C54,Anggota!$C$5:$P$111,2,FALSE), " ")</f>
        <v xml:space="preserve"> </v>
      </c>
      <c r="F54" s="56" t="str">
        <f>IFERROR(VLOOKUP(C54,Anggota!$C$5:$P$209,8,FALSE), " ")</f>
        <v xml:space="preserve"> </v>
      </c>
      <c r="G54" s="5" t="str">
        <f t="shared" si="9"/>
        <v xml:space="preserve"> </v>
      </c>
      <c r="H54" s="57" t="str">
        <f t="shared" si="10"/>
        <v xml:space="preserve"> </v>
      </c>
      <c r="I54" s="337" t="str">
        <f>IFERROR(VLOOKUP(C54,Anggota!$C$5:$P$209,9,FALSE), " ")</f>
        <v xml:space="preserve"> </v>
      </c>
      <c r="J54" s="59" t="str">
        <f>IFERROR(VLOOKUP(C54,Anggota!$C$5:$P$209,10,FALSE), " ")</f>
        <v xml:space="preserve"> </v>
      </c>
      <c r="K54" s="60" t="str">
        <f>IFERROR(VLOOKUP(C54,Anggota!$C$5:$P$209,11,FALSE), " ")</f>
        <v xml:space="preserve"> </v>
      </c>
      <c r="L54" s="8">
        <f>IFERROR(COUNTIF(Pembayaran!$C$5:$F$240,C54)," ")</f>
        <v>1</v>
      </c>
      <c r="M54" s="8" t="str">
        <f t="shared" si="11"/>
        <v xml:space="preserve"> </v>
      </c>
      <c r="N54" s="15" t="str">
        <f t="shared" si="12"/>
        <v xml:space="preserve"> </v>
      </c>
      <c r="O54" s="276" t="str">
        <f t="shared" si="13"/>
        <v xml:space="preserve"> </v>
      </c>
      <c r="P54" s="276" t="str">
        <f t="shared" si="14"/>
        <v xml:space="preserve"> </v>
      </c>
      <c r="Q54" s="278" t="str">
        <f t="shared" si="15"/>
        <v xml:space="preserve"> </v>
      </c>
      <c r="R54" s="277" t="str">
        <f>IFERROR(VLOOKUP(C54,Anggota!$C$5:$P$111,12,FALSE)-F54, " ")</f>
        <v xml:space="preserve"> </v>
      </c>
      <c r="S54" s="274"/>
    </row>
    <row r="55" spans="2:19" ht="15" customHeight="1">
      <c r="B55" s="13">
        <f t="shared" si="8"/>
        <v>48</v>
      </c>
      <c r="C55" s="8">
        <f>Anggota!C48</f>
        <v>0</v>
      </c>
      <c r="D55" s="224" t="str">
        <f>IFERROR(VLOOKUP(C55,Anggota!$C$5:$P$209,3,FALSE), " ")</f>
        <v xml:space="preserve"> </v>
      </c>
      <c r="E55" s="341" t="str">
        <f>IFERROR(VLOOKUP(C55,Anggota!$C$5:$P$111,2,FALSE), " ")</f>
        <v xml:space="preserve"> </v>
      </c>
      <c r="F55" s="56" t="str">
        <f>IFERROR(VLOOKUP(C55,Anggota!$C$5:$P$209,8,FALSE), " ")</f>
        <v xml:space="preserve"> </v>
      </c>
      <c r="G55" s="5" t="str">
        <f t="shared" si="9"/>
        <v xml:space="preserve"> </v>
      </c>
      <c r="H55" s="57" t="str">
        <f t="shared" si="10"/>
        <v xml:space="preserve"> </v>
      </c>
      <c r="I55" s="337" t="str">
        <f>IFERROR(VLOOKUP(C55,Anggota!$C$5:$P$209,9,FALSE), " ")</f>
        <v xml:space="preserve"> </v>
      </c>
      <c r="J55" s="59" t="str">
        <f>IFERROR(VLOOKUP(C55,Anggota!$C$5:$P$209,10,FALSE), " ")</f>
        <v xml:space="preserve"> </v>
      </c>
      <c r="K55" s="60" t="str">
        <f>IFERROR(VLOOKUP(C55,Anggota!$C$5:$P$209,11,FALSE), " ")</f>
        <v xml:space="preserve"> </v>
      </c>
      <c r="L55" s="8">
        <f>IFERROR(COUNTIF(Pembayaran!$C$5:$F$240,C55)," ")</f>
        <v>1</v>
      </c>
      <c r="M55" s="8" t="str">
        <f t="shared" si="11"/>
        <v xml:space="preserve"> </v>
      </c>
      <c r="N55" s="15" t="str">
        <f t="shared" si="12"/>
        <v xml:space="preserve"> </v>
      </c>
      <c r="O55" s="276" t="str">
        <f t="shared" si="13"/>
        <v xml:space="preserve"> </v>
      </c>
      <c r="P55" s="276" t="str">
        <f t="shared" si="14"/>
        <v xml:space="preserve"> </v>
      </c>
      <c r="Q55" s="278" t="str">
        <f t="shared" si="15"/>
        <v xml:space="preserve"> </v>
      </c>
      <c r="R55" s="277" t="str">
        <f>IFERROR(VLOOKUP(C55,Anggota!$C$5:$P$111,12,FALSE)-F55, " ")</f>
        <v xml:space="preserve"> </v>
      </c>
      <c r="S55" s="274"/>
    </row>
    <row r="56" spans="2:19" ht="15" customHeight="1">
      <c r="B56" s="13">
        <f t="shared" si="8"/>
        <v>49</v>
      </c>
      <c r="C56" s="8">
        <f>Anggota!C49</f>
        <v>0</v>
      </c>
      <c r="D56" s="224" t="str">
        <f>IFERROR(VLOOKUP(C56,Anggota!$C$5:$P$209,3,FALSE), " ")</f>
        <v xml:space="preserve"> </v>
      </c>
      <c r="E56" s="341" t="str">
        <f>IFERROR(VLOOKUP(C56,Anggota!$C$5:$P$111,2,FALSE), " ")</f>
        <v xml:space="preserve"> </v>
      </c>
      <c r="F56" s="56" t="str">
        <f>IFERROR(VLOOKUP(C56,Anggota!$C$5:$P$209,8,FALSE), " ")</f>
        <v xml:space="preserve"> </v>
      </c>
      <c r="G56" s="5" t="str">
        <f t="shared" si="9"/>
        <v xml:space="preserve"> </v>
      </c>
      <c r="H56" s="57" t="str">
        <f t="shared" si="10"/>
        <v xml:space="preserve"> </v>
      </c>
      <c r="I56" s="337" t="str">
        <f>IFERROR(VLOOKUP(C56,Anggota!$C$5:$P$209,9,FALSE), " ")</f>
        <v xml:space="preserve"> </v>
      </c>
      <c r="J56" s="59" t="str">
        <f>IFERROR(VLOOKUP(C56,Anggota!$C$5:$P$209,10,FALSE), " ")</f>
        <v xml:space="preserve"> </v>
      </c>
      <c r="K56" s="60" t="str">
        <f>IFERROR(VLOOKUP(C56,Anggota!$C$5:$P$209,11,FALSE), " ")</f>
        <v xml:space="preserve"> </v>
      </c>
      <c r="L56" s="8">
        <f>IFERROR(COUNTIF(Pembayaran!$C$5:$F$240,C56)," ")</f>
        <v>1</v>
      </c>
      <c r="M56" s="8" t="str">
        <f t="shared" si="11"/>
        <v xml:space="preserve"> </v>
      </c>
      <c r="N56" s="15" t="str">
        <f t="shared" si="12"/>
        <v xml:space="preserve"> </v>
      </c>
      <c r="O56" s="276" t="str">
        <f t="shared" si="13"/>
        <v xml:space="preserve"> </v>
      </c>
      <c r="P56" s="276" t="str">
        <f t="shared" si="14"/>
        <v xml:space="preserve"> </v>
      </c>
      <c r="Q56" s="278" t="str">
        <f t="shared" si="15"/>
        <v xml:space="preserve"> </v>
      </c>
      <c r="R56" s="277" t="str">
        <f>IFERROR(VLOOKUP(C56,Anggota!$C$5:$P$111,12,FALSE)-F56, " ")</f>
        <v xml:space="preserve"> </v>
      </c>
      <c r="S56" s="274"/>
    </row>
    <row r="57" spans="2:19" ht="15" customHeight="1">
      <c r="B57" s="13">
        <f t="shared" si="8"/>
        <v>50</v>
      </c>
      <c r="C57" s="8">
        <f>Anggota!C50</f>
        <v>0</v>
      </c>
      <c r="D57" s="224" t="str">
        <f>IFERROR(VLOOKUP(C57,Anggota!$C$5:$P$209,3,FALSE), " ")</f>
        <v xml:space="preserve"> </v>
      </c>
      <c r="E57" s="341" t="str">
        <f>IFERROR(VLOOKUP(C57,Anggota!$C$5:$P$111,2,FALSE), " ")</f>
        <v xml:space="preserve"> </v>
      </c>
      <c r="F57" s="56" t="str">
        <f>IFERROR(VLOOKUP(C57,Anggota!$C$5:$P$209,8,FALSE), " ")</f>
        <v xml:space="preserve"> </v>
      </c>
      <c r="G57" s="5" t="str">
        <f t="shared" si="9"/>
        <v xml:space="preserve"> </v>
      </c>
      <c r="H57" s="57" t="str">
        <f t="shared" si="10"/>
        <v xml:space="preserve"> </v>
      </c>
      <c r="I57" s="337" t="str">
        <f>IFERROR(VLOOKUP(C57,Anggota!$C$5:$P$209,9,FALSE), " ")</f>
        <v xml:space="preserve"> </v>
      </c>
      <c r="J57" s="59" t="str">
        <f>IFERROR(VLOOKUP(C57,Anggota!$C$5:$P$209,10,FALSE), " ")</f>
        <v xml:space="preserve"> </v>
      </c>
      <c r="K57" s="60" t="str">
        <f>IFERROR(VLOOKUP(C57,Anggota!$C$5:$P$209,11,FALSE), " ")</f>
        <v xml:space="preserve"> </v>
      </c>
      <c r="L57" s="8">
        <f>IFERROR(COUNTIF(Pembayaran!$C$5:$F$240,C57)," ")</f>
        <v>1</v>
      </c>
      <c r="M57" s="8" t="str">
        <f t="shared" si="11"/>
        <v xml:space="preserve"> </v>
      </c>
      <c r="N57" s="15" t="str">
        <f t="shared" si="12"/>
        <v xml:space="preserve"> </v>
      </c>
      <c r="O57" s="276" t="str">
        <f t="shared" si="13"/>
        <v xml:space="preserve"> </v>
      </c>
      <c r="P57" s="276" t="str">
        <f t="shared" si="14"/>
        <v xml:space="preserve"> </v>
      </c>
      <c r="Q57" s="278" t="str">
        <f t="shared" si="15"/>
        <v xml:space="preserve"> </v>
      </c>
      <c r="R57" s="277" t="str">
        <f>IFERROR(VLOOKUP(C57,Anggota!$C$5:$P$111,12,FALSE)-F57, " ")</f>
        <v xml:space="preserve"> </v>
      </c>
      <c r="S57" s="274"/>
    </row>
    <row r="58" spans="2:19" ht="15" customHeight="1">
      <c r="B58" s="13">
        <f t="shared" si="8"/>
        <v>51</v>
      </c>
      <c r="C58" s="8">
        <f>Anggota!C51</f>
        <v>0</v>
      </c>
      <c r="D58" s="224" t="str">
        <f>IFERROR(VLOOKUP(C58,Anggota!$C$5:$P$209,3,FALSE), " ")</f>
        <v xml:space="preserve"> </v>
      </c>
      <c r="E58" s="341" t="str">
        <f>IFERROR(VLOOKUP(C58,Anggota!$C$5:$P$111,2,FALSE), " ")</f>
        <v xml:space="preserve"> </v>
      </c>
      <c r="F58" s="56" t="str">
        <f>IFERROR(VLOOKUP(C58,Anggota!$C$5:$P$209,8,FALSE), " ")</f>
        <v xml:space="preserve"> </v>
      </c>
      <c r="G58" s="5" t="str">
        <f t="shared" si="9"/>
        <v xml:space="preserve"> </v>
      </c>
      <c r="H58" s="57" t="str">
        <f t="shared" si="10"/>
        <v xml:space="preserve"> </v>
      </c>
      <c r="I58" s="337" t="str">
        <f>IFERROR(VLOOKUP(C58,Anggota!$C$5:$P$209,9,FALSE), " ")</f>
        <v xml:space="preserve"> </v>
      </c>
      <c r="J58" s="59" t="str">
        <f>IFERROR(VLOOKUP(C58,Anggota!$C$5:$P$209,10,FALSE), " ")</f>
        <v xml:space="preserve"> </v>
      </c>
      <c r="K58" s="60" t="str">
        <f>IFERROR(VLOOKUP(C58,Anggota!$C$5:$P$209,11,FALSE), " ")</f>
        <v xml:space="preserve"> </v>
      </c>
      <c r="L58" s="8">
        <f>IFERROR(COUNTIF(Pembayaran!$C$5:$F$240,C58)," ")</f>
        <v>1</v>
      </c>
      <c r="M58" s="8" t="str">
        <f t="shared" si="11"/>
        <v xml:space="preserve"> </v>
      </c>
      <c r="N58" s="15" t="str">
        <f t="shared" si="12"/>
        <v xml:space="preserve"> </v>
      </c>
      <c r="O58" s="276" t="str">
        <f t="shared" si="13"/>
        <v xml:space="preserve"> </v>
      </c>
      <c r="P58" s="276" t="str">
        <f t="shared" si="14"/>
        <v xml:space="preserve"> </v>
      </c>
      <c r="Q58" s="278" t="str">
        <f t="shared" si="15"/>
        <v xml:space="preserve"> </v>
      </c>
      <c r="R58" s="277" t="str">
        <f>IFERROR(VLOOKUP(C58,Anggota!$C$5:$P$111,12,FALSE)-F58, " ")</f>
        <v xml:space="preserve"> </v>
      </c>
      <c r="S58" s="274"/>
    </row>
    <row r="59" spans="2:19" ht="15" customHeight="1">
      <c r="B59" s="13">
        <f t="shared" si="8"/>
        <v>52</v>
      </c>
      <c r="C59" s="8">
        <f>Anggota!C52</f>
        <v>0</v>
      </c>
      <c r="D59" s="224" t="str">
        <f>IFERROR(VLOOKUP(C59,Anggota!$C$5:$P$209,3,FALSE), " ")</f>
        <v xml:space="preserve"> </v>
      </c>
      <c r="E59" s="341" t="str">
        <f>IFERROR(VLOOKUP(C59,Anggota!$C$5:$P$111,2,FALSE), " ")</f>
        <v xml:space="preserve"> </v>
      </c>
      <c r="F59" s="56" t="str">
        <f>IFERROR(VLOOKUP(C59,Anggota!$C$5:$P$209,8,FALSE), " ")</f>
        <v xml:space="preserve"> </v>
      </c>
      <c r="G59" s="5" t="str">
        <f t="shared" si="9"/>
        <v xml:space="preserve"> </v>
      </c>
      <c r="H59" s="57" t="str">
        <f t="shared" si="10"/>
        <v xml:space="preserve"> </v>
      </c>
      <c r="I59" s="337" t="str">
        <f>IFERROR(VLOOKUP(C59,Anggota!$C$5:$P$209,9,FALSE), " ")</f>
        <v xml:space="preserve"> </v>
      </c>
      <c r="J59" s="59" t="str">
        <f>IFERROR(VLOOKUP(C59,Anggota!$C$5:$P$209,10,FALSE), " ")</f>
        <v xml:space="preserve"> </v>
      </c>
      <c r="K59" s="60" t="str">
        <f>IFERROR(VLOOKUP(C59,Anggota!$C$5:$P$209,11,FALSE), " ")</f>
        <v xml:space="preserve"> </v>
      </c>
      <c r="L59" s="8">
        <f>IFERROR(COUNTIF(Pembayaran!$C$5:$F$240,C59)," ")</f>
        <v>1</v>
      </c>
      <c r="M59" s="8" t="str">
        <f t="shared" si="11"/>
        <v xml:space="preserve"> </v>
      </c>
      <c r="N59" s="15" t="str">
        <f t="shared" si="12"/>
        <v xml:space="preserve"> </v>
      </c>
      <c r="O59" s="276" t="str">
        <f t="shared" si="13"/>
        <v xml:space="preserve"> </v>
      </c>
      <c r="P59" s="276" t="str">
        <f t="shared" si="14"/>
        <v xml:space="preserve"> </v>
      </c>
      <c r="Q59" s="278" t="str">
        <f t="shared" si="15"/>
        <v xml:space="preserve"> </v>
      </c>
      <c r="R59" s="277" t="str">
        <f>IFERROR(VLOOKUP(C59,Anggota!$C$5:$P$111,12,FALSE)-F59, " ")</f>
        <v xml:space="preserve"> </v>
      </c>
      <c r="S59" s="274"/>
    </row>
    <row r="60" spans="2:19" ht="15" customHeight="1">
      <c r="B60" s="13">
        <f t="shared" si="8"/>
        <v>53</v>
      </c>
      <c r="C60" s="8">
        <f>Anggota!C53</f>
        <v>0</v>
      </c>
      <c r="D60" s="224" t="str">
        <f>IFERROR(VLOOKUP(C60,Anggota!$C$5:$P$209,3,FALSE), " ")</f>
        <v xml:space="preserve"> </v>
      </c>
      <c r="E60" s="341" t="str">
        <f>IFERROR(VLOOKUP(C60,Anggota!$C$5:$P$111,2,FALSE), " ")</f>
        <v xml:space="preserve"> </v>
      </c>
      <c r="F60" s="56" t="str">
        <f>IFERROR(VLOOKUP(C60,Anggota!$C$5:$P$209,8,FALSE), " ")</f>
        <v xml:space="preserve"> </v>
      </c>
      <c r="G60" s="5" t="str">
        <f t="shared" si="9"/>
        <v xml:space="preserve"> </v>
      </c>
      <c r="H60" s="57" t="str">
        <f t="shared" si="10"/>
        <v xml:space="preserve"> </v>
      </c>
      <c r="I60" s="337" t="str">
        <f>IFERROR(VLOOKUP(C60,Anggota!$C$5:$P$209,9,FALSE), " ")</f>
        <v xml:space="preserve"> </v>
      </c>
      <c r="J60" s="59" t="str">
        <f>IFERROR(VLOOKUP(C60,Anggota!$C$5:$P$209,10,FALSE), " ")</f>
        <v xml:space="preserve"> </v>
      </c>
      <c r="K60" s="60" t="str">
        <f>IFERROR(VLOOKUP(C60,Anggota!$C$5:$P$209,11,FALSE), " ")</f>
        <v xml:space="preserve"> </v>
      </c>
      <c r="L60" s="8">
        <f>IFERROR(COUNTIF(Pembayaran!$C$5:$F$240,C60)," ")</f>
        <v>1</v>
      </c>
      <c r="M60" s="8" t="str">
        <f t="shared" si="11"/>
        <v xml:space="preserve"> </v>
      </c>
      <c r="N60" s="15" t="str">
        <f t="shared" si="12"/>
        <v xml:space="preserve"> </v>
      </c>
      <c r="O60" s="276" t="str">
        <f t="shared" si="13"/>
        <v xml:space="preserve"> </v>
      </c>
      <c r="P60" s="276" t="str">
        <f t="shared" si="14"/>
        <v xml:space="preserve"> </v>
      </c>
      <c r="Q60" s="278" t="str">
        <f t="shared" si="15"/>
        <v xml:space="preserve"> </v>
      </c>
      <c r="R60" s="277" t="str">
        <f>IFERROR(VLOOKUP(C60,Anggota!$C$5:$P$111,12,FALSE)-F60, " ")</f>
        <v xml:space="preserve"> </v>
      </c>
      <c r="S60" s="274"/>
    </row>
    <row r="61" spans="2:19" ht="15" customHeight="1">
      <c r="B61" s="13">
        <f t="shared" si="8"/>
        <v>54</v>
      </c>
      <c r="C61" s="8">
        <f>Anggota!C54</f>
        <v>0</v>
      </c>
      <c r="D61" s="224" t="str">
        <f>IFERROR(VLOOKUP(C61,Anggota!$C$5:$P$209,3,FALSE), " ")</f>
        <v xml:space="preserve"> </v>
      </c>
      <c r="E61" s="341" t="str">
        <f>IFERROR(VLOOKUP(C61,Anggota!$C$5:$P$111,2,FALSE), " ")</f>
        <v xml:space="preserve"> </v>
      </c>
      <c r="F61" s="56" t="str">
        <f>IFERROR(VLOOKUP(C61,Anggota!$C$5:$P$209,8,FALSE), " ")</f>
        <v xml:space="preserve"> </v>
      </c>
      <c r="G61" s="5" t="str">
        <f t="shared" si="9"/>
        <v xml:space="preserve"> </v>
      </c>
      <c r="H61" s="57" t="str">
        <f t="shared" si="10"/>
        <v xml:space="preserve"> </v>
      </c>
      <c r="I61" s="337" t="str">
        <f>IFERROR(VLOOKUP(C61,Anggota!$C$5:$P$209,9,FALSE), " ")</f>
        <v xml:space="preserve"> </v>
      </c>
      <c r="J61" s="59" t="str">
        <f>IFERROR(VLOOKUP(C61,Anggota!$C$5:$P$209,10,FALSE), " ")</f>
        <v xml:space="preserve"> </v>
      </c>
      <c r="K61" s="60" t="str">
        <f>IFERROR(VLOOKUP(C61,Anggota!$C$5:$P$209,11,FALSE), " ")</f>
        <v xml:space="preserve"> </v>
      </c>
      <c r="L61" s="8">
        <f>IFERROR(COUNTIF(Pembayaran!$C$5:$F$240,C61)," ")</f>
        <v>1</v>
      </c>
      <c r="M61" s="8" t="str">
        <f t="shared" si="11"/>
        <v xml:space="preserve"> </v>
      </c>
      <c r="N61" s="15" t="str">
        <f t="shared" si="12"/>
        <v xml:space="preserve"> </v>
      </c>
      <c r="O61" s="276" t="str">
        <f t="shared" si="13"/>
        <v xml:space="preserve"> </v>
      </c>
      <c r="P61" s="276" t="str">
        <f t="shared" si="14"/>
        <v xml:space="preserve"> </v>
      </c>
      <c r="Q61" s="278" t="str">
        <f t="shared" si="15"/>
        <v xml:space="preserve"> </v>
      </c>
      <c r="R61" s="277" t="str">
        <f>IFERROR(VLOOKUP(C61,Anggota!$C$5:$P$111,12,FALSE)-F61, " ")</f>
        <v xml:space="preserve"> </v>
      </c>
      <c r="S61" s="274"/>
    </row>
    <row r="62" spans="2:19" ht="15" customHeight="1">
      <c r="B62" s="13">
        <f t="shared" si="8"/>
        <v>55</v>
      </c>
      <c r="C62" s="8">
        <f>Anggota!C55</f>
        <v>0</v>
      </c>
      <c r="D62" s="224" t="str">
        <f>IFERROR(VLOOKUP(C62,Anggota!$C$5:$P$209,3,FALSE), " ")</f>
        <v xml:space="preserve"> </v>
      </c>
      <c r="E62" s="341" t="str">
        <f>IFERROR(VLOOKUP(C62,Anggota!$C$5:$P$111,2,FALSE), " ")</f>
        <v xml:space="preserve"> </v>
      </c>
      <c r="F62" s="56" t="str">
        <f>IFERROR(VLOOKUP(C62,Anggota!$C$5:$P$209,8,FALSE), " ")</f>
        <v xml:space="preserve"> </v>
      </c>
      <c r="G62" s="5" t="str">
        <f t="shared" si="9"/>
        <v xml:space="preserve"> </v>
      </c>
      <c r="H62" s="57" t="str">
        <f t="shared" si="10"/>
        <v xml:space="preserve"> </v>
      </c>
      <c r="I62" s="337" t="str">
        <f>IFERROR(VLOOKUP(C62,Anggota!$C$5:$P$209,9,FALSE), " ")</f>
        <v xml:space="preserve"> </v>
      </c>
      <c r="J62" s="59" t="str">
        <f>IFERROR(VLOOKUP(C62,Anggota!$C$5:$P$209,10,FALSE), " ")</f>
        <v xml:space="preserve"> </v>
      </c>
      <c r="K62" s="60" t="str">
        <f>IFERROR(VLOOKUP(C62,Anggota!$C$5:$P$209,11,FALSE), " ")</f>
        <v xml:space="preserve"> </v>
      </c>
      <c r="L62" s="8">
        <f>IFERROR(COUNTIF(Pembayaran!$C$5:$F$240,C62)," ")</f>
        <v>1</v>
      </c>
      <c r="M62" s="8" t="str">
        <f t="shared" si="11"/>
        <v xml:space="preserve"> </v>
      </c>
      <c r="N62" s="15" t="str">
        <f t="shared" si="12"/>
        <v xml:space="preserve"> </v>
      </c>
      <c r="O62" s="276" t="str">
        <f t="shared" si="13"/>
        <v xml:space="preserve"> </v>
      </c>
      <c r="P62" s="276" t="str">
        <f t="shared" si="14"/>
        <v xml:space="preserve"> </v>
      </c>
      <c r="Q62" s="278" t="str">
        <f t="shared" si="15"/>
        <v xml:space="preserve"> </v>
      </c>
      <c r="R62" s="277" t="str">
        <f>IFERROR(VLOOKUP(C62,Anggota!$C$5:$P$111,12,FALSE)-F62, " ")</f>
        <v xml:space="preserve"> </v>
      </c>
      <c r="S62" s="274"/>
    </row>
    <row r="63" spans="2:19" ht="15" customHeight="1">
      <c r="B63" s="13">
        <f t="shared" si="8"/>
        <v>56</v>
      </c>
      <c r="C63" s="8">
        <f>Anggota!C56</f>
        <v>0</v>
      </c>
      <c r="D63" s="224" t="str">
        <f>IFERROR(VLOOKUP(C63,Anggota!$C$5:$P$209,3,FALSE), " ")</f>
        <v xml:space="preserve"> </v>
      </c>
      <c r="E63" s="341" t="str">
        <f>IFERROR(VLOOKUP(C63,Anggota!$C$5:$P$111,2,FALSE), " ")</f>
        <v xml:space="preserve"> </v>
      </c>
      <c r="F63" s="56" t="str">
        <f>IFERROR(VLOOKUP(C63,Anggota!$C$5:$P$209,8,FALSE), " ")</f>
        <v xml:space="preserve"> </v>
      </c>
      <c r="G63" s="5" t="str">
        <f t="shared" si="9"/>
        <v xml:space="preserve"> </v>
      </c>
      <c r="H63" s="57" t="str">
        <f t="shared" si="10"/>
        <v xml:space="preserve"> </v>
      </c>
      <c r="I63" s="337" t="str">
        <f>IFERROR(VLOOKUP(C63,Anggota!$C$5:$P$209,9,FALSE), " ")</f>
        <v xml:space="preserve"> </v>
      </c>
      <c r="J63" s="59" t="str">
        <f>IFERROR(VLOOKUP(C63,Anggota!$C$5:$P$209,10,FALSE), " ")</f>
        <v xml:space="preserve"> </v>
      </c>
      <c r="K63" s="60" t="str">
        <f>IFERROR(VLOOKUP(C63,Anggota!$C$5:$P$209,11,FALSE), " ")</f>
        <v xml:space="preserve"> </v>
      </c>
      <c r="L63" s="8">
        <f>IFERROR(COUNTIF(Pembayaran!$C$5:$F$240,C63)," ")</f>
        <v>1</v>
      </c>
      <c r="M63" s="8" t="str">
        <f t="shared" si="11"/>
        <v xml:space="preserve"> </v>
      </c>
      <c r="N63" s="15" t="str">
        <f t="shared" si="12"/>
        <v xml:space="preserve"> </v>
      </c>
      <c r="O63" s="276" t="str">
        <f t="shared" si="13"/>
        <v xml:space="preserve"> </v>
      </c>
      <c r="P63" s="276" t="str">
        <f t="shared" si="14"/>
        <v xml:space="preserve"> </v>
      </c>
      <c r="Q63" s="278" t="str">
        <f t="shared" si="15"/>
        <v xml:space="preserve"> </v>
      </c>
      <c r="R63" s="277" t="str">
        <f>IFERROR(VLOOKUP(C63,Anggota!$C$5:$P$111,12,FALSE)-F63, " ")</f>
        <v xml:space="preserve"> </v>
      </c>
      <c r="S63" s="274"/>
    </row>
    <row r="64" spans="2:19" ht="15" customHeight="1">
      <c r="B64" s="13">
        <f t="shared" si="8"/>
        <v>57</v>
      </c>
      <c r="C64" s="8">
        <f>Anggota!C57</f>
        <v>0</v>
      </c>
      <c r="D64" s="224" t="str">
        <f>IFERROR(VLOOKUP(C64,Anggota!$C$5:$P$209,3,FALSE), " ")</f>
        <v xml:space="preserve"> </v>
      </c>
      <c r="E64" s="341" t="str">
        <f>IFERROR(VLOOKUP(C64,Anggota!$C$5:$P$111,2,FALSE), " ")</f>
        <v xml:space="preserve"> </v>
      </c>
      <c r="F64" s="56" t="str">
        <f>IFERROR(VLOOKUP(C64,Anggota!$C$5:$P$209,8,FALSE), " ")</f>
        <v xml:space="preserve"> </v>
      </c>
      <c r="G64" s="5" t="str">
        <f t="shared" si="9"/>
        <v xml:space="preserve"> </v>
      </c>
      <c r="H64" s="57" t="str">
        <f t="shared" si="10"/>
        <v xml:space="preserve"> </v>
      </c>
      <c r="I64" s="337" t="str">
        <f>IFERROR(VLOOKUP(C64,Anggota!$C$5:$P$209,9,FALSE), " ")</f>
        <v xml:space="preserve"> </v>
      </c>
      <c r="J64" s="59" t="str">
        <f>IFERROR(VLOOKUP(C64,Anggota!$C$5:$P$209,10,FALSE), " ")</f>
        <v xml:space="preserve"> </v>
      </c>
      <c r="K64" s="60" t="str">
        <f>IFERROR(VLOOKUP(C64,Anggota!$C$5:$P$209,11,FALSE), " ")</f>
        <v xml:space="preserve"> </v>
      </c>
      <c r="L64" s="8">
        <f>IFERROR(COUNTIF(Pembayaran!$C$5:$F$240,C64)," ")</f>
        <v>1</v>
      </c>
      <c r="M64" s="8" t="str">
        <f t="shared" si="11"/>
        <v xml:space="preserve"> </v>
      </c>
      <c r="N64" s="15" t="str">
        <f t="shared" si="12"/>
        <v xml:space="preserve"> </v>
      </c>
      <c r="O64" s="276" t="str">
        <f t="shared" si="13"/>
        <v xml:space="preserve"> </v>
      </c>
      <c r="P64" s="276" t="str">
        <f t="shared" si="14"/>
        <v xml:space="preserve"> </v>
      </c>
      <c r="Q64" s="278" t="str">
        <f t="shared" si="15"/>
        <v xml:space="preserve"> </v>
      </c>
      <c r="R64" s="277" t="str">
        <f>IFERROR(VLOOKUP(C64,Anggota!$C$5:$P$111,12,FALSE)-F64, " ")</f>
        <v xml:space="preserve"> </v>
      </c>
      <c r="S64" s="274"/>
    </row>
    <row r="65" spans="2:19" ht="15" customHeight="1">
      <c r="B65" s="13">
        <f t="shared" si="8"/>
        <v>58</v>
      </c>
      <c r="C65" s="8">
        <f>Anggota!C58</f>
        <v>0</v>
      </c>
      <c r="D65" s="224" t="str">
        <f>IFERROR(VLOOKUP(C65,Anggota!$C$5:$P$209,3,FALSE), " ")</f>
        <v xml:space="preserve"> </v>
      </c>
      <c r="E65" s="341" t="str">
        <f>IFERROR(VLOOKUP(C65,Anggota!$C$5:$P$111,2,FALSE), " ")</f>
        <v xml:space="preserve"> </v>
      </c>
      <c r="F65" s="56" t="str">
        <f>IFERROR(VLOOKUP(C65,Anggota!$C$5:$P$209,8,FALSE), " ")</f>
        <v xml:space="preserve"> </v>
      </c>
      <c r="G65" s="5" t="str">
        <f t="shared" si="9"/>
        <v xml:space="preserve"> </v>
      </c>
      <c r="H65" s="57" t="str">
        <f t="shared" si="10"/>
        <v xml:space="preserve"> </v>
      </c>
      <c r="I65" s="337" t="str">
        <f>IFERROR(VLOOKUP(C65,Anggota!$C$5:$P$209,9,FALSE), " ")</f>
        <v xml:space="preserve"> </v>
      </c>
      <c r="J65" s="59" t="str">
        <f>IFERROR(VLOOKUP(C65,Anggota!$C$5:$P$209,10,FALSE), " ")</f>
        <v xml:space="preserve"> </v>
      </c>
      <c r="K65" s="60" t="str">
        <f>IFERROR(VLOOKUP(C65,Anggota!$C$5:$P$209,11,FALSE), " ")</f>
        <v xml:space="preserve"> </v>
      </c>
      <c r="L65" s="8">
        <f>IFERROR(COUNTIF(Pembayaran!$C$5:$F$240,C65)," ")</f>
        <v>1</v>
      </c>
      <c r="M65" s="8" t="str">
        <f t="shared" si="11"/>
        <v xml:space="preserve"> </v>
      </c>
      <c r="N65" s="15" t="str">
        <f t="shared" si="12"/>
        <v xml:space="preserve"> </v>
      </c>
      <c r="O65" s="276" t="str">
        <f t="shared" si="13"/>
        <v xml:space="preserve"> </v>
      </c>
      <c r="P65" s="276" t="str">
        <f t="shared" si="14"/>
        <v xml:space="preserve"> </v>
      </c>
      <c r="Q65" s="278" t="str">
        <f t="shared" si="15"/>
        <v xml:space="preserve"> </v>
      </c>
      <c r="R65" s="277" t="str">
        <f>IFERROR(VLOOKUP(C65,Anggota!$C$5:$P$111,12,FALSE)-F65, " ")</f>
        <v xml:space="preserve"> </v>
      </c>
      <c r="S65" s="274"/>
    </row>
    <row r="66" spans="2:19" ht="15" customHeight="1">
      <c r="B66" s="13">
        <f t="shared" si="8"/>
        <v>59</v>
      </c>
      <c r="C66" s="8">
        <f>Anggota!C59</f>
        <v>0</v>
      </c>
      <c r="D66" s="224" t="str">
        <f>IFERROR(VLOOKUP(C66,Anggota!$C$5:$P$209,3,FALSE), " ")</f>
        <v xml:space="preserve"> </v>
      </c>
      <c r="E66" s="341" t="str">
        <f>IFERROR(VLOOKUP(C66,Anggota!$C$5:$P$111,2,FALSE), " ")</f>
        <v xml:space="preserve"> </v>
      </c>
      <c r="F66" s="56" t="str">
        <f>IFERROR(VLOOKUP(C66,Anggota!$C$5:$P$209,8,FALSE), " ")</f>
        <v xml:space="preserve"> </v>
      </c>
      <c r="G66" s="5" t="str">
        <f t="shared" si="9"/>
        <v xml:space="preserve"> </v>
      </c>
      <c r="H66" s="57" t="str">
        <f t="shared" si="10"/>
        <v xml:space="preserve"> </v>
      </c>
      <c r="I66" s="337" t="str">
        <f>IFERROR(VLOOKUP(C66,Anggota!$C$5:$P$209,9,FALSE), " ")</f>
        <v xml:space="preserve"> </v>
      </c>
      <c r="J66" s="59" t="str">
        <f>IFERROR(VLOOKUP(C66,Anggota!$C$5:$P$209,10,FALSE), " ")</f>
        <v xml:space="preserve"> </v>
      </c>
      <c r="K66" s="60" t="str">
        <f>IFERROR(VLOOKUP(C66,Anggota!$C$5:$P$209,11,FALSE), " ")</f>
        <v xml:space="preserve"> </v>
      </c>
      <c r="L66" s="8">
        <f>IFERROR(COUNTIF(Pembayaran!$C$5:$F$240,C66)," ")</f>
        <v>1</v>
      </c>
      <c r="M66" s="8" t="str">
        <f t="shared" si="11"/>
        <v xml:space="preserve"> </v>
      </c>
      <c r="N66" s="15" t="str">
        <f t="shared" si="12"/>
        <v xml:space="preserve"> </v>
      </c>
      <c r="O66" s="276" t="str">
        <f t="shared" si="13"/>
        <v xml:space="preserve"> </v>
      </c>
      <c r="P66" s="276" t="str">
        <f t="shared" si="14"/>
        <v xml:space="preserve"> </v>
      </c>
      <c r="Q66" s="278" t="str">
        <f t="shared" si="15"/>
        <v xml:space="preserve"> </v>
      </c>
      <c r="R66" s="277" t="str">
        <f>IFERROR(VLOOKUP(C66,Anggota!$C$5:$P$111,12,FALSE)-F66, " ")</f>
        <v xml:space="preserve"> </v>
      </c>
      <c r="S66" s="274"/>
    </row>
    <row r="67" spans="2:19" ht="15" customHeight="1">
      <c r="B67" s="13">
        <f t="shared" si="8"/>
        <v>60</v>
      </c>
      <c r="C67" s="8">
        <f>Anggota!C60</f>
        <v>0</v>
      </c>
      <c r="D67" s="224" t="str">
        <f>IFERROR(VLOOKUP(C67,Anggota!$C$5:$P$209,3,FALSE), " ")</f>
        <v xml:space="preserve"> </v>
      </c>
      <c r="E67" s="341" t="str">
        <f>IFERROR(VLOOKUP(C67,Anggota!$C$5:$P$111,2,FALSE), " ")</f>
        <v xml:space="preserve"> </v>
      </c>
      <c r="F67" s="56" t="str">
        <f>IFERROR(VLOOKUP(C67,Anggota!$C$5:$P$209,8,FALSE), " ")</f>
        <v xml:space="preserve"> </v>
      </c>
      <c r="G67" s="5" t="str">
        <f t="shared" si="9"/>
        <v xml:space="preserve"> </v>
      </c>
      <c r="H67" s="57" t="str">
        <f t="shared" si="10"/>
        <v xml:space="preserve"> </v>
      </c>
      <c r="I67" s="337" t="str">
        <f>IFERROR(VLOOKUP(C67,Anggota!$C$5:$P$209,9,FALSE), " ")</f>
        <v xml:space="preserve"> </v>
      </c>
      <c r="J67" s="59" t="str">
        <f>IFERROR(VLOOKUP(C67,Anggota!$C$5:$P$209,10,FALSE), " ")</f>
        <v xml:space="preserve"> </v>
      </c>
      <c r="K67" s="60" t="str">
        <f>IFERROR(VLOOKUP(C67,Anggota!$C$5:$P$209,11,FALSE), " ")</f>
        <v xml:space="preserve"> </v>
      </c>
      <c r="L67" s="8">
        <f>IFERROR(COUNTIF(Pembayaran!$C$5:$F$240,C67)," ")</f>
        <v>1</v>
      </c>
      <c r="M67" s="8" t="str">
        <f t="shared" si="11"/>
        <v xml:space="preserve"> </v>
      </c>
      <c r="N67" s="15" t="str">
        <f t="shared" si="12"/>
        <v xml:space="preserve"> </v>
      </c>
      <c r="O67" s="276" t="str">
        <f t="shared" si="13"/>
        <v xml:space="preserve"> </v>
      </c>
      <c r="P67" s="276" t="str">
        <f t="shared" si="14"/>
        <v xml:space="preserve"> </v>
      </c>
      <c r="Q67" s="278" t="str">
        <f t="shared" si="15"/>
        <v xml:space="preserve"> </v>
      </c>
      <c r="R67" s="277" t="str">
        <f>IFERROR(VLOOKUP(C67,Anggota!$C$5:$P$111,12,FALSE)-F67, " ")</f>
        <v xml:space="preserve"> </v>
      </c>
      <c r="S67" s="274"/>
    </row>
    <row r="68" spans="2:19" ht="15" customHeight="1">
      <c r="B68" s="13">
        <f t="shared" si="8"/>
        <v>61</v>
      </c>
      <c r="C68" s="8">
        <f>Anggota!C61</f>
        <v>0</v>
      </c>
      <c r="D68" s="224" t="str">
        <f>IFERROR(VLOOKUP(C68,Anggota!$C$5:$P$209,3,FALSE), " ")</f>
        <v xml:space="preserve"> </v>
      </c>
      <c r="E68" s="341" t="str">
        <f>IFERROR(VLOOKUP(C68,Anggota!$C$5:$P$111,2,FALSE), " ")</f>
        <v xml:space="preserve"> </v>
      </c>
      <c r="F68" s="56" t="str">
        <f>IFERROR(VLOOKUP(C68,Anggota!$C$5:$P$209,8,FALSE), " ")</f>
        <v xml:space="preserve"> </v>
      </c>
      <c r="G68" s="5" t="str">
        <f t="shared" si="9"/>
        <v xml:space="preserve"> </v>
      </c>
      <c r="H68" s="57" t="str">
        <f t="shared" si="10"/>
        <v xml:space="preserve"> </v>
      </c>
      <c r="I68" s="337" t="str">
        <f>IFERROR(VLOOKUP(C68,Anggota!$C$5:$P$209,9,FALSE), " ")</f>
        <v xml:space="preserve"> </v>
      </c>
      <c r="J68" s="59" t="str">
        <f>IFERROR(VLOOKUP(C68,Anggota!$C$5:$P$209,10,FALSE), " ")</f>
        <v xml:space="preserve"> </v>
      </c>
      <c r="K68" s="60" t="str">
        <f>IFERROR(VLOOKUP(C68,Anggota!$C$5:$P$209,11,FALSE), " ")</f>
        <v xml:space="preserve"> </v>
      </c>
      <c r="L68" s="8">
        <f>IFERROR(COUNTIF(Pembayaran!$C$5:$F$240,C68)," ")</f>
        <v>1</v>
      </c>
      <c r="M68" s="8" t="str">
        <f t="shared" si="11"/>
        <v xml:space="preserve"> </v>
      </c>
      <c r="N68" s="15" t="str">
        <f t="shared" si="12"/>
        <v xml:space="preserve"> </v>
      </c>
      <c r="O68" s="276" t="str">
        <f t="shared" si="13"/>
        <v xml:space="preserve"> </v>
      </c>
      <c r="P68" s="276" t="str">
        <f t="shared" si="14"/>
        <v xml:space="preserve"> </v>
      </c>
      <c r="Q68" s="278" t="str">
        <f t="shared" si="15"/>
        <v xml:space="preserve"> </v>
      </c>
      <c r="R68" s="277" t="str">
        <f>IFERROR(VLOOKUP(C68,Anggota!$C$5:$P$111,12,FALSE)-F68, " ")</f>
        <v xml:space="preserve"> </v>
      </c>
      <c r="S68" s="274"/>
    </row>
    <row r="69" spans="2:19" ht="15" customHeight="1">
      <c r="B69" s="13">
        <f t="shared" si="8"/>
        <v>62</v>
      </c>
      <c r="C69" s="8">
        <f>Anggota!C62</f>
        <v>0</v>
      </c>
      <c r="D69" s="224" t="str">
        <f>IFERROR(VLOOKUP(C69,Anggota!$C$5:$P$209,3,FALSE), " ")</f>
        <v xml:space="preserve"> </v>
      </c>
      <c r="E69" s="341" t="str">
        <f>IFERROR(VLOOKUP(C69,Anggota!$C$5:$P$111,2,FALSE), " ")</f>
        <v xml:space="preserve"> </v>
      </c>
      <c r="F69" s="56" t="str">
        <f>IFERROR(VLOOKUP(C69,Anggota!$C$5:$P$209,8,FALSE), " ")</f>
        <v xml:space="preserve"> </v>
      </c>
      <c r="G69" s="5" t="str">
        <f t="shared" si="9"/>
        <v xml:space="preserve"> </v>
      </c>
      <c r="H69" s="57" t="str">
        <f t="shared" si="10"/>
        <v xml:space="preserve"> </v>
      </c>
      <c r="I69" s="337" t="str">
        <f>IFERROR(VLOOKUP(C69,Anggota!$C$5:$P$209,9,FALSE), " ")</f>
        <v xml:space="preserve"> </v>
      </c>
      <c r="J69" s="59" t="str">
        <f>IFERROR(VLOOKUP(C69,Anggota!$C$5:$P$209,10,FALSE), " ")</f>
        <v xml:space="preserve"> </v>
      </c>
      <c r="K69" s="60" t="str">
        <f>IFERROR(VLOOKUP(C69,Anggota!$C$5:$P$209,11,FALSE), " ")</f>
        <v xml:space="preserve"> </v>
      </c>
      <c r="L69" s="8">
        <f>IFERROR(COUNTIF(Pembayaran!$C$5:$F$240,C69)," ")</f>
        <v>1</v>
      </c>
      <c r="M69" s="8" t="str">
        <f t="shared" si="11"/>
        <v xml:space="preserve"> </v>
      </c>
      <c r="N69" s="15" t="str">
        <f t="shared" si="12"/>
        <v xml:space="preserve"> </v>
      </c>
      <c r="O69" s="276" t="str">
        <f t="shared" si="13"/>
        <v xml:space="preserve"> </v>
      </c>
      <c r="P69" s="276" t="str">
        <f t="shared" si="14"/>
        <v xml:space="preserve"> </v>
      </c>
      <c r="Q69" s="278" t="str">
        <f t="shared" si="15"/>
        <v xml:space="preserve"> </v>
      </c>
      <c r="R69" s="277" t="str">
        <f>IFERROR(VLOOKUP(C69,Anggota!$C$5:$P$111,12,FALSE)-F69, " ")</f>
        <v xml:space="preserve"> </v>
      </c>
      <c r="S69" s="274"/>
    </row>
    <row r="70" spans="2:19" ht="15" customHeight="1">
      <c r="B70" s="13">
        <f t="shared" si="8"/>
        <v>63</v>
      </c>
      <c r="C70" s="8">
        <f>Anggota!C63</f>
        <v>0</v>
      </c>
      <c r="D70" s="224" t="str">
        <f>IFERROR(VLOOKUP(C70,Anggota!$C$5:$P$209,3,FALSE), " ")</f>
        <v xml:space="preserve"> </v>
      </c>
      <c r="E70" s="341" t="str">
        <f>IFERROR(VLOOKUP(C70,Anggota!$C$5:$P$111,2,FALSE), " ")</f>
        <v xml:space="preserve"> </v>
      </c>
      <c r="F70" s="56" t="str">
        <f>IFERROR(VLOOKUP(C70,Anggota!$C$5:$P$209,8,FALSE), " ")</f>
        <v xml:space="preserve"> </v>
      </c>
      <c r="G70" s="5" t="str">
        <f t="shared" si="9"/>
        <v xml:space="preserve"> </v>
      </c>
      <c r="H70" s="57" t="str">
        <f t="shared" si="10"/>
        <v xml:space="preserve"> </v>
      </c>
      <c r="I70" s="337" t="str">
        <f>IFERROR(VLOOKUP(C70,Anggota!$C$5:$P$209,9,FALSE), " ")</f>
        <v xml:space="preserve"> </v>
      </c>
      <c r="J70" s="59" t="str">
        <f>IFERROR(VLOOKUP(C70,Anggota!$C$5:$P$209,10,FALSE), " ")</f>
        <v xml:space="preserve"> </v>
      </c>
      <c r="K70" s="60" t="str">
        <f>IFERROR(VLOOKUP(C70,Anggota!$C$5:$P$209,11,FALSE), " ")</f>
        <v xml:space="preserve"> </v>
      </c>
      <c r="L70" s="8">
        <f>IFERROR(COUNTIF(Pembayaran!$C$5:$F$240,C70)," ")</f>
        <v>1</v>
      </c>
      <c r="M70" s="8" t="str">
        <f t="shared" si="11"/>
        <v xml:space="preserve"> </v>
      </c>
      <c r="N70" s="15" t="str">
        <f t="shared" si="12"/>
        <v xml:space="preserve"> </v>
      </c>
      <c r="O70" s="276" t="str">
        <f t="shared" si="13"/>
        <v xml:space="preserve"> </v>
      </c>
      <c r="P70" s="276" t="str">
        <f t="shared" si="14"/>
        <v xml:space="preserve"> </v>
      </c>
      <c r="Q70" s="278" t="str">
        <f t="shared" si="15"/>
        <v xml:space="preserve"> </v>
      </c>
      <c r="R70" s="277" t="str">
        <f>IFERROR(VLOOKUP(C70,Anggota!$C$5:$P$111,12,FALSE)-F70, " ")</f>
        <v xml:space="preserve"> </v>
      </c>
      <c r="S70" s="274"/>
    </row>
    <row r="71" spans="2:19" ht="15" customHeight="1">
      <c r="B71" s="13">
        <f t="shared" si="8"/>
        <v>64</v>
      </c>
      <c r="C71" s="8">
        <f>Anggota!C64</f>
        <v>0</v>
      </c>
      <c r="D71" s="224" t="str">
        <f>IFERROR(VLOOKUP(C71,Anggota!$C$5:$P$209,3,FALSE), " ")</f>
        <v xml:space="preserve"> </v>
      </c>
      <c r="E71" s="341" t="str">
        <f>IFERROR(VLOOKUP(C71,Anggota!$C$5:$P$111,2,FALSE), " ")</f>
        <v xml:space="preserve"> </v>
      </c>
      <c r="F71" s="56" t="str">
        <f>IFERROR(VLOOKUP(C71,Anggota!$C$5:$P$209,8,FALSE), " ")</f>
        <v xml:space="preserve"> </v>
      </c>
      <c r="G71" s="5" t="str">
        <f t="shared" si="9"/>
        <v xml:space="preserve"> </v>
      </c>
      <c r="H71" s="57" t="str">
        <f t="shared" si="10"/>
        <v xml:space="preserve"> </v>
      </c>
      <c r="I71" s="337" t="str">
        <f>IFERROR(VLOOKUP(C71,Anggota!$C$5:$P$209,9,FALSE), " ")</f>
        <v xml:space="preserve"> </v>
      </c>
      <c r="J71" s="59" t="str">
        <f>IFERROR(VLOOKUP(C71,Anggota!$C$5:$P$209,10,FALSE), " ")</f>
        <v xml:space="preserve"> </v>
      </c>
      <c r="K71" s="60" t="str">
        <f>IFERROR(VLOOKUP(C71,Anggota!$C$5:$P$209,11,FALSE), " ")</f>
        <v xml:space="preserve"> </v>
      </c>
      <c r="L71" s="8">
        <f>IFERROR(COUNTIF(Pembayaran!$C$5:$F$240,C71)," ")</f>
        <v>1</v>
      </c>
      <c r="M71" s="8" t="str">
        <f t="shared" si="11"/>
        <v xml:space="preserve"> </v>
      </c>
      <c r="N71" s="15" t="str">
        <f t="shared" si="12"/>
        <v xml:space="preserve"> </v>
      </c>
      <c r="O71" s="276" t="str">
        <f t="shared" si="13"/>
        <v xml:space="preserve"> </v>
      </c>
      <c r="P71" s="276" t="str">
        <f t="shared" si="14"/>
        <v xml:space="preserve"> </v>
      </c>
      <c r="Q71" s="278" t="str">
        <f t="shared" si="15"/>
        <v xml:space="preserve"> </v>
      </c>
      <c r="R71" s="277" t="str">
        <f>IFERROR(VLOOKUP(C71,Anggota!$C$5:$P$111,12,FALSE)-F71, " ")</f>
        <v xml:space="preserve"> </v>
      </c>
      <c r="S71" s="274"/>
    </row>
    <row r="72" spans="2:19" ht="15" customHeight="1">
      <c r="B72" s="13">
        <f t="shared" si="8"/>
        <v>65</v>
      </c>
      <c r="C72" s="8">
        <f>Anggota!C65</f>
        <v>0</v>
      </c>
      <c r="D72" s="224" t="str">
        <f>IFERROR(VLOOKUP(C72,Anggota!$C$5:$P$209,3,FALSE), " ")</f>
        <v xml:space="preserve"> </v>
      </c>
      <c r="E72" s="341" t="str">
        <f>IFERROR(VLOOKUP(C72,Anggota!$C$5:$P$111,2,FALSE), " ")</f>
        <v xml:space="preserve"> </v>
      </c>
      <c r="F72" s="56" t="str">
        <f>IFERROR(VLOOKUP(C72,Anggota!$C$5:$P$209,8,FALSE), " ")</f>
        <v xml:space="preserve"> </v>
      </c>
      <c r="G72" s="5" t="str">
        <f t="shared" si="9"/>
        <v xml:space="preserve"> </v>
      </c>
      <c r="H72" s="57" t="str">
        <f t="shared" si="10"/>
        <v xml:space="preserve"> </v>
      </c>
      <c r="I72" s="337" t="str">
        <f>IFERROR(VLOOKUP(C72,Anggota!$C$5:$P$209,9,FALSE), " ")</f>
        <v xml:space="preserve"> </v>
      </c>
      <c r="J72" s="59" t="str">
        <f>IFERROR(VLOOKUP(C72,Anggota!$C$5:$P$209,10,FALSE), " ")</f>
        <v xml:space="preserve"> </v>
      </c>
      <c r="K72" s="60" t="str">
        <f>IFERROR(VLOOKUP(C72,Anggota!$C$5:$P$209,11,FALSE), " ")</f>
        <v xml:space="preserve"> </v>
      </c>
      <c r="L72" s="8">
        <f>IFERROR(COUNTIF(Pembayaran!$C$5:$F$240,C72)," ")</f>
        <v>1</v>
      </c>
      <c r="M72" s="8" t="str">
        <f t="shared" si="11"/>
        <v xml:space="preserve"> </v>
      </c>
      <c r="N72" s="15" t="str">
        <f t="shared" si="12"/>
        <v xml:space="preserve"> </v>
      </c>
      <c r="O72" s="276" t="str">
        <f t="shared" si="13"/>
        <v xml:space="preserve"> </v>
      </c>
      <c r="P72" s="276" t="str">
        <f t="shared" si="14"/>
        <v xml:space="preserve"> </v>
      </c>
      <c r="Q72" s="278" t="str">
        <f t="shared" si="15"/>
        <v xml:space="preserve"> </v>
      </c>
      <c r="R72" s="277" t="str">
        <f>IFERROR(VLOOKUP(C72,Anggota!$C$5:$P$111,12,FALSE)-F72, " ")</f>
        <v xml:space="preserve"> </v>
      </c>
      <c r="S72" s="274"/>
    </row>
    <row r="73" spans="2:19" ht="15" customHeight="1">
      <c r="B73" s="13">
        <f t="shared" si="8"/>
        <v>66</v>
      </c>
      <c r="C73" s="8">
        <f>Anggota!C66</f>
        <v>0</v>
      </c>
      <c r="D73" s="224" t="str">
        <f>IFERROR(VLOOKUP(C73,Anggota!$C$5:$P$209,3,FALSE), " ")</f>
        <v xml:space="preserve"> </v>
      </c>
      <c r="E73" s="341" t="str">
        <f>IFERROR(VLOOKUP(C73,Anggota!$C$5:$P$111,2,FALSE), " ")</f>
        <v xml:space="preserve"> </v>
      </c>
      <c r="F73" s="56" t="str">
        <f>IFERROR(VLOOKUP(C73,Anggota!$C$5:$P$209,8,FALSE), " ")</f>
        <v xml:space="preserve"> </v>
      </c>
      <c r="G73" s="5" t="str">
        <f t="shared" si="9"/>
        <v xml:space="preserve"> </v>
      </c>
      <c r="H73" s="57" t="str">
        <f t="shared" si="10"/>
        <v xml:space="preserve"> </v>
      </c>
      <c r="I73" s="337" t="str">
        <f>IFERROR(VLOOKUP(C73,Anggota!$C$5:$P$209,9,FALSE), " ")</f>
        <v xml:space="preserve"> </v>
      </c>
      <c r="J73" s="59" t="str">
        <f>IFERROR(VLOOKUP(C73,Anggota!$C$5:$P$209,10,FALSE), " ")</f>
        <v xml:space="preserve"> </v>
      </c>
      <c r="K73" s="60" t="str">
        <f>IFERROR(VLOOKUP(C73,Anggota!$C$5:$P$209,11,FALSE), " ")</f>
        <v xml:space="preserve"> </v>
      </c>
      <c r="L73" s="8">
        <f>IFERROR(COUNTIF(Pembayaran!$C$5:$F$240,C73)," ")</f>
        <v>1</v>
      </c>
      <c r="M73" s="8" t="str">
        <f t="shared" si="11"/>
        <v xml:space="preserve"> </v>
      </c>
      <c r="N73" s="15" t="str">
        <f t="shared" si="12"/>
        <v xml:space="preserve"> </v>
      </c>
      <c r="O73" s="276" t="str">
        <f t="shared" si="13"/>
        <v xml:space="preserve"> </v>
      </c>
      <c r="P73" s="276" t="str">
        <f t="shared" si="14"/>
        <v xml:space="preserve"> </v>
      </c>
      <c r="Q73" s="278" t="str">
        <f t="shared" si="15"/>
        <v xml:space="preserve"> </v>
      </c>
      <c r="R73" s="277" t="str">
        <f>IFERROR(VLOOKUP(C73,Anggota!$C$5:$P$111,12,FALSE)-F73, " ")</f>
        <v xml:space="preserve"> </v>
      </c>
      <c r="S73" s="274"/>
    </row>
    <row r="74" spans="2:19" ht="15" customHeight="1">
      <c r="B74" s="13">
        <f t="shared" si="8"/>
        <v>67</v>
      </c>
      <c r="C74" s="8">
        <f>Anggota!C67</f>
        <v>0</v>
      </c>
      <c r="D74" s="224" t="str">
        <f>IFERROR(VLOOKUP(C74,Anggota!$C$5:$P$209,3,FALSE), " ")</f>
        <v xml:space="preserve"> </v>
      </c>
      <c r="E74" s="341" t="str">
        <f>IFERROR(VLOOKUP(C74,Anggota!$C$5:$P$111,2,FALSE), " ")</f>
        <v xml:space="preserve"> </v>
      </c>
      <c r="F74" s="56" t="str">
        <f>IFERROR(VLOOKUP(C74,Anggota!$C$5:$P$209,8,FALSE), " ")</f>
        <v xml:space="preserve"> </v>
      </c>
      <c r="G74" s="5" t="str">
        <f t="shared" si="9"/>
        <v xml:space="preserve"> </v>
      </c>
      <c r="H74" s="57" t="str">
        <f t="shared" si="10"/>
        <v xml:space="preserve"> </v>
      </c>
      <c r="I74" s="337" t="str">
        <f>IFERROR(VLOOKUP(C74,Anggota!$C$5:$P$209,9,FALSE), " ")</f>
        <v xml:space="preserve"> </v>
      </c>
      <c r="J74" s="59" t="str">
        <f>IFERROR(VLOOKUP(C74,Anggota!$C$5:$P$209,10,FALSE), " ")</f>
        <v xml:space="preserve"> </v>
      </c>
      <c r="K74" s="60" t="str">
        <f>IFERROR(VLOOKUP(C74,Anggota!$C$5:$P$209,11,FALSE), " ")</f>
        <v xml:space="preserve"> </v>
      </c>
      <c r="L74" s="8">
        <f>IFERROR(COUNTIF(Pembayaran!$C$5:$F$240,C74)," ")</f>
        <v>1</v>
      </c>
      <c r="M74" s="8" t="str">
        <f t="shared" si="11"/>
        <v xml:space="preserve"> </v>
      </c>
      <c r="N74" s="15" t="str">
        <f t="shared" si="12"/>
        <v xml:space="preserve"> </v>
      </c>
      <c r="O74" s="276" t="str">
        <f t="shared" si="13"/>
        <v xml:space="preserve"> </v>
      </c>
      <c r="P74" s="276" t="str">
        <f t="shared" si="14"/>
        <v xml:space="preserve"> </v>
      </c>
      <c r="Q74" s="278" t="str">
        <f t="shared" si="15"/>
        <v xml:space="preserve"> </v>
      </c>
      <c r="R74" s="277" t="str">
        <f>IFERROR(VLOOKUP(C74,Anggota!$C$5:$P$111,12,FALSE)-F74, " ")</f>
        <v xml:space="preserve"> </v>
      </c>
      <c r="S74" s="274"/>
    </row>
    <row r="75" spans="2:19" ht="15" customHeight="1">
      <c r="B75" s="13">
        <f t="shared" si="8"/>
        <v>68</v>
      </c>
      <c r="C75" s="8">
        <f>Anggota!C68</f>
        <v>0</v>
      </c>
      <c r="D75" s="224" t="str">
        <f>IFERROR(VLOOKUP(C75,Anggota!$C$5:$P$209,3,FALSE), " ")</f>
        <v xml:space="preserve"> </v>
      </c>
      <c r="E75" s="341" t="str">
        <f>IFERROR(VLOOKUP(C75,Anggota!$C$5:$P$111,2,FALSE), " ")</f>
        <v xml:space="preserve"> </v>
      </c>
      <c r="F75" s="56" t="str">
        <f>IFERROR(VLOOKUP(C75,Anggota!$C$5:$P$209,8,FALSE), " ")</f>
        <v xml:space="preserve"> </v>
      </c>
      <c r="G75" s="5" t="str">
        <f t="shared" si="9"/>
        <v xml:space="preserve"> </v>
      </c>
      <c r="H75" s="57" t="str">
        <f t="shared" si="10"/>
        <v xml:space="preserve"> </v>
      </c>
      <c r="I75" s="337" t="str">
        <f>IFERROR(VLOOKUP(C75,Anggota!$C$5:$P$209,9,FALSE), " ")</f>
        <v xml:space="preserve"> </v>
      </c>
      <c r="J75" s="59" t="str">
        <f>IFERROR(VLOOKUP(C75,Anggota!$C$5:$P$209,10,FALSE), " ")</f>
        <v xml:space="preserve"> </v>
      </c>
      <c r="K75" s="60" t="str">
        <f>IFERROR(VLOOKUP(C75,Anggota!$C$5:$P$209,11,FALSE), " ")</f>
        <v xml:space="preserve"> </v>
      </c>
      <c r="L75" s="8">
        <f>IFERROR(COUNTIF(Pembayaran!$C$5:$F$240,C75)," ")</f>
        <v>1</v>
      </c>
      <c r="M75" s="8" t="str">
        <f t="shared" si="11"/>
        <v xml:space="preserve"> </v>
      </c>
      <c r="N75" s="15" t="str">
        <f t="shared" si="12"/>
        <v xml:space="preserve"> </v>
      </c>
      <c r="O75" s="276" t="str">
        <f t="shared" si="13"/>
        <v xml:space="preserve"> </v>
      </c>
      <c r="P75" s="276" t="str">
        <f t="shared" si="14"/>
        <v xml:space="preserve"> </v>
      </c>
      <c r="Q75" s="278" t="str">
        <f t="shared" si="15"/>
        <v xml:space="preserve"> </v>
      </c>
      <c r="R75" s="277" t="str">
        <f>IFERROR(VLOOKUP(C75,Anggota!$C$5:$P$111,12,FALSE)-F75, " ")</f>
        <v xml:space="preserve"> </v>
      </c>
      <c r="S75" s="274"/>
    </row>
    <row r="76" spans="2:19" ht="15" customHeight="1">
      <c r="B76" s="13">
        <f t="shared" si="8"/>
        <v>69</v>
      </c>
      <c r="C76" s="8">
        <f>Anggota!C69</f>
        <v>0</v>
      </c>
      <c r="D76" s="224" t="str">
        <f>IFERROR(VLOOKUP(C76,Anggota!$C$5:$P$209,3,FALSE), " ")</f>
        <v xml:space="preserve"> </v>
      </c>
      <c r="E76" s="341" t="str">
        <f>IFERROR(VLOOKUP(C76,Anggota!$C$5:$P$111,2,FALSE), " ")</f>
        <v xml:space="preserve"> </v>
      </c>
      <c r="F76" s="56" t="str">
        <f>IFERROR(VLOOKUP(C76,Anggota!$C$5:$P$209,8,FALSE), " ")</f>
        <v xml:space="preserve"> </v>
      </c>
      <c r="G76" s="5" t="str">
        <f t="shared" si="9"/>
        <v xml:space="preserve"> </v>
      </c>
      <c r="H76" s="57" t="str">
        <f t="shared" si="10"/>
        <v xml:space="preserve"> </v>
      </c>
      <c r="I76" s="337" t="str">
        <f>IFERROR(VLOOKUP(C76,Anggota!$C$5:$P$209,9,FALSE), " ")</f>
        <v xml:space="preserve"> </v>
      </c>
      <c r="J76" s="59" t="str">
        <f>IFERROR(VLOOKUP(C76,Anggota!$C$5:$P$209,10,FALSE), " ")</f>
        <v xml:space="preserve"> </v>
      </c>
      <c r="K76" s="60" t="str">
        <f>IFERROR(VLOOKUP(C76,Anggota!$C$5:$P$209,11,FALSE), " ")</f>
        <v xml:space="preserve"> </v>
      </c>
      <c r="L76" s="8">
        <f>IFERROR(COUNTIF(Pembayaran!$C$5:$F$240,C76)," ")</f>
        <v>1</v>
      </c>
      <c r="M76" s="8" t="str">
        <f t="shared" si="11"/>
        <v xml:space="preserve"> </v>
      </c>
      <c r="N76" s="15" t="str">
        <f t="shared" si="12"/>
        <v xml:space="preserve"> </v>
      </c>
      <c r="O76" s="276" t="str">
        <f t="shared" si="13"/>
        <v xml:space="preserve"> </v>
      </c>
      <c r="P76" s="276" t="str">
        <f t="shared" si="14"/>
        <v xml:space="preserve"> </v>
      </c>
      <c r="Q76" s="278" t="str">
        <f t="shared" si="15"/>
        <v xml:space="preserve"> </v>
      </c>
      <c r="R76" s="277" t="str">
        <f>IFERROR(VLOOKUP(C76,Anggota!$C$5:$P$111,12,FALSE)-F76, " ")</f>
        <v xml:space="preserve"> </v>
      </c>
      <c r="S76" s="274"/>
    </row>
    <row r="77" spans="2:19" ht="15" customHeight="1">
      <c r="B77" s="13">
        <f t="shared" si="8"/>
        <v>70</v>
      </c>
      <c r="C77" s="8">
        <f>Anggota!C70</f>
        <v>0</v>
      </c>
      <c r="D77" s="224" t="str">
        <f>IFERROR(VLOOKUP(C77,Anggota!$C$5:$P$209,3,FALSE), " ")</f>
        <v xml:space="preserve"> </v>
      </c>
      <c r="E77" s="341" t="str">
        <f>IFERROR(VLOOKUP(C77,Anggota!$C$5:$P$111,2,FALSE), " ")</f>
        <v xml:space="preserve"> </v>
      </c>
      <c r="F77" s="56" t="str">
        <f>IFERROR(VLOOKUP(C77,Anggota!$C$5:$P$209,8,FALSE), " ")</f>
        <v xml:space="preserve"> </v>
      </c>
      <c r="G77" s="5" t="str">
        <f t="shared" si="9"/>
        <v xml:space="preserve"> </v>
      </c>
      <c r="H77" s="57" t="str">
        <f t="shared" si="10"/>
        <v xml:space="preserve"> </v>
      </c>
      <c r="I77" s="337" t="str">
        <f>IFERROR(VLOOKUP(C77,Anggota!$C$5:$P$209,9,FALSE), " ")</f>
        <v xml:space="preserve"> </v>
      </c>
      <c r="J77" s="59" t="str">
        <f>IFERROR(VLOOKUP(C77,Anggota!$C$5:$P$209,10,FALSE), " ")</f>
        <v xml:space="preserve"> </v>
      </c>
      <c r="K77" s="60" t="str">
        <f>IFERROR(VLOOKUP(C77,Anggota!$C$5:$P$209,11,FALSE), " ")</f>
        <v xml:space="preserve"> </v>
      </c>
      <c r="L77" s="8">
        <f>IFERROR(COUNTIF(Pembayaran!$C$5:$F$240,C77)," ")</f>
        <v>1</v>
      </c>
      <c r="M77" s="8" t="str">
        <f t="shared" si="11"/>
        <v xml:space="preserve"> </v>
      </c>
      <c r="N77" s="15" t="str">
        <f t="shared" si="12"/>
        <v xml:space="preserve"> </v>
      </c>
      <c r="O77" s="276" t="str">
        <f t="shared" si="13"/>
        <v xml:space="preserve"> </v>
      </c>
      <c r="P77" s="276" t="str">
        <f t="shared" si="14"/>
        <v xml:space="preserve"> </v>
      </c>
      <c r="Q77" s="278" t="str">
        <f t="shared" si="15"/>
        <v xml:space="preserve"> </v>
      </c>
      <c r="R77" s="277" t="str">
        <f>IFERROR(VLOOKUP(C77,Anggota!$C$5:$P$111,12,FALSE)-F77, " ")</f>
        <v xml:space="preserve"> </v>
      </c>
      <c r="S77" s="274"/>
    </row>
    <row r="78" spans="2:19" ht="15" customHeight="1">
      <c r="B78" s="13">
        <f t="shared" si="8"/>
        <v>71</v>
      </c>
      <c r="C78" s="8">
        <f>Anggota!C71</f>
        <v>0</v>
      </c>
      <c r="D78" s="224" t="str">
        <f>IFERROR(VLOOKUP(C78,Anggota!$C$5:$P$209,3,FALSE), " ")</f>
        <v xml:space="preserve"> </v>
      </c>
      <c r="E78" s="341" t="str">
        <f>IFERROR(VLOOKUP(C78,Anggota!$C$5:$P$111,2,FALSE), " ")</f>
        <v xml:space="preserve"> </v>
      </c>
      <c r="F78" s="56" t="str">
        <f>IFERROR(VLOOKUP(C78,Anggota!$C$5:$P$209,8,FALSE), " ")</f>
        <v xml:space="preserve"> </v>
      </c>
      <c r="G78" s="5" t="str">
        <f t="shared" si="9"/>
        <v xml:space="preserve"> </v>
      </c>
      <c r="H78" s="57" t="str">
        <f t="shared" si="10"/>
        <v xml:space="preserve"> </v>
      </c>
      <c r="I78" s="337" t="str">
        <f>IFERROR(VLOOKUP(C78,Anggota!$C$5:$P$209,9,FALSE), " ")</f>
        <v xml:space="preserve"> </v>
      </c>
      <c r="J78" s="59" t="str">
        <f>IFERROR(VLOOKUP(C78,Anggota!$C$5:$P$209,10,FALSE), " ")</f>
        <v xml:space="preserve"> </v>
      </c>
      <c r="K78" s="60" t="str">
        <f>IFERROR(VLOOKUP(C78,Anggota!$C$5:$P$209,11,FALSE), " ")</f>
        <v xml:space="preserve"> </v>
      </c>
      <c r="L78" s="8">
        <f>IFERROR(COUNTIF(Pembayaran!$C$5:$F$240,C78)," ")</f>
        <v>1</v>
      </c>
      <c r="M78" s="8" t="str">
        <f t="shared" si="11"/>
        <v xml:space="preserve"> </v>
      </c>
      <c r="N78" s="15" t="str">
        <f t="shared" si="12"/>
        <v xml:space="preserve"> </v>
      </c>
      <c r="O78" s="276" t="str">
        <f t="shared" si="13"/>
        <v xml:space="preserve"> </v>
      </c>
      <c r="P78" s="276" t="str">
        <f t="shared" si="14"/>
        <v xml:space="preserve"> </v>
      </c>
      <c r="Q78" s="278" t="str">
        <f t="shared" si="15"/>
        <v xml:space="preserve"> </v>
      </c>
      <c r="R78" s="277" t="str">
        <f>IFERROR(VLOOKUP(C78,Anggota!$C$5:$P$111,12,FALSE)-F78, " ")</f>
        <v xml:space="preserve"> </v>
      </c>
      <c r="S78" s="274"/>
    </row>
    <row r="79" spans="2:19" ht="15" customHeight="1">
      <c r="B79" s="13">
        <f t="shared" si="8"/>
        <v>72</v>
      </c>
      <c r="C79" s="8">
        <f>Anggota!C72</f>
        <v>0</v>
      </c>
      <c r="D79" s="224" t="str">
        <f>IFERROR(VLOOKUP(C79,Anggota!$C$5:$P$209,3,FALSE), " ")</f>
        <v xml:space="preserve"> </v>
      </c>
      <c r="E79" s="341" t="str">
        <f>IFERROR(VLOOKUP(C79,Anggota!$C$5:$P$111,2,FALSE), " ")</f>
        <v xml:space="preserve"> </v>
      </c>
      <c r="F79" s="56" t="str">
        <f>IFERROR(VLOOKUP(C79,Anggota!$C$5:$P$209,8,FALSE), " ")</f>
        <v xml:space="preserve"> </v>
      </c>
      <c r="G79" s="5" t="str">
        <f t="shared" si="9"/>
        <v xml:space="preserve"> </v>
      </c>
      <c r="H79" s="57" t="str">
        <f t="shared" si="10"/>
        <v xml:space="preserve"> </v>
      </c>
      <c r="I79" s="337" t="str">
        <f>IFERROR(VLOOKUP(C79,Anggota!$C$5:$P$209,9,FALSE), " ")</f>
        <v xml:space="preserve"> </v>
      </c>
      <c r="J79" s="59" t="str">
        <f>IFERROR(VLOOKUP(C79,Anggota!$C$5:$P$209,10,FALSE), " ")</f>
        <v xml:space="preserve"> </v>
      </c>
      <c r="K79" s="60" t="str">
        <f>IFERROR(VLOOKUP(C79,Anggota!$C$5:$P$209,11,FALSE), " ")</f>
        <v xml:space="preserve"> </v>
      </c>
      <c r="L79" s="8">
        <f>IFERROR(COUNTIF(Pembayaran!$C$5:$F$240,C79)," ")</f>
        <v>1</v>
      </c>
      <c r="M79" s="8" t="str">
        <f t="shared" si="11"/>
        <v xml:space="preserve"> </v>
      </c>
      <c r="N79" s="15" t="str">
        <f t="shared" si="12"/>
        <v xml:space="preserve"> </v>
      </c>
      <c r="O79" s="276" t="str">
        <f t="shared" si="13"/>
        <v xml:space="preserve"> </v>
      </c>
      <c r="P79" s="276" t="str">
        <f t="shared" si="14"/>
        <v xml:space="preserve"> </v>
      </c>
      <c r="Q79" s="278" t="str">
        <f t="shared" si="15"/>
        <v xml:space="preserve"> </v>
      </c>
      <c r="R79" s="277" t="str">
        <f>IFERROR(VLOOKUP(C79,Anggota!$C$5:$P$111,12,FALSE)-F79, " ")</f>
        <v xml:space="preserve"> </v>
      </c>
      <c r="S79" s="274"/>
    </row>
    <row r="80" spans="2:19" ht="15" customHeight="1">
      <c r="B80" s="13">
        <f t="shared" si="8"/>
        <v>73</v>
      </c>
      <c r="C80" s="8">
        <f>Anggota!C73</f>
        <v>0</v>
      </c>
      <c r="D80" s="224" t="str">
        <f>IFERROR(VLOOKUP(C80,Anggota!$C$5:$P$209,3,FALSE), " ")</f>
        <v xml:space="preserve"> </v>
      </c>
      <c r="E80" s="341" t="str">
        <f>IFERROR(VLOOKUP(C80,Anggota!$C$5:$P$111,2,FALSE), " ")</f>
        <v xml:space="preserve"> </v>
      </c>
      <c r="F80" s="56" t="str">
        <f>IFERROR(VLOOKUP(C80,Anggota!$C$5:$P$209,8,FALSE), " ")</f>
        <v xml:space="preserve"> </v>
      </c>
      <c r="G80" s="5" t="str">
        <f t="shared" si="9"/>
        <v xml:space="preserve"> </v>
      </c>
      <c r="H80" s="57" t="str">
        <f t="shared" si="10"/>
        <v xml:space="preserve"> </v>
      </c>
      <c r="I80" s="337" t="str">
        <f>IFERROR(VLOOKUP(C80,Anggota!$C$5:$P$209,9,FALSE), " ")</f>
        <v xml:space="preserve"> </v>
      </c>
      <c r="J80" s="59" t="str">
        <f>IFERROR(VLOOKUP(C80,Anggota!$C$5:$P$209,10,FALSE), " ")</f>
        <v xml:space="preserve"> </v>
      </c>
      <c r="K80" s="60" t="str">
        <f>IFERROR(VLOOKUP(C80,Anggota!$C$5:$P$209,11,FALSE), " ")</f>
        <v xml:space="preserve"> </v>
      </c>
      <c r="L80" s="8">
        <f>IFERROR(COUNTIF(Pembayaran!$C$5:$F$240,C80)," ")</f>
        <v>1</v>
      </c>
      <c r="M80" s="8" t="str">
        <f t="shared" si="11"/>
        <v xml:space="preserve"> </v>
      </c>
      <c r="N80" s="15" t="str">
        <f t="shared" si="12"/>
        <v xml:space="preserve"> </v>
      </c>
      <c r="O80" s="276" t="str">
        <f t="shared" si="13"/>
        <v xml:space="preserve"> </v>
      </c>
      <c r="P80" s="276" t="str">
        <f t="shared" si="14"/>
        <v xml:space="preserve"> </v>
      </c>
      <c r="Q80" s="278" t="str">
        <f t="shared" si="15"/>
        <v xml:space="preserve"> </v>
      </c>
      <c r="R80" s="277" t="str">
        <f>IFERROR(VLOOKUP(C80,Anggota!$C$5:$P$111,12,FALSE)-F80, " ")</f>
        <v xml:space="preserve"> </v>
      </c>
      <c r="S80" s="274"/>
    </row>
    <row r="81" spans="2:20" ht="15" customHeight="1">
      <c r="B81" s="13">
        <f t="shared" si="8"/>
        <v>74</v>
      </c>
      <c r="C81" s="8">
        <f>Anggota!C74</f>
        <v>0</v>
      </c>
      <c r="D81" s="224" t="str">
        <f>IFERROR(VLOOKUP(C81,Anggota!$C$5:$P$209,3,FALSE), " ")</f>
        <v xml:space="preserve"> </v>
      </c>
      <c r="E81" s="341" t="str">
        <f>IFERROR(VLOOKUP(C81,Anggota!$C$5:$P$111,2,FALSE), " ")</f>
        <v xml:space="preserve"> </v>
      </c>
      <c r="F81" s="56" t="str">
        <f>IFERROR(VLOOKUP(C81,Anggota!$C$5:$P$209,8,FALSE), " ")</f>
        <v xml:space="preserve"> </v>
      </c>
      <c r="G81" s="5" t="str">
        <f t="shared" si="9"/>
        <v xml:space="preserve"> </v>
      </c>
      <c r="H81" s="57" t="str">
        <f t="shared" si="10"/>
        <v xml:space="preserve"> </v>
      </c>
      <c r="I81" s="337" t="str">
        <f>IFERROR(VLOOKUP(C81,Anggota!$C$5:$P$209,9,FALSE), " ")</f>
        <v xml:space="preserve"> </v>
      </c>
      <c r="J81" s="59" t="str">
        <f>IFERROR(VLOOKUP(C81,Anggota!$C$5:$P$209,10,FALSE), " ")</f>
        <v xml:space="preserve"> </v>
      </c>
      <c r="K81" s="60" t="str">
        <f>IFERROR(VLOOKUP(C81,Anggota!$C$5:$P$209,11,FALSE), " ")</f>
        <v xml:space="preserve"> </v>
      </c>
      <c r="L81" s="8">
        <f>IFERROR(COUNTIF(Pembayaran!$C$5:$F$240,C81)," ")</f>
        <v>1</v>
      </c>
      <c r="M81" s="8" t="str">
        <f t="shared" si="11"/>
        <v xml:space="preserve"> </v>
      </c>
      <c r="N81" s="15" t="str">
        <f t="shared" si="12"/>
        <v xml:space="preserve"> </v>
      </c>
      <c r="O81" s="276" t="str">
        <f t="shared" si="13"/>
        <v xml:space="preserve"> </v>
      </c>
      <c r="P81" s="276" t="str">
        <f t="shared" si="14"/>
        <v xml:space="preserve"> </v>
      </c>
      <c r="Q81" s="278" t="str">
        <f t="shared" si="15"/>
        <v xml:space="preserve"> </v>
      </c>
      <c r="R81" s="277" t="str">
        <f>IFERROR(VLOOKUP(C81,Anggota!$C$5:$P$111,12,FALSE)-F81, " ")</f>
        <v xml:space="preserve"> </v>
      </c>
      <c r="S81" s="274"/>
    </row>
    <row r="82" spans="2:20" ht="15" customHeight="1">
      <c r="B82" s="13">
        <f t="shared" si="8"/>
        <v>75</v>
      </c>
      <c r="C82" s="8">
        <f>Anggota!C75</f>
        <v>0</v>
      </c>
      <c r="D82" s="224" t="str">
        <f>IFERROR(VLOOKUP(C82,Anggota!$C$5:$P$209,3,FALSE), " ")</f>
        <v xml:space="preserve"> </v>
      </c>
      <c r="E82" s="341" t="str">
        <f>IFERROR(VLOOKUP(C82,Anggota!$C$5:$P$111,2,FALSE), " ")</f>
        <v xml:space="preserve"> </v>
      </c>
      <c r="F82" s="56" t="str">
        <f>IFERROR(VLOOKUP(C82,Anggota!$C$5:$P$209,8,FALSE), " ")</f>
        <v xml:space="preserve"> </v>
      </c>
      <c r="G82" s="5" t="str">
        <f t="shared" si="9"/>
        <v xml:space="preserve"> </v>
      </c>
      <c r="H82" s="57" t="str">
        <f t="shared" si="10"/>
        <v xml:space="preserve"> </v>
      </c>
      <c r="I82" s="337" t="str">
        <f>IFERROR(VLOOKUP(C82,Anggota!$C$5:$P$209,9,FALSE), " ")</f>
        <v xml:space="preserve"> </v>
      </c>
      <c r="J82" s="59" t="str">
        <f>IFERROR(VLOOKUP(C82,Anggota!$C$5:$P$209,10,FALSE), " ")</f>
        <v xml:space="preserve"> </v>
      </c>
      <c r="K82" s="60" t="str">
        <f>IFERROR(VLOOKUP(C82,Anggota!$C$5:$P$209,11,FALSE), " ")</f>
        <v xml:space="preserve"> </v>
      </c>
      <c r="L82" s="8">
        <f>IFERROR(COUNTIF(Pembayaran!$C$5:$F$240,C82)," ")</f>
        <v>1</v>
      </c>
      <c r="M82" s="8" t="str">
        <f t="shared" si="11"/>
        <v xml:space="preserve"> </v>
      </c>
      <c r="N82" s="15" t="str">
        <f t="shared" si="12"/>
        <v xml:space="preserve"> </v>
      </c>
      <c r="O82" s="276" t="str">
        <f t="shared" si="13"/>
        <v xml:space="preserve"> </v>
      </c>
      <c r="P82" s="276" t="str">
        <f t="shared" si="14"/>
        <v xml:space="preserve"> </v>
      </c>
      <c r="Q82" s="278" t="str">
        <f t="shared" si="15"/>
        <v xml:space="preserve"> </v>
      </c>
      <c r="R82" s="277" t="str">
        <f>IFERROR(VLOOKUP(C82,Anggota!$C$5:$P$111,12,FALSE)-F82, " ")</f>
        <v xml:space="preserve"> </v>
      </c>
      <c r="S82" s="274"/>
    </row>
    <row r="83" spans="2:20" ht="15" customHeight="1">
      <c r="B83" s="13">
        <f t="shared" si="8"/>
        <v>76</v>
      </c>
      <c r="C83" s="8">
        <f>Anggota!C76</f>
        <v>0</v>
      </c>
      <c r="D83" s="224" t="str">
        <f>IFERROR(VLOOKUP(C83,Anggota!$C$5:$P$209,3,FALSE), " ")</f>
        <v xml:space="preserve"> </v>
      </c>
      <c r="E83" s="341" t="str">
        <f>IFERROR(VLOOKUP(C83,Anggota!$C$5:$P$111,2,FALSE), " ")</f>
        <v xml:space="preserve"> </v>
      </c>
      <c r="F83" s="56" t="str">
        <f>IFERROR(VLOOKUP(C83,Anggota!$C$5:$P$209,8,FALSE), " ")</f>
        <v xml:space="preserve"> </v>
      </c>
      <c r="G83" s="5" t="str">
        <f t="shared" si="9"/>
        <v xml:space="preserve"> </v>
      </c>
      <c r="H83" s="57" t="str">
        <f t="shared" si="10"/>
        <v xml:space="preserve"> </v>
      </c>
      <c r="I83" s="337" t="str">
        <f>IFERROR(VLOOKUP(C83,Anggota!$C$5:$P$209,9,FALSE), " ")</f>
        <v xml:space="preserve"> </v>
      </c>
      <c r="J83" s="59" t="str">
        <f>IFERROR(VLOOKUP(C83,Anggota!$C$5:$P$209,10,FALSE), " ")</f>
        <v xml:space="preserve"> </v>
      </c>
      <c r="K83" s="60" t="str">
        <f>IFERROR(VLOOKUP(C83,Anggota!$C$5:$P$209,11,FALSE), " ")</f>
        <v xml:space="preserve"> </v>
      </c>
      <c r="L83" s="8">
        <f>IFERROR(COUNTIF(Pembayaran!$C$5:$F$240,C83)," ")</f>
        <v>1</v>
      </c>
      <c r="M83" s="8" t="str">
        <f t="shared" si="11"/>
        <v xml:space="preserve"> </v>
      </c>
      <c r="N83" s="15" t="str">
        <f t="shared" si="12"/>
        <v xml:space="preserve"> </v>
      </c>
      <c r="O83" s="276" t="str">
        <f t="shared" si="13"/>
        <v xml:space="preserve"> </v>
      </c>
      <c r="P83" s="276" t="str">
        <f t="shared" si="14"/>
        <v xml:space="preserve"> </v>
      </c>
      <c r="Q83" s="278" t="str">
        <f t="shared" si="15"/>
        <v xml:space="preserve"> </v>
      </c>
      <c r="R83" s="277" t="str">
        <f>IFERROR(VLOOKUP(C83,Anggota!$C$5:$P$111,12,FALSE)-F83, " ")</f>
        <v xml:space="preserve"> </v>
      </c>
      <c r="S83" s="274"/>
    </row>
    <row r="84" spans="2:20" ht="15" customHeight="1">
      <c r="B84" s="13">
        <f t="shared" si="8"/>
        <v>77</v>
      </c>
      <c r="C84" s="8">
        <f>Anggota!C77</f>
        <v>0</v>
      </c>
      <c r="D84" s="224" t="str">
        <f>IFERROR(VLOOKUP(C84,Anggota!$C$5:$P$209,3,FALSE), " ")</f>
        <v xml:space="preserve"> </v>
      </c>
      <c r="E84" s="341" t="str">
        <f>IFERROR(VLOOKUP(C84,Anggota!$C$5:$P$111,2,FALSE), " ")</f>
        <v xml:space="preserve"> </v>
      </c>
      <c r="F84" s="56" t="str">
        <f>IFERROR(VLOOKUP(C84,Anggota!$C$5:$P$209,8,FALSE), " ")</f>
        <v xml:space="preserve"> </v>
      </c>
      <c r="G84" s="5" t="str">
        <f t="shared" si="9"/>
        <v xml:space="preserve"> </v>
      </c>
      <c r="H84" s="57" t="str">
        <f t="shared" si="10"/>
        <v xml:space="preserve"> </v>
      </c>
      <c r="I84" s="337" t="str">
        <f>IFERROR(VLOOKUP(C84,Anggota!$C$5:$P$209,9,FALSE), " ")</f>
        <v xml:space="preserve"> </v>
      </c>
      <c r="J84" s="59" t="str">
        <f>IFERROR(VLOOKUP(C84,Anggota!$C$5:$P$209,10,FALSE), " ")</f>
        <v xml:space="preserve"> </v>
      </c>
      <c r="K84" s="60" t="str">
        <f>IFERROR(VLOOKUP(C84,Anggota!$C$5:$P$209,11,FALSE), " ")</f>
        <v xml:space="preserve"> </v>
      </c>
      <c r="L84" s="8">
        <f>IFERROR(COUNTIF(Pembayaran!$C$5:$F$240,C84)," ")</f>
        <v>1</v>
      </c>
      <c r="M84" s="8" t="str">
        <f t="shared" si="11"/>
        <v xml:space="preserve"> </v>
      </c>
      <c r="N84" s="15" t="str">
        <f t="shared" si="12"/>
        <v xml:space="preserve"> </v>
      </c>
      <c r="O84" s="276" t="str">
        <f t="shared" si="13"/>
        <v xml:space="preserve"> </v>
      </c>
      <c r="P84" s="276" t="str">
        <f t="shared" si="14"/>
        <v xml:space="preserve"> </v>
      </c>
      <c r="Q84" s="278" t="str">
        <f t="shared" si="15"/>
        <v xml:space="preserve"> </v>
      </c>
      <c r="R84" s="277" t="str">
        <f>IFERROR(VLOOKUP(C84,Anggota!$C$5:$P$111,12,FALSE)-F84, " ")</f>
        <v xml:space="preserve"> </v>
      </c>
      <c r="S84" s="274"/>
    </row>
    <row r="85" spans="2:20" ht="15" customHeight="1">
      <c r="B85" s="13">
        <f t="shared" si="8"/>
        <v>78</v>
      </c>
      <c r="C85" s="8">
        <f>Anggota!C78</f>
        <v>0</v>
      </c>
      <c r="D85" s="224" t="str">
        <f>IFERROR(VLOOKUP(C85,Anggota!$C$5:$P$209,3,FALSE), " ")</f>
        <v xml:space="preserve"> </v>
      </c>
      <c r="E85" s="341" t="str">
        <f>IFERROR(VLOOKUP(C85,Anggota!$C$5:$P$111,2,FALSE), " ")</f>
        <v xml:space="preserve"> </v>
      </c>
      <c r="F85" s="56" t="str">
        <f>IFERROR(VLOOKUP(C85,Anggota!$C$5:$P$209,8,FALSE), " ")</f>
        <v xml:space="preserve"> </v>
      </c>
      <c r="G85" s="5" t="str">
        <f t="shared" si="9"/>
        <v xml:space="preserve"> </v>
      </c>
      <c r="H85" s="57" t="str">
        <f t="shared" si="10"/>
        <v xml:space="preserve"> </v>
      </c>
      <c r="I85" s="337" t="str">
        <f>IFERROR(VLOOKUP(C85,Anggota!$C$5:$P$209,9,FALSE), " ")</f>
        <v xml:space="preserve"> </v>
      </c>
      <c r="J85" s="59" t="str">
        <f>IFERROR(VLOOKUP(C85,Anggota!$C$5:$P$209,10,FALSE), " ")</f>
        <v xml:space="preserve"> </v>
      </c>
      <c r="K85" s="60" t="str">
        <f>IFERROR(VLOOKUP(C85,Anggota!$C$5:$P$209,11,FALSE), " ")</f>
        <v xml:space="preserve"> </v>
      </c>
      <c r="L85" s="8">
        <f>IFERROR(COUNTIF(Pembayaran!$C$5:$F$240,C85)," ")</f>
        <v>1</v>
      </c>
      <c r="M85" s="8" t="str">
        <f t="shared" si="11"/>
        <v xml:space="preserve"> </v>
      </c>
      <c r="N85" s="15" t="str">
        <f t="shared" si="12"/>
        <v xml:space="preserve"> </v>
      </c>
      <c r="O85" s="276" t="str">
        <f t="shared" si="13"/>
        <v xml:space="preserve"> </v>
      </c>
      <c r="P85" s="276" t="str">
        <f t="shared" si="14"/>
        <v xml:space="preserve"> </v>
      </c>
      <c r="Q85" s="278" t="str">
        <f t="shared" si="15"/>
        <v xml:space="preserve"> </v>
      </c>
      <c r="R85" s="277" t="str">
        <f>IFERROR(VLOOKUP(C85,Anggota!$C$5:$P$111,12,FALSE)-F85, " ")</f>
        <v xml:space="preserve"> </v>
      </c>
      <c r="S85" s="274"/>
    </row>
    <row r="86" spans="2:20" ht="15" customHeight="1">
      <c r="B86" s="13">
        <f t="shared" si="8"/>
        <v>79</v>
      </c>
      <c r="C86" s="8">
        <f>Anggota!C79</f>
        <v>0</v>
      </c>
      <c r="D86" s="224" t="str">
        <f>IFERROR(VLOOKUP(C86,Anggota!$C$5:$P$209,3,FALSE), " ")</f>
        <v xml:space="preserve"> </v>
      </c>
      <c r="E86" s="341" t="str">
        <f>IFERROR(VLOOKUP(C86,Anggota!$C$5:$P$111,2,FALSE), " ")</f>
        <v xml:space="preserve"> </v>
      </c>
      <c r="F86" s="56" t="str">
        <f>IFERROR(VLOOKUP(C86,Anggota!$C$5:$P$209,8,FALSE), " ")</f>
        <v xml:space="preserve"> </v>
      </c>
      <c r="G86" s="5" t="str">
        <f t="shared" si="9"/>
        <v xml:space="preserve"> </v>
      </c>
      <c r="H86" s="57" t="str">
        <f t="shared" si="10"/>
        <v xml:space="preserve"> </v>
      </c>
      <c r="I86" s="337" t="str">
        <f>IFERROR(VLOOKUP(C86,Anggota!$C$5:$P$209,9,FALSE), " ")</f>
        <v xml:space="preserve"> </v>
      </c>
      <c r="J86" s="59" t="str">
        <f>IFERROR(VLOOKUP(C86,Anggota!$C$5:$P$209,10,FALSE), " ")</f>
        <v xml:space="preserve"> </v>
      </c>
      <c r="K86" s="60" t="str">
        <f>IFERROR(VLOOKUP(C86,Anggota!$C$5:$P$209,11,FALSE), " ")</f>
        <v xml:space="preserve"> </v>
      </c>
      <c r="L86" s="8">
        <f>IFERROR(COUNTIF(Pembayaran!$C$5:$F$240,C86)," ")</f>
        <v>1</v>
      </c>
      <c r="M86" s="8" t="str">
        <f t="shared" si="11"/>
        <v xml:space="preserve"> </v>
      </c>
      <c r="N86" s="15" t="str">
        <f t="shared" si="12"/>
        <v xml:space="preserve"> </v>
      </c>
      <c r="O86" s="276" t="str">
        <f t="shared" si="13"/>
        <v xml:space="preserve"> </v>
      </c>
      <c r="P86" s="276" t="str">
        <f t="shared" si="14"/>
        <v xml:space="preserve"> </v>
      </c>
      <c r="Q86" s="278" t="str">
        <f t="shared" si="15"/>
        <v xml:space="preserve"> </v>
      </c>
      <c r="R86" s="277" t="str">
        <f>IFERROR(VLOOKUP(C86,Anggota!$C$5:$P$111,12,FALSE)-F86, " ")</f>
        <v xml:space="preserve"> </v>
      </c>
      <c r="S86" s="274"/>
    </row>
    <row r="87" spans="2:20" ht="15" customHeight="1">
      <c r="B87" s="13">
        <f t="shared" si="8"/>
        <v>80</v>
      </c>
      <c r="C87" s="8">
        <f>Anggota!C80</f>
        <v>0</v>
      </c>
      <c r="D87" s="224" t="str">
        <f>IFERROR(VLOOKUP(C87,Anggota!$C$5:$P$209,3,FALSE), " ")</f>
        <v xml:space="preserve"> </v>
      </c>
      <c r="E87" s="341" t="str">
        <f>IFERROR(VLOOKUP(C87,Anggota!$C$5:$P$111,2,FALSE), " ")</f>
        <v xml:space="preserve"> </v>
      </c>
      <c r="F87" s="56" t="str">
        <f>IFERROR(VLOOKUP(C87,Anggota!$C$5:$P$209,8,FALSE), " ")</f>
        <v xml:space="preserve"> </v>
      </c>
      <c r="G87" s="5" t="str">
        <f t="shared" si="9"/>
        <v xml:space="preserve"> </v>
      </c>
      <c r="H87" s="57" t="str">
        <f t="shared" si="10"/>
        <v xml:space="preserve"> </v>
      </c>
      <c r="I87" s="337" t="str">
        <f>IFERROR(VLOOKUP(C87,Anggota!$C$5:$P$209,9,FALSE), " ")</f>
        <v xml:space="preserve"> </v>
      </c>
      <c r="J87" s="59" t="str">
        <f>IFERROR(VLOOKUP(C87,Anggota!$C$5:$P$209,10,FALSE), " ")</f>
        <v xml:space="preserve"> </v>
      </c>
      <c r="K87" s="60" t="str">
        <f>IFERROR(VLOOKUP(C87,Anggota!$C$5:$P$209,11,FALSE), " ")</f>
        <v xml:space="preserve"> </v>
      </c>
      <c r="L87" s="8">
        <f>IFERROR(COUNTIF(Pembayaran!$C$5:$F$240,C87)," ")</f>
        <v>1</v>
      </c>
      <c r="M87" s="8" t="str">
        <f t="shared" si="11"/>
        <v xml:space="preserve"> </v>
      </c>
      <c r="N87" s="15" t="str">
        <f t="shared" si="12"/>
        <v xml:space="preserve"> </v>
      </c>
      <c r="O87" s="276" t="str">
        <f t="shared" si="13"/>
        <v xml:space="preserve"> </v>
      </c>
      <c r="P87" s="276" t="str">
        <f t="shared" si="14"/>
        <v xml:space="preserve"> </v>
      </c>
      <c r="Q87" s="278" t="str">
        <f t="shared" si="15"/>
        <v xml:space="preserve"> </v>
      </c>
      <c r="R87" s="277" t="str">
        <f>IFERROR(VLOOKUP(C87,Anggota!$C$5:$P$111,12,FALSE)-F87, " ")</f>
        <v xml:space="preserve"> </v>
      </c>
      <c r="S87" s="274"/>
    </row>
    <row r="88" spans="2:20" ht="15" customHeight="1">
      <c r="B88" s="13">
        <f t="shared" si="8"/>
        <v>81</v>
      </c>
      <c r="C88" s="8">
        <f>Anggota!C81</f>
        <v>0</v>
      </c>
      <c r="D88" s="224" t="str">
        <f>IFERROR(VLOOKUP(C88,Anggota!$C$5:$P$209,3,FALSE), " ")</f>
        <v xml:space="preserve"> </v>
      </c>
      <c r="E88" s="341" t="str">
        <f>IFERROR(VLOOKUP(C88,Anggota!$C$5:$P$111,2,FALSE), " ")</f>
        <v xml:space="preserve"> </v>
      </c>
      <c r="F88" s="56" t="str">
        <f>IFERROR(VLOOKUP(C88,Anggota!$C$5:$P$209,8,FALSE), " ")</f>
        <v xml:space="preserve"> </v>
      </c>
      <c r="G88" s="5" t="str">
        <f t="shared" si="9"/>
        <v xml:space="preserve"> </v>
      </c>
      <c r="H88" s="57" t="str">
        <f t="shared" si="10"/>
        <v xml:space="preserve"> </v>
      </c>
      <c r="I88" s="337" t="str">
        <f>IFERROR(VLOOKUP(C88,Anggota!$C$5:$P$209,9,FALSE), " ")</f>
        <v xml:space="preserve"> </v>
      </c>
      <c r="J88" s="59" t="str">
        <f>IFERROR(VLOOKUP(C88,Anggota!$C$5:$P$209,10,FALSE), " ")</f>
        <v xml:space="preserve"> </v>
      </c>
      <c r="K88" s="60" t="str">
        <f>IFERROR(VLOOKUP(C88,Anggota!$C$5:$P$209,11,FALSE), " ")</f>
        <v xml:space="preserve"> </v>
      </c>
      <c r="L88" s="8">
        <f>IFERROR(COUNTIF(Pembayaran!$C$5:$F$240,C88)," ")</f>
        <v>1</v>
      </c>
      <c r="M88" s="8" t="str">
        <f t="shared" si="11"/>
        <v xml:space="preserve"> </v>
      </c>
      <c r="N88" s="15" t="str">
        <f t="shared" si="12"/>
        <v xml:space="preserve"> </v>
      </c>
      <c r="O88" s="276" t="str">
        <f t="shared" si="13"/>
        <v xml:space="preserve"> </v>
      </c>
      <c r="P88" s="276" t="str">
        <f t="shared" si="14"/>
        <v xml:space="preserve"> </v>
      </c>
      <c r="Q88" s="278" t="str">
        <f t="shared" si="15"/>
        <v xml:space="preserve"> </v>
      </c>
      <c r="R88" s="277" t="str">
        <f>IFERROR(VLOOKUP(C88,Anggota!$C$5:$P$111,12,FALSE)-F88, " ")</f>
        <v xml:space="preserve"> </v>
      </c>
      <c r="S88" s="274"/>
    </row>
    <row r="89" spans="2:20" ht="8.25" customHeight="1"/>
    <row r="90" spans="2:20" s="2" customFormat="1" ht="15.75" customHeight="1">
      <c r="B90" s="445" t="s">
        <v>34</v>
      </c>
      <c r="C90" s="445"/>
      <c r="D90" s="445"/>
      <c r="E90" s="445"/>
      <c r="F90" s="232">
        <f>SUM(F8:F89)</f>
        <v>500000</v>
      </c>
      <c r="G90" s="233">
        <f>SUM(G8:G89)</f>
        <v>166666.66666666666</v>
      </c>
      <c r="H90" s="176">
        <f>SUM(H8:H46)</f>
        <v>37500</v>
      </c>
      <c r="I90" s="52"/>
      <c r="J90" s="52"/>
      <c r="K90" s="234">
        <f>SUM(K8:K89)</f>
        <v>112500</v>
      </c>
      <c r="N90" s="175">
        <f>SUM(N8:N89)</f>
        <v>612500</v>
      </c>
      <c r="O90" s="232">
        <f>SUM(O8:O89)</f>
        <v>500000</v>
      </c>
      <c r="P90" s="175">
        <f>SUM(P8:P89)</f>
        <v>112500</v>
      </c>
    </row>
    <row r="91" spans="2:20">
      <c r="F91" s="65"/>
      <c r="G91" s="66"/>
      <c r="H91" s="67"/>
      <c r="N91" s="2" t="s">
        <v>131</v>
      </c>
      <c r="O91" s="275" t="e">
        <f>#REF!</f>
        <v>#REF!</v>
      </c>
      <c r="S91" s="284" t="s">
        <v>140</v>
      </c>
      <c r="T91" s="6"/>
    </row>
    <row r="92" spans="2:20">
      <c r="B92" s="407" t="s">
        <v>35</v>
      </c>
      <c r="C92" s="407"/>
      <c r="D92" s="407"/>
      <c r="E92" s="407"/>
      <c r="F92" s="438">
        <f>(G90/F90)*100%</f>
        <v>0.33333333333333331</v>
      </c>
      <c r="G92" s="439"/>
      <c r="H92" s="68" t="e">
        <f>(H90/R4)*100%</f>
        <v>#DIV/0!</v>
      </c>
      <c r="I92" s="64"/>
      <c r="J92" s="64"/>
      <c r="K92" s="6"/>
      <c r="L92" s="6"/>
      <c r="M92" s="6"/>
      <c r="N92" s="6"/>
      <c r="P92" s="6"/>
      <c r="Q92" s="2"/>
      <c r="R92" s="2"/>
    </row>
    <row r="95" spans="2:20" ht="15.75">
      <c r="E95" s="173" t="s">
        <v>85</v>
      </c>
      <c r="F95" s="174" t="e">
        <f>(H90+#REF!)*0.005</f>
        <v>#REF!</v>
      </c>
    </row>
  </sheetData>
  <mergeCells count="20">
    <mergeCell ref="C2:E2"/>
    <mergeCell ref="F2:Q2"/>
    <mergeCell ref="J6:J7"/>
    <mergeCell ref="F6:F7"/>
    <mergeCell ref="B90:E90"/>
    <mergeCell ref="M6:N6"/>
    <mergeCell ref="Q6:Q7"/>
    <mergeCell ref="D6:D7"/>
    <mergeCell ref="F92:G92"/>
    <mergeCell ref="B92:E92"/>
    <mergeCell ref="B6:B7"/>
    <mergeCell ref="C6:C7"/>
    <mergeCell ref="E6:E7"/>
    <mergeCell ref="G6:H6"/>
    <mergeCell ref="R6:R7"/>
    <mergeCell ref="F1:Q1"/>
    <mergeCell ref="I6:I7"/>
    <mergeCell ref="K6:K7"/>
    <mergeCell ref="L6:L7"/>
    <mergeCell ref="O6:P6"/>
  </mergeCells>
  <pageMargins left="0.11811023622047245" right="0.15748031496062992" top="0.27559055118110237" bottom="0.31496062992125984" header="0.31496062992125984" footer="0.31496062992125984"/>
  <pageSetup paperSize="14" scale="70" orientation="landscape" horizontalDpi="4294967292"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U49"/>
  <sheetViews>
    <sheetView showGridLines="0" workbookViewId="0">
      <pane ySplit="5" topLeftCell="A6" activePane="bottomLeft" state="frozen"/>
      <selection pane="bottomLeft" activeCell="M21" sqref="M21"/>
    </sheetView>
  </sheetViews>
  <sheetFormatPr defaultRowHeight="15"/>
  <cols>
    <col min="1" max="1" width="4.28515625" style="181" customWidth="1"/>
    <col min="2" max="2" width="11.42578125" style="182" customWidth="1"/>
    <col min="3" max="3" width="8.85546875" style="181" customWidth="1"/>
    <col min="4" max="4" width="21.7109375" style="183" bestFit="1" customWidth="1"/>
    <col min="5" max="5" width="17.140625" style="181" bestFit="1" customWidth="1"/>
    <col min="6" max="6" width="14.140625" style="181" customWidth="1"/>
    <col min="7" max="7" width="13.85546875" style="181" customWidth="1"/>
    <col min="8" max="8" width="7.140625" style="181" customWidth="1"/>
    <col min="9" max="9" width="6.5703125" style="181" customWidth="1"/>
    <col min="10" max="10" width="14.5703125" style="181" customWidth="1"/>
    <col min="11" max="11" width="10.140625" style="181" bestFit="1" customWidth="1"/>
    <col min="12" max="12" width="15.85546875" style="192" customWidth="1"/>
    <col min="13" max="13" width="14.85546875" style="181" bestFit="1" customWidth="1"/>
    <col min="14" max="14" width="12.140625" style="181" bestFit="1" customWidth="1"/>
    <col min="15" max="15" width="9.140625" style="181" customWidth="1"/>
    <col min="16" max="16" width="14.42578125" style="185" customWidth="1"/>
    <col min="17" max="17" width="9.140625" style="185"/>
    <col min="18" max="18" width="12.140625" style="181" bestFit="1" customWidth="1"/>
    <col min="19" max="19" width="9.140625" style="181"/>
    <col min="20" max="20" width="14.7109375" style="192" customWidth="1"/>
    <col min="21" max="21" width="8.85546875" style="185" customWidth="1"/>
    <col min="22" max="16384" width="9.140625" style="180"/>
  </cols>
  <sheetData>
    <row r="1" spans="1:21" ht="18.75">
      <c r="A1" s="448" t="s">
        <v>86</v>
      </c>
      <c r="B1" s="448"/>
      <c r="C1" s="448"/>
      <c r="D1" s="448"/>
      <c r="E1" s="448"/>
      <c r="F1" s="448"/>
      <c r="G1" s="448"/>
      <c r="H1" s="448"/>
      <c r="I1" s="448"/>
      <c r="J1" s="448"/>
      <c r="K1" s="448"/>
      <c r="L1" s="448"/>
      <c r="M1" s="448"/>
      <c r="N1" s="448"/>
      <c r="O1" s="448"/>
      <c r="R1" s="185"/>
    </row>
    <row r="2" spans="1:21">
      <c r="A2" s="449" t="s">
        <v>87</v>
      </c>
      <c r="B2" s="449"/>
      <c r="C2" s="449"/>
      <c r="D2" s="449"/>
      <c r="E2" s="449"/>
      <c r="F2" s="449"/>
      <c r="G2" s="449"/>
      <c r="H2" s="449"/>
      <c r="I2" s="449"/>
      <c r="J2" s="449"/>
      <c r="K2" s="449"/>
      <c r="L2" s="449"/>
      <c r="M2" s="449"/>
      <c r="N2" s="449"/>
      <c r="O2" s="449"/>
      <c r="R2" s="185"/>
    </row>
    <row r="3" spans="1:21" ht="6.75" customHeight="1"/>
    <row r="4" spans="1:21" ht="15.75" customHeight="1">
      <c r="A4" s="446" t="s">
        <v>0</v>
      </c>
      <c r="B4" s="450" t="s">
        <v>1</v>
      </c>
      <c r="C4" s="446" t="s">
        <v>15</v>
      </c>
      <c r="D4" s="446" t="s">
        <v>14</v>
      </c>
      <c r="E4" s="446" t="s">
        <v>20</v>
      </c>
      <c r="F4" s="446" t="s">
        <v>31</v>
      </c>
      <c r="G4" s="446"/>
      <c r="H4" s="446" t="s">
        <v>13</v>
      </c>
      <c r="I4" s="447" t="s">
        <v>30</v>
      </c>
      <c r="J4" s="446" t="s">
        <v>6</v>
      </c>
      <c r="K4" s="446" t="s">
        <v>89</v>
      </c>
      <c r="L4" s="446"/>
      <c r="M4" s="446"/>
      <c r="N4" s="447" t="s">
        <v>19</v>
      </c>
      <c r="O4" s="446" t="s">
        <v>90</v>
      </c>
      <c r="P4" s="446"/>
      <c r="Q4" s="446"/>
      <c r="R4" s="447" t="s">
        <v>19</v>
      </c>
      <c r="S4" s="446" t="s">
        <v>90</v>
      </c>
      <c r="T4" s="446"/>
      <c r="U4" s="446"/>
    </row>
    <row r="5" spans="1:21" ht="15.75">
      <c r="A5" s="446"/>
      <c r="B5" s="450"/>
      <c r="C5" s="446"/>
      <c r="D5" s="446"/>
      <c r="E5" s="446"/>
      <c r="F5" s="177" t="s">
        <v>28</v>
      </c>
      <c r="G5" s="177" t="s">
        <v>21</v>
      </c>
      <c r="H5" s="446"/>
      <c r="I5" s="435"/>
      <c r="J5" s="446"/>
      <c r="K5" s="191">
        <v>43830</v>
      </c>
      <c r="L5" s="193" t="s">
        <v>21</v>
      </c>
      <c r="M5" s="189" t="s">
        <v>88</v>
      </c>
      <c r="N5" s="435"/>
      <c r="O5" s="191">
        <v>44196</v>
      </c>
      <c r="P5" s="193" t="s">
        <v>21</v>
      </c>
      <c r="Q5" s="193" t="s">
        <v>88</v>
      </c>
      <c r="R5" s="435"/>
      <c r="S5" s="191">
        <v>44561</v>
      </c>
      <c r="T5" s="193" t="s">
        <v>21</v>
      </c>
      <c r="U5" s="193" t="s">
        <v>88</v>
      </c>
    </row>
    <row r="6" spans="1:21">
      <c r="A6" s="8">
        <f>IF(ISBLANK(C6)," ",IF(C6=" "," ",ROW()-5))</f>
        <v>1</v>
      </c>
      <c r="B6" s="149">
        <f>IFERROR(VLOOKUP(C6,Anggota!$C$5:$P$112,3,FALSE), " ")</f>
        <v>44593</v>
      </c>
      <c r="C6" s="8" t="str">
        <f>IF(ISBLANK(Anggota!C5)," ",Anggota!C5)</f>
        <v>0119</v>
      </c>
      <c r="D6" s="4" t="str">
        <f>IFERROR(VLOOKUP(C6,Laporan!$C$8:$R$46,3,FALSE), " ")</f>
        <v>Anggota</v>
      </c>
      <c r="E6" s="56">
        <f>IFERROR(VLOOKUP(C6,Laporan!$C$8:$R$46,4,FALSE), " ")</f>
        <v>500000</v>
      </c>
      <c r="F6" s="5">
        <f>IFERROR(J6-G6, " ")</f>
        <v>75000</v>
      </c>
      <c r="G6" s="5">
        <f>IFERROR(E6*I6/H6, " ")</f>
        <v>37500</v>
      </c>
      <c r="H6" s="61">
        <f>IFERROR(VLOOKUP(C6,Laporan!$C$8:$R$46,7,FALSE), " ")</f>
        <v>3</v>
      </c>
      <c r="I6" s="59">
        <f>IFERROR(VLOOKUP(C6,Laporan!$C$8:$R$46,8,FALSE), " ")</f>
        <v>0.22500000000000001</v>
      </c>
      <c r="J6" s="60">
        <f>IFERROR(VLOOKUP(C6,Laporan!$C$8:$R$46,9,FALSE), " ")</f>
        <v>112500</v>
      </c>
      <c r="K6" s="194" t="str">
        <f>IFERROR(MONTH($K$5-B6)-1," ")</f>
        <v xml:space="preserve"> </v>
      </c>
      <c r="L6" s="15" t="str">
        <f>IFERROR(G6*K6, " ")</f>
        <v xml:space="preserve"> </v>
      </c>
      <c r="M6" s="15"/>
      <c r="N6" s="194" t="str">
        <f>IFERROR(VLOOKUP(C6,Laporan!$C$8:$R$46,15,FALSE), " ")</f>
        <v>Belum Lunas</v>
      </c>
      <c r="O6" s="8" t="str">
        <f>IFERROR(MONTH(O5-K6)," ")</f>
        <v xml:space="preserve"> </v>
      </c>
      <c r="P6" s="5" t="str">
        <f>IFERROR(G6*O6, " ")</f>
        <v xml:space="preserve"> </v>
      </c>
      <c r="Q6" s="5"/>
      <c r="R6" s="194" t="str">
        <f>IFERROR(VLOOKUP(C6,Laporan!$C$8:$R$46,15,FALSE), " ")</f>
        <v>Belum Lunas</v>
      </c>
      <c r="S6" s="8" t="str">
        <f>IFERROR(H6-K6-O6," ")</f>
        <v xml:space="preserve"> </v>
      </c>
      <c r="T6" s="15" t="str">
        <f>IFERROR(G6*S6, " ")</f>
        <v xml:space="preserve"> </v>
      </c>
      <c r="U6" s="5"/>
    </row>
    <row r="7" spans="1:21">
      <c r="A7" s="8" t="str">
        <f t="shared" ref="A7:A41" si="0">IF(ISBLANK(C7)," ",IF(C7=" "," ",ROW()-5))</f>
        <v xml:space="preserve"> </v>
      </c>
      <c r="B7" s="149" t="str">
        <f>IFERROR(VLOOKUP(C7,Anggota!$C$5:$P$112,3,FALSE), " ")</f>
        <v xml:space="preserve"> </v>
      </c>
      <c r="C7" s="8" t="str">
        <f>IF(ISBLANK(Anggota!C6)," ",Anggota!C6)</f>
        <v xml:space="preserve"> </v>
      </c>
      <c r="D7" s="4" t="str">
        <f>IFERROR(VLOOKUP(C7,Laporan!$C$8:$R$46,3,FALSE), " ")</f>
        <v xml:space="preserve"> </v>
      </c>
      <c r="E7" s="56" t="str">
        <f>IFERROR(VLOOKUP(C7,Laporan!$C$8:$R$46,4,FALSE), " ")</f>
        <v xml:space="preserve"> </v>
      </c>
      <c r="F7" s="5" t="str">
        <f t="shared" ref="F7:F44" si="1">IFERROR(J7-G7, " ")</f>
        <v xml:space="preserve"> </v>
      </c>
      <c r="G7" s="5" t="str">
        <f t="shared" ref="G7:G44" si="2">IFERROR(E7*I7/H7, " ")</f>
        <v xml:space="preserve"> </v>
      </c>
      <c r="H7" s="61" t="str">
        <f>IFERROR(VLOOKUP(C7,Laporan!$C$8:$R$46,7,FALSE), " ")</f>
        <v xml:space="preserve"> </v>
      </c>
      <c r="I7" s="59" t="str">
        <f>IFERROR(VLOOKUP(C7,Laporan!$C$8:$R$46,8,FALSE), " ")</f>
        <v xml:space="preserve"> </v>
      </c>
      <c r="J7" s="60" t="str">
        <f>IFERROR(VLOOKUP(C7,Laporan!$C$8:$R$46,9,FALSE), " ")</f>
        <v xml:space="preserve"> </v>
      </c>
      <c r="K7" s="194" t="str">
        <f t="shared" ref="K7:K44" si="3">IFERROR(MONTH($K$5-B7)-1," ")</f>
        <v xml:space="preserve"> </v>
      </c>
      <c r="L7" s="15" t="str">
        <f t="shared" ref="L7:L44" si="4">IFERROR(G7*K7, " ")</f>
        <v xml:space="preserve"> </v>
      </c>
      <c r="M7" s="15"/>
      <c r="N7" s="194" t="str">
        <f>IFERROR(VLOOKUP(C7,Laporan!$C$8:$R$46,15,FALSE), " ")</f>
        <v xml:space="preserve"> </v>
      </c>
      <c r="O7" s="8" t="e">
        <f t="shared" ref="O7:O12" si="5">H7-K7</f>
        <v>#VALUE!</v>
      </c>
      <c r="P7" s="5" t="str">
        <f t="shared" ref="P7:P41" si="6">IFERROR(G7*O7, " ")</f>
        <v xml:space="preserve"> </v>
      </c>
      <c r="Q7" s="5"/>
      <c r="R7" s="194" t="str">
        <f>IFERROR(VLOOKUP(C7,Laporan!$C$8:$R$46,15,FALSE), " ")</f>
        <v xml:space="preserve"> </v>
      </c>
      <c r="S7" s="8" t="str">
        <f t="shared" ref="S7:S41" si="7">IFERROR(H7-K7-O7," ")</f>
        <v xml:space="preserve"> </v>
      </c>
      <c r="T7" s="15" t="str">
        <f t="shared" ref="T7:T41" si="8">IFERROR(G7*S7, " ")</f>
        <v xml:space="preserve"> </v>
      </c>
      <c r="U7" s="5"/>
    </row>
    <row r="8" spans="1:21">
      <c r="A8" s="8" t="str">
        <f t="shared" si="0"/>
        <v xml:space="preserve"> </v>
      </c>
      <c r="B8" s="149" t="str">
        <f>IFERROR(VLOOKUP(C8,Anggota!$C$5:$P$112,3,FALSE), " ")</f>
        <v xml:space="preserve"> </v>
      </c>
      <c r="C8" s="8" t="str">
        <f>IF(ISBLANK(Anggota!C7)," ",Anggota!C7)</f>
        <v xml:space="preserve"> </v>
      </c>
      <c r="D8" s="4" t="str">
        <f>IFERROR(VLOOKUP(C8,Laporan!$C$8:$R$46,3,FALSE), " ")</f>
        <v xml:space="preserve"> </v>
      </c>
      <c r="E8" s="56" t="str">
        <f>IFERROR(VLOOKUP(C8,Laporan!$C$8:$R$46,4,FALSE), " ")</f>
        <v xml:space="preserve"> </v>
      </c>
      <c r="F8" s="5" t="str">
        <f t="shared" si="1"/>
        <v xml:space="preserve"> </v>
      </c>
      <c r="G8" s="5" t="str">
        <f t="shared" si="2"/>
        <v xml:space="preserve"> </v>
      </c>
      <c r="H8" s="61" t="str">
        <f>IFERROR(VLOOKUP(C8,Laporan!$C$8:$R$46,7,FALSE), " ")</f>
        <v xml:space="preserve"> </v>
      </c>
      <c r="I8" s="59" t="str">
        <f>IFERROR(VLOOKUP(C8,Laporan!$C$8:$R$46,8,FALSE), " ")</f>
        <v xml:space="preserve"> </v>
      </c>
      <c r="J8" s="60" t="str">
        <f>IFERROR(VLOOKUP(C8,Laporan!$C$8:$R$46,9,FALSE), " ")</f>
        <v xml:space="preserve"> </v>
      </c>
      <c r="K8" s="194" t="str">
        <f t="shared" si="3"/>
        <v xml:space="preserve"> </v>
      </c>
      <c r="L8" s="15" t="str">
        <f t="shared" si="4"/>
        <v xml:space="preserve"> </v>
      </c>
      <c r="M8" s="15"/>
      <c r="N8" s="194" t="str">
        <f>IFERROR(VLOOKUP(C8,Laporan!$C$8:$R$46,15,FALSE), " ")</f>
        <v xml:space="preserve"> </v>
      </c>
      <c r="O8" s="8" t="e">
        <f t="shared" si="5"/>
        <v>#VALUE!</v>
      </c>
      <c r="P8" s="5" t="str">
        <f t="shared" si="6"/>
        <v xml:space="preserve"> </v>
      </c>
      <c r="Q8" s="5"/>
      <c r="R8" s="194" t="str">
        <f>IFERROR(VLOOKUP(C8,Laporan!$C$8:$R$46,15,FALSE), " ")</f>
        <v xml:space="preserve"> </v>
      </c>
      <c r="S8" s="8" t="str">
        <f t="shared" si="7"/>
        <v xml:space="preserve"> </v>
      </c>
      <c r="T8" s="15" t="str">
        <f t="shared" si="8"/>
        <v xml:space="preserve"> </v>
      </c>
      <c r="U8" s="5"/>
    </row>
    <row r="9" spans="1:21">
      <c r="A9" s="8" t="str">
        <f t="shared" si="0"/>
        <v xml:space="preserve"> </v>
      </c>
      <c r="B9" s="149" t="str">
        <f>IFERROR(VLOOKUP(C9,Anggota!$C$5:$P$112,3,FALSE), " ")</f>
        <v xml:space="preserve"> </v>
      </c>
      <c r="C9" s="8" t="str">
        <f>IF(ISBLANK(Anggota!C8)," ",Anggota!C8)</f>
        <v xml:space="preserve"> </v>
      </c>
      <c r="D9" s="4" t="str">
        <f>IFERROR(VLOOKUP(C9,Laporan!$C$8:$R$46,3,FALSE), " ")</f>
        <v xml:space="preserve"> </v>
      </c>
      <c r="E9" s="56" t="str">
        <f>IFERROR(VLOOKUP(C9,Laporan!$C$8:$R$46,4,FALSE), " ")</f>
        <v xml:space="preserve"> </v>
      </c>
      <c r="F9" s="5" t="str">
        <f t="shared" si="1"/>
        <v xml:space="preserve"> </v>
      </c>
      <c r="G9" s="5" t="str">
        <f t="shared" si="2"/>
        <v xml:space="preserve"> </v>
      </c>
      <c r="H9" s="61" t="str">
        <f>IFERROR(VLOOKUP(C9,Laporan!$C$8:$R$46,7,FALSE), " ")</f>
        <v xml:space="preserve"> </v>
      </c>
      <c r="I9" s="59" t="str">
        <f>IFERROR(VLOOKUP(C9,Laporan!$C$8:$R$46,8,FALSE), " ")</f>
        <v xml:space="preserve"> </v>
      </c>
      <c r="J9" s="60" t="str">
        <f>IFERROR(VLOOKUP(C9,Laporan!$C$8:$R$46,9,FALSE), " ")</f>
        <v xml:space="preserve"> </v>
      </c>
      <c r="K9" s="194" t="str">
        <f t="shared" si="3"/>
        <v xml:space="preserve"> </v>
      </c>
      <c r="L9" s="15" t="str">
        <f t="shared" si="4"/>
        <v xml:space="preserve"> </v>
      </c>
      <c r="M9" s="15"/>
      <c r="N9" s="194" t="str">
        <f>IFERROR(VLOOKUP(C9,Laporan!$C$8:$R$46,15,FALSE), " ")</f>
        <v xml:space="preserve"> </v>
      </c>
      <c r="O9" s="8" t="e">
        <f t="shared" si="5"/>
        <v>#VALUE!</v>
      </c>
      <c r="P9" s="5" t="str">
        <f t="shared" si="6"/>
        <v xml:space="preserve"> </v>
      </c>
      <c r="Q9" s="5"/>
      <c r="R9" s="194" t="str">
        <f>IFERROR(VLOOKUP(C9,Laporan!$C$8:$R$46,15,FALSE), " ")</f>
        <v xml:space="preserve"> </v>
      </c>
      <c r="S9" s="8" t="str">
        <f t="shared" si="7"/>
        <v xml:space="preserve"> </v>
      </c>
      <c r="T9" s="15" t="str">
        <f t="shared" si="8"/>
        <v xml:space="preserve"> </v>
      </c>
      <c r="U9" s="5"/>
    </row>
    <row r="10" spans="1:21">
      <c r="A10" s="8" t="str">
        <f t="shared" si="0"/>
        <v xml:space="preserve"> </v>
      </c>
      <c r="B10" s="149" t="str">
        <f>IFERROR(VLOOKUP(C10,Anggota!$C$5:$P$112,3,FALSE), " ")</f>
        <v xml:space="preserve"> </v>
      </c>
      <c r="C10" s="8" t="str">
        <f>IF(ISBLANK(Anggota!C9)," ",Anggota!C9)</f>
        <v xml:space="preserve"> </v>
      </c>
      <c r="D10" s="4" t="str">
        <f>IFERROR(VLOOKUP(C10,Laporan!$C$8:$R$46,3,FALSE), " ")</f>
        <v xml:space="preserve"> </v>
      </c>
      <c r="E10" s="56" t="str">
        <f>IFERROR(VLOOKUP(C10,Laporan!$C$8:$R$46,4,FALSE), " ")</f>
        <v xml:space="preserve"> </v>
      </c>
      <c r="F10" s="5" t="str">
        <f t="shared" si="1"/>
        <v xml:space="preserve"> </v>
      </c>
      <c r="G10" s="5" t="str">
        <f t="shared" si="2"/>
        <v xml:space="preserve"> </v>
      </c>
      <c r="H10" s="61" t="str">
        <f>IFERROR(VLOOKUP(C10,Laporan!$C$8:$R$46,7,FALSE), " ")</f>
        <v xml:space="preserve"> </v>
      </c>
      <c r="I10" s="59" t="str">
        <f>IFERROR(VLOOKUP(C10,Laporan!$C$8:$R$46,8,FALSE), " ")</f>
        <v xml:space="preserve"> </v>
      </c>
      <c r="J10" s="60" t="str">
        <f>IFERROR(VLOOKUP(C10,Laporan!$C$8:$R$46,9,FALSE), " ")</f>
        <v xml:space="preserve"> </v>
      </c>
      <c r="K10" s="194" t="str">
        <f t="shared" si="3"/>
        <v xml:space="preserve"> </v>
      </c>
      <c r="L10" s="15" t="str">
        <f t="shared" si="4"/>
        <v xml:space="preserve"> </v>
      </c>
      <c r="M10" s="15"/>
      <c r="N10" s="194" t="str">
        <f>IFERROR(VLOOKUP(C10,Laporan!$C$8:$R$46,15,FALSE), " ")</f>
        <v xml:space="preserve"> </v>
      </c>
      <c r="O10" s="8" t="e">
        <f t="shared" si="5"/>
        <v>#VALUE!</v>
      </c>
      <c r="P10" s="5" t="str">
        <f t="shared" si="6"/>
        <v xml:space="preserve"> </v>
      </c>
      <c r="Q10" s="5"/>
      <c r="R10" s="194" t="str">
        <f>IFERROR(VLOOKUP(C10,Laporan!$C$8:$R$46,15,FALSE), " ")</f>
        <v xml:space="preserve"> </v>
      </c>
      <c r="S10" s="8" t="str">
        <f t="shared" si="7"/>
        <v xml:space="preserve"> </v>
      </c>
      <c r="T10" s="15" t="str">
        <f t="shared" si="8"/>
        <v xml:space="preserve"> </v>
      </c>
      <c r="U10" s="5"/>
    </row>
    <row r="11" spans="1:21">
      <c r="A11" s="8" t="str">
        <f t="shared" si="0"/>
        <v xml:space="preserve"> </v>
      </c>
      <c r="B11" s="149" t="str">
        <f>IFERROR(VLOOKUP(C11,Anggota!$C$5:$P$112,3,FALSE), " ")</f>
        <v xml:space="preserve"> </v>
      </c>
      <c r="C11" s="8" t="str">
        <f>IF(ISBLANK(Anggota!C10)," ",Anggota!C10)</f>
        <v xml:space="preserve"> </v>
      </c>
      <c r="D11" s="4" t="str">
        <f>IFERROR(VLOOKUP(C11,Laporan!$C$8:$R$46,3,FALSE), " ")</f>
        <v xml:space="preserve"> </v>
      </c>
      <c r="E11" s="56" t="str">
        <f>IFERROR(VLOOKUP(C11,Laporan!$C$8:$R$46,4,FALSE), " ")</f>
        <v xml:space="preserve"> </v>
      </c>
      <c r="F11" s="5" t="str">
        <f t="shared" si="1"/>
        <v xml:space="preserve"> </v>
      </c>
      <c r="G11" s="5" t="str">
        <f t="shared" si="2"/>
        <v xml:space="preserve"> </v>
      </c>
      <c r="H11" s="61" t="str">
        <f>IFERROR(VLOOKUP(C11,Laporan!$C$8:$R$46,7,FALSE), " ")</f>
        <v xml:space="preserve"> </v>
      </c>
      <c r="I11" s="59" t="str">
        <f>IFERROR(VLOOKUP(C11,Laporan!$C$8:$R$46,8,FALSE), " ")</f>
        <v xml:space="preserve"> </v>
      </c>
      <c r="J11" s="60" t="str">
        <f>IFERROR(VLOOKUP(C11,Laporan!$C$8:$R$46,9,FALSE), " ")</f>
        <v xml:space="preserve"> </v>
      </c>
      <c r="K11" s="194" t="str">
        <f t="shared" si="3"/>
        <v xml:space="preserve"> </v>
      </c>
      <c r="L11" s="15" t="str">
        <f t="shared" si="4"/>
        <v xml:space="preserve"> </v>
      </c>
      <c r="M11" s="15"/>
      <c r="N11" s="194" t="str">
        <f>IFERROR(VLOOKUP(C11,Laporan!$C$8:$R$46,15,FALSE), " ")</f>
        <v xml:space="preserve"> </v>
      </c>
      <c r="O11" s="8" t="e">
        <f t="shared" si="5"/>
        <v>#VALUE!</v>
      </c>
      <c r="P11" s="5" t="str">
        <f t="shared" si="6"/>
        <v xml:space="preserve"> </v>
      </c>
      <c r="Q11" s="5"/>
      <c r="R11" s="194" t="str">
        <f>IFERROR(VLOOKUP(C11,Laporan!$C$8:$R$46,15,FALSE), " ")</f>
        <v xml:space="preserve"> </v>
      </c>
      <c r="S11" s="8" t="str">
        <f t="shared" si="7"/>
        <v xml:space="preserve"> </v>
      </c>
      <c r="T11" s="15" t="str">
        <f t="shared" si="8"/>
        <v xml:space="preserve"> </v>
      </c>
      <c r="U11" s="5"/>
    </row>
    <row r="12" spans="1:21">
      <c r="A12" s="8" t="str">
        <f t="shared" si="0"/>
        <v xml:space="preserve"> </v>
      </c>
      <c r="B12" s="149" t="str">
        <f>IFERROR(VLOOKUP(C12,Anggota!$C$5:$P$112,3,FALSE), " ")</f>
        <v xml:space="preserve"> </v>
      </c>
      <c r="C12" s="8" t="str">
        <f>IF(ISBLANK(Anggota!C11)," ",Anggota!C11)</f>
        <v xml:space="preserve"> </v>
      </c>
      <c r="D12" s="4" t="str">
        <f>IFERROR(VLOOKUP(C12,Laporan!$C$8:$R$46,3,FALSE), " ")</f>
        <v xml:space="preserve"> </v>
      </c>
      <c r="E12" s="56" t="str">
        <f>IFERROR(VLOOKUP(C12,Laporan!$C$8:$R$46,4,FALSE), " ")</f>
        <v xml:space="preserve"> </v>
      </c>
      <c r="F12" s="5" t="str">
        <f t="shared" si="1"/>
        <v xml:space="preserve"> </v>
      </c>
      <c r="G12" s="5" t="str">
        <f t="shared" si="2"/>
        <v xml:space="preserve"> </v>
      </c>
      <c r="H12" s="61" t="str">
        <f>IFERROR(VLOOKUP(C12,Laporan!$C$8:$R$46,7,FALSE), " ")</f>
        <v xml:space="preserve"> </v>
      </c>
      <c r="I12" s="59" t="str">
        <f>IFERROR(VLOOKUP(C12,Laporan!$C$8:$R$46,8,FALSE), " ")</f>
        <v xml:space="preserve"> </v>
      </c>
      <c r="J12" s="60" t="str">
        <f>IFERROR(VLOOKUP(C12,Laporan!$C$8:$R$46,9,FALSE), " ")</f>
        <v xml:space="preserve"> </v>
      </c>
      <c r="K12" s="194" t="str">
        <f t="shared" si="3"/>
        <v xml:space="preserve"> </v>
      </c>
      <c r="L12" s="15" t="str">
        <f t="shared" si="4"/>
        <v xml:space="preserve"> </v>
      </c>
      <c r="M12" s="15"/>
      <c r="N12" s="194" t="str">
        <f>IFERROR(VLOOKUP(C12,Laporan!$C$8:$R$46,15,FALSE), " ")</f>
        <v xml:space="preserve"> </v>
      </c>
      <c r="O12" s="8" t="e">
        <f t="shared" si="5"/>
        <v>#VALUE!</v>
      </c>
      <c r="P12" s="5" t="str">
        <f t="shared" si="6"/>
        <v xml:space="preserve"> </v>
      </c>
      <c r="Q12" s="5"/>
      <c r="R12" s="194" t="str">
        <f>IFERROR(VLOOKUP(C12,Laporan!$C$8:$R$46,15,FALSE), " ")</f>
        <v xml:space="preserve"> </v>
      </c>
      <c r="S12" s="8" t="str">
        <f t="shared" si="7"/>
        <v xml:space="preserve"> </v>
      </c>
      <c r="T12" s="15" t="str">
        <f t="shared" si="8"/>
        <v xml:space="preserve"> </v>
      </c>
      <c r="U12" s="5"/>
    </row>
    <row r="13" spans="1:21">
      <c r="A13" s="8" t="str">
        <f t="shared" si="0"/>
        <v xml:space="preserve"> </v>
      </c>
      <c r="B13" s="149" t="str">
        <f>IFERROR(VLOOKUP(C13,Anggota!$C$5:$P$112,3,FALSE), " ")</f>
        <v xml:space="preserve"> </v>
      </c>
      <c r="C13" s="8" t="str">
        <f>IF(ISBLANK(Anggota!C12)," ",Anggota!C12)</f>
        <v xml:space="preserve"> </v>
      </c>
      <c r="D13" s="4" t="str">
        <f>IFERROR(VLOOKUP(C13,Laporan!$C$8:$R$46,3,FALSE), " ")</f>
        <v xml:space="preserve"> </v>
      </c>
      <c r="E13" s="56" t="str">
        <f>IFERROR(VLOOKUP(C13,Laporan!$C$8:$R$46,4,FALSE), " ")</f>
        <v xml:space="preserve"> </v>
      </c>
      <c r="F13" s="5" t="str">
        <f t="shared" si="1"/>
        <v xml:space="preserve"> </v>
      </c>
      <c r="G13" s="5" t="str">
        <f t="shared" si="2"/>
        <v xml:space="preserve"> </v>
      </c>
      <c r="H13" s="61" t="str">
        <f>IFERROR(VLOOKUP(C13,Laporan!$C$8:$R$46,7,FALSE), " ")</f>
        <v xml:space="preserve"> </v>
      </c>
      <c r="I13" s="59" t="str">
        <f>IFERROR(VLOOKUP(C13,Laporan!$C$8:$R$46,8,FALSE), " ")</f>
        <v xml:space="preserve"> </v>
      </c>
      <c r="J13" s="60" t="str">
        <f>IFERROR(VLOOKUP(C13,Laporan!$C$8:$R$46,9,FALSE), " ")</f>
        <v xml:space="preserve"> </v>
      </c>
      <c r="K13" s="194" t="str">
        <f t="shared" si="3"/>
        <v xml:space="preserve"> </v>
      </c>
      <c r="L13" s="15" t="str">
        <f t="shared" si="4"/>
        <v xml:space="preserve"> </v>
      </c>
      <c r="M13" s="15"/>
      <c r="N13" s="194" t="str">
        <f>IFERROR(VLOOKUP(C13,Laporan!$C$8:$R$46,15,FALSE), " ")</f>
        <v xml:space="preserve"> </v>
      </c>
      <c r="O13" s="8" t="str">
        <f>IFERROR(MONTH(O5-K13)," ")</f>
        <v xml:space="preserve"> </v>
      </c>
      <c r="P13" s="5" t="str">
        <f t="shared" si="6"/>
        <v xml:space="preserve"> </v>
      </c>
      <c r="Q13" s="5"/>
      <c r="R13" s="194" t="str">
        <f>IFERROR(VLOOKUP(C13,Laporan!$C$8:$R$46,15,FALSE), " ")</f>
        <v xml:space="preserve"> </v>
      </c>
      <c r="S13" s="8" t="str">
        <f t="shared" si="7"/>
        <v xml:space="preserve"> </v>
      </c>
      <c r="T13" s="15" t="str">
        <f t="shared" si="8"/>
        <v xml:space="preserve"> </v>
      </c>
      <c r="U13" s="5"/>
    </row>
    <row r="14" spans="1:21">
      <c r="A14" s="8" t="str">
        <f t="shared" si="0"/>
        <v xml:space="preserve"> </v>
      </c>
      <c r="B14" s="149" t="str">
        <f>IFERROR(VLOOKUP(C14,Anggota!$C$5:$P$112,3,FALSE), " ")</f>
        <v xml:space="preserve"> </v>
      </c>
      <c r="C14" s="8" t="str">
        <f>IF(ISBLANK(Anggota!C13)," ",Anggota!C13)</f>
        <v xml:space="preserve"> </v>
      </c>
      <c r="D14" s="4" t="str">
        <f>IFERROR(VLOOKUP(C14,Laporan!$C$8:$R$46,3,FALSE), " ")</f>
        <v xml:space="preserve"> </v>
      </c>
      <c r="E14" s="56" t="str">
        <f>IFERROR(VLOOKUP(C14,Laporan!$C$8:$R$46,4,FALSE), " ")</f>
        <v xml:space="preserve"> </v>
      </c>
      <c r="F14" s="5" t="str">
        <f t="shared" si="1"/>
        <v xml:space="preserve"> </v>
      </c>
      <c r="G14" s="5" t="str">
        <f t="shared" si="2"/>
        <v xml:space="preserve"> </v>
      </c>
      <c r="H14" s="61" t="str">
        <f>IFERROR(VLOOKUP(C14,Laporan!$C$8:$R$46,7,FALSE), " ")</f>
        <v xml:space="preserve"> </v>
      </c>
      <c r="I14" s="59" t="str">
        <f>IFERROR(VLOOKUP(C14,Laporan!$C$8:$R$46,8,FALSE), " ")</f>
        <v xml:space="preserve"> </v>
      </c>
      <c r="J14" s="60" t="str">
        <f>IFERROR(VLOOKUP(C14,Laporan!$C$8:$R$46,9,FALSE), " ")</f>
        <v xml:space="preserve"> </v>
      </c>
      <c r="K14" s="194" t="str">
        <f t="shared" si="3"/>
        <v xml:space="preserve"> </v>
      </c>
      <c r="L14" s="15" t="str">
        <f t="shared" si="4"/>
        <v xml:space="preserve"> </v>
      </c>
      <c r="M14" s="15"/>
      <c r="N14" s="194" t="str">
        <f>IFERROR(VLOOKUP(C14,Laporan!$C$8:$R$46,15,FALSE), " ")</f>
        <v xml:space="preserve"> </v>
      </c>
      <c r="O14" s="8">
        <v>0</v>
      </c>
      <c r="P14" s="5" t="str">
        <f t="shared" si="6"/>
        <v xml:space="preserve"> </v>
      </c>
      <c r="Q14" s="5"/>
      <c r="R14" s="259" t="str">
        <f>IFERROR(VLOOKUP(C14,Laporan!$C$8:$R$46,15,FALSE), " ")</f>
        <v xml:space="preserve"> </v>
      </c>
      <c r="S14" s="8" t="str">
        <f t="shared" si="7"/>
        <v xml:space="preserve"> </v>
      </c>
      <c r="T14" s="15" t="str">
        <f t="shared" si="8"/>
        <v xml:space="preserve"> </v>
      </c>
      <c r="U14" s="5"/>
    </row>
    <row r="15" spans="1:21">
      <c r="A15" s="8" t="str">
        <f t="shared" si="0"/>
        <v xml:space="preserve"> </v>
      </c>
      <c r="B15" s="149" t="str">
        <f>IFERROR(VLOOKUP(C15,Anggota!$C$5:$P$112,3,FALSE), " ")</f>
        <v xml:space="preserve"> </v>
      </c>
      <c r="C15" s="8" t="str">
        <f>IF(ISBLANK(Anggota!C14)," ",Anggota!C14)</f>
        <v xml:space="preserve"> </v>
      </c>
      <c r="D15" s="4" t="str">
        <f>IFERROR(VLOOKUP(C15,Laporan!$C$8:$R$46,3,FALSE), " ")</f>
        <v xml:space="preserve"> </v>
      </c>
      <c r="E15" s="56" t="str">
        <f>IFERROR(VLOOKUP(C15,Laporan!$C$8:$R$46,4,FALSE), " ")</f>
        <v xml:space="preserve"> </v>
      </c>
      <c r="F15" s="5" t="str">
        <f t="shared" si="1"/>
        <v xml:space="preserve"> </v>
      </c>
      <c r="G15" s="5" t="str">
        <f t="shared" si="2"/>
        <v xml:space="preserve"> </v>
      </c>
      <c r="H15" s="61" t="str">
        <f>IFERROR(VLOOKUP(C15,Laporan!$C$8:$R$46,7,FALSE), " ")</f>
        <v xml:space="preserve"> </v>
      </c>
      <c r="I15" s="59" t="str">
        <f>IFERROR(VLOOKUP(C15,Laporan!$C$8:$R$46,8,FALSE), " ")</f>
        <v xml:space="preserve"> </v>
      </c>
      <c r="J15" s="60" t="str">
        <f>IFERROR(VLOOKUP(C15,Laporan!$C$8:$R$46,9,FALSE), " ")</f>
        <v xml:space="preserve"> </v>
      </c>
      <c r="K15" s="194" t="str">
        <f t="shared" si="3"/>
        <v xml:space="preserve"> </v>
      </c>
      <c r="L15" s="15" t="str">
        <f t="shared" si="4"/>
        <v xml:space="preserve"> </v>
      </c>
      <c r="M15" s="15"/>
      <c r="N15" s="194" t="str">
        <f>IFERROR(VLOOKUP(C15,Laporan!$C$8:$R$46,15,FALSE), " ")</f>
        <v xml:space="preserve"> </v>
      </c>
      <c r="O15" s="8" t="e">
        <f>H15-K15</f>
        <v>#VALUE!</v>
      </c>
      <c r="P15" s="5" t="str">
        <f t="shared" si="6"/>
        <v xml:space="preserve"> </v>
      </c>
      <c r="Q15" s="5"/>
      <c r="R15" s="194" t="str">
        <f>IFERROR(VLOOKUP(C15,Laporan!$C$8:$R$46,15,FALSE), " ")</f>
        <v xml:space="preserve"> </v>
      </c>
      <c r="S15" s="8" t="str">
        <f t="shared" si="7"/>
        <v xml:space="preserve"> </v>
      </c>
      <c r="T15" s="15" t="str">
        <f t="shared" si="8"/>
        <v xml:space="preserve"> </v>
      </c>
      <c r="U15" s="5"/>
    </row>
    <row r="16" spans="1:21">
      <c r="A16" s="8" t="str">
        <f t="shared" si="0"/>
        <v xml:space="preserve"> </v>
      </c>
      <c r="B16" s="149" t="str">
        <f>IFERROR(VLOOKUP(C16,Anggota!$C$5:$P$112,3,FALSE), " ")</f>
        <v xml:space="preserve"> </v>
      </c>
      <c r="C16" s="8" t="str">
        <f>IF(ISBLANK(Anggota!C15)," ",Anggota!C15)</f>
        <v xml:space="preserve"> </v>
      </c>
      <c r="D16" s="4" t="str">
        <f>IFERROR(VLOOKUP(C16,Laporan!$C$8:$R$46,3,FALSE), " ")</f>
        <v xml:space="preserve"> </v>
      </c>
      <c r="E16" s="56" t="str">
        <f>IFERROR(VLOOKUP(C16,Laporan!$C$8:$R$46,4,FALSE), " ")</f>
        <v xml:space="preserve"> </v>
      </c>
      <c r="F16" s="5" t="str">
        <f t="shared" si="1"/>
        <v xml:space="preserve"> </v>
      </c>
      <c r="G16" s="5" t="str">
        <f t="shared" si="2"/>
        <v xml:space="preserve"> </v>
      </c>
      <c r="H16" s="61" t="str">
        <f>IFERROR(VLOOKUP(C16,Laporan!$C$8:$R$46,7,FALSE), " ")</f>
        <v xml:space="preserve"> </v>
      </c>
      <c r="I16" s="59" t="str">
        <f>IFERROR(VLOOKUP(C16,Laporan!$C$8:$R$46,8,FALSE), " ")</f>
        <v xml:space="preserve"> </v>
      </c>
      <c r="J16" s="60" t="str">
        <f>IFERROR(VLOOKUP(C16,Laporan!$C$8:$R$46,9,FALSE), " ")</f>
        <v xml:space="preserve"> </v>
      </c>
      <c r="K16" s="194" t="str">
        <f t="shared" si="3"/>
        <v xml:space="preserve"> </v>
      </c>
      <c r="L16" s="15" t="str">
        <f t="shared" si="4"/>
        <v xml:space="preserve"> </v>
      </c>
      <c r="M16" s="15"/>
      <c r="N16" s="194" t="str">
        <f>IFERROR(VLOOKUP(C16,Laporan!$C$8:$R$46,15,FALSE), " ")</f>
        <v xml:space="preserve"> </v>
      </c>
      <c r="O16" s="8" t="e">
        <f>H16-K16</f>
        <v>#VALUE!</v>
      </c>
      <c r="P16" s="5" t="str">
        <f t="shared" si="6"/>
        <v xml:space="preserve"> </v>
      </c>
      <c r="Q16" s="5"/>
      <c r="R16" s="194" t="str">
        <f>IFERROR(VLOOKUP(C16,Laporan!$C$8:$R$46,15,FALSE), " ")</f>
        <v xml:space="preserve"> </v>
      </c>
      <c r="S16" s="8" t="str">
        <f t="shared" si="7"/>
        <v xml:space="preserve"> </v>
      </c>
      <c r="T16" s="15" t="str">
        <f t="shared" si="8"/>
        <v xml:space="preserve"> </v>
      </c>
      <c r="U16" s="5"/>
    </row>
    <row r="17" spans="1:21">
      <c r="A17" s="8" t="str">
        <f t="shared" si="0"/>
        <v xml:space="preserve"> </v>
      </c>
      <c r="B17" s="149" t="str">
        <f>IFERROR(VLOOKUP(C17,Anggota!$C$5:$P$112,3,FALSE), " ")</f>
        <v xml:space="preserve"> </v>
      </c>
      <c r="C17" s="8" t="str">
        <f>IF(ISBLANK(Anggota!C16)," ",Anggota!C16)</f>
        <v xml:space="preserve"> </v>
      </c>
      <c r="D17" s="4" t="str">
        <f>IFERROR(VLOOKUP(C17,Laporan!$C$8:$R$46,3,FALSE), " ")</f>
        <v xml:space="preserve"> </v>
      </c>
      <c r="E17" s="56" t="str">
        <f>IFERROR(VLOOKUP(C17,Laporan!$C$8:$R$46,4,FALSE), " ")</f>
        <v xml:space="preserve"> </v>
      </c>
      <c r="F17" s="5" t="str">
        <f t="shared" si="1"/>
        <v xml:space="preserve"> </v>
      </c>
      <c r="G17" s="5" t="str">
        <f t="shared" si="2"/>
        <v xml:space="preserve"> </v>
      </c>
      <c r="H17" s="61" t="str">
        <f>IFERROR(VLOOKUP(C17,Laporan!$C$8:$R$46,7,FALSE), " ")</f>
        <v xml:space="preserve"> </v>
      </c>
      <c r="I17" s="59" t="str">
        <f>IFERROR(VLOOKUP(C17,Laporan!$C$8:$R$46,8,FALSE), " ")</f>
        <v xml:space="preserve"> </v>
      </c>
      <c r="J17" s="60" t="str">
        <f>IFERROR(VLOOKUP(C17,Laporan!$C$8:$R$46,9,FALSE), " ")</f>
        <v xml:space="preserve"> </v>
      </c>
      <c r="K17" s="194" t="str">
        <f t="shared" si="3"/>
        <v xml:space="preserve"> </v>
      </c>
      <c r="L17" s="15" t="str">
        <f t="shared" si="4"/>
        <v xml:space="preserve"> </v>
      </c>
      <c r="M17" s="15"/>
      <c r="N17" s="194" t="str">
        <f>IFERROR(VLOOKUP(C17,Laporan!$C$8:$R$46,15,FALSE), " ")</f>
        <v xml:space="preserve"> </v>
      </c>
      <c r="O17" s="8">
        <v>0</v>
      </c>
      <c r="P17" s="5" t="str">
        <f t="shared" si="6"/>
        <v xml:space="preserve"> </v>
      </c>
      <c r="Q17" s="5"/>
      <c r="R17" s="259" t="str">
        <f>IFERROR(VLOOKUP(C17,Laporan!$C$8:$R$46,15,FALSE), " ")</f>
        <v xml:space="preserve"> </v>
      </c>
      <c r="S17" s="8" t="str">
        <f t="shared" si="7"/>
        <v xml:space="preserve"> </v>
      </c>
      <c r="T17" s="15" t="str">
        <f t="shared" si="8"/>
        <v xml:space="preserve"> </v>
      </c>
      <c r="U17" s="5"/>
    </row>
    <row r="18" spans="1:21">
      <c r="A18" s="8" t="str">
        <f t="shared" si="0"/>
        <v xml:space="preserve"> </v>
      </c>
      <c r="B18" s="149" t="str">
        <f>IFERROR(VLOOKUP(C18,Anggota!$C$5:$P$112,3,FALSE), " ")</f>
        <v xml:space="preserve"> </v>
      </c>
      <c r="C18" s="8" t="str">
        <f>IF(ISBLANK(Anggota!C17)," ",Anggota!C17)</f>
        <v xml:space="preserve"> </v>
      </c>
      <c r="D18" s="4" t="str">
        <f>IFERROR(VLOOKUP(C18,Laporan!$C$8:$R$46,3,FALSE), " ")</f>
        <v xml:space="preserve"> </v>
      </c>
      <c r="E18" s="56" t="str">
        <f>IFERROR(VLOOKUP(C18,Laporan!$C$8:$R$46,4,FALSE), " ")</f>
        <v xml:space="preserve"> </v>
      </c>
      <c r="F18" s="5" t="str">
        <f t="shared" si="1"/>
        <v xml:space="preserve"> </v>
      </c>
      <c r="G18" s="5" t="str">
        <f t="shared" si="2"/>
        <v xml:space="preserve"> </v>
      </c>
      <c r="H18" s="61" t="str">
        <f>IFERROR(VLOOKUP(C18,Laporan!$C$8:$R$46,7,FALSE), " ")</f>
        <v xml:space="preserve"> </v>
      </c>
      <c r="I18" s="59" t="str">
        <f>IFERROR(VLOOKUP(C18,Laporan!$C$8:$R$46,8,FALSE), " ")</f>
        <v xml:space="preserve"> </v>
      </c>
      <c r="J18" s="60" t="str">
        <f>IFERROR(VLOOKUP(C18,Laporan!$C$8:$R$46,9,FALSE), " ")</f>
        <v xml:space="preserve"> </v>
      </c>
      <c r="K18" s="194" t="str">
        <f t="shared" si="3"/>
        <v xml:space="preserve"> </v>
      </c>
      <c r="L18" s="15" t="str">
        <f t="shared" si="4"/>
        <v xml:space="preserve"> </v>
      </c>
      <c r="M18" s="15"/>
      <c r="N18" s="194" t="str">
        <f>IFERROR(VLOOKUP(C18,Laporan!$C$8:$R$46,15,FALSE), " ")</f>
        <v xml:space="preserve"> </v>
      </c>
      <c r="O18" s="8" t="e">
        <f>H18-K18</f>
        <v>#VALUE!</v>
      </c>
      <c r="P18" s="5" t="str">
        <f t="shared" si="6"/>
        <v xml:space="preserve"> </v>
      </c>
      <c r="Q18" s="5"/>
      <c r="R18" s="194" t="str">
        <f>IFERROR(VLOOKUP(C18,Laporan!$C$8:$R$46,15,FALSE), " ")</f>
        <v xml:space="preserve"> </v>
      </c>
      <c r="S18" s="8" t="str">
        <f t="shared" si="7"/>
        <v xml:space="preserve"> </v>
      </c>
      <c r="T18" s="15" t="str">
        <f t="shared" si="8"/>
        <v xml:space="preserve"> </v>
      </c>
      <c r="U18" s="5"/>
    </row>
    <row r="19" spans="1:21">
      <c r="A19" s="8" t="str">
        <f t="shared" si="0"/>
        <v xml:space="preserve"> </v>
      </c>
      <c r="B19" s="149" t="str">
        <f>IFERROR(VLOOKUP(C19,Anggota!$C$5:$P$112,3,FALSE), " ")</f>
        <v xml:space="preserve"> </v>
      </c>
      <c r="C19" s="8" t="str">
        <f>IF(ISBLANK(Anggota!C18)," ",Anggota!C18)</f>
        <v xml:space="preserve"> </v>
      </c>
      <c r="D19" s="4" t="str">
        <f>IFERROR(VLOOKUP(C19,Laporan!$C$8:$R$46,3,FALSE), " ")</f>
        <v xml:space="preserve"> </v>
      </c>
      <c r="E19" s="56" t="str">
        <f>IFERROR(VLOOKUP(C19,Laporan!$C$8:$R$46,4,FALSE), " ")</f>
        <v xml:space="preserve"> </v>
      </c>
      <c r="F19" s="5" t="str">
        <f t="shared" si="1"/>
        <v xml:space="preserve"> </v>
      </c>
      <c r="G19" s="5" t="str">
        <f t="shared" si="2"/>
        <v xml:space="preserve"> </v>
      </c>
      <c r="H19" s="61" t="str">
        <f>IFERROR(VLOOKUP(C19,Laporan!$C$8:$R$46,7,FALSE), " ")</f>
        <v xml:space="preserve"> </v>
      </c>
      <c r="I19" s="59" t="str">
        <f>IFERROR(VLOOKUP(C19,Laporan!$C$8:$R$46,8,FALSE), " ")</f>
        <v xml:space="preserve"> </v>
      </c>
      <c r="J19" s="60" t="str">
        <f>IFERROR(VLOOKUP(C19,Laporan!$C$8:$R$46,9,FALSE), " ")</f>
        <v xml:space="preserve"> </v>
      </c>
      <c r="K19" s="194" t="str">
        <f t="shared" si="3"/>
        <v xml:space="preserve"> </v>
      </c>
      <c r="L19" s="15" t="str">
        <f t="shared" si="4"/>
        <v xml:space="preserve"> </v>
      </c>
      <c r="M19" s="15"/>
      <c r="N19" s="194" t="str">
        <f>IFERROR(VLOOKUP(C19,Laporan!$C$8:$R$46,15,FALSE), " ")</f>
        <v xml:space="preserve"> </v>
      </c>
      <c r="O19" s="8" t="e">
        <f>H19-K19</f>
        <v>#VALUE!</v>
      </c>
      <c r="P19" s="5" t="str">
        <f t="shared" si="6"/>
        <v xml:space="preserve"> </v>
      </c>
      <c r="Q19" s="5"/>
      <c r="R19" s="194" t="str">
        <f>IFERROR(VLOOKUP(C19,Laporan!$C$8:$R$46,15,FALSE), " ")</f>
        <v xml:space="preserve"> </v>
      </c>
      <c r="S19" s="8" t="str">
        <f t="shared" si="7"/>
        <v xml:space="preserve"> </v>
      </c>
      <c r="T19" s="15" t="str">
        <f t="shared" si="8"/>
        <v xml:space="preserve"> </v>
      </c>
      <c r="U19" s="5"/>
    </row>
    <row r="20" spans="1:21">
      <c r="A20" s="8" t="str">
        <f t="shared" si="0"/>
        <v xml:space="preserve"> </v>
      </c>
      <c r="B20" s="149" t="str">
        <f>IFERROR(VLOOKUP(C20,Anggota!$C$5:$P$112,3,FALSE), " ")</f>
        <v xml:space="preserve"> </v>
      </c>
      <c r="C20" s="8" t="str">
        <f>IF(ISBLANK(Anggota!C19)," ",Anggota!C19)</f>
        <v xml:space="preserve"> </v>
      </c>
      <c r="D20" s="4" t="str">
        <f>IFERROR(VLOOKUP(C20,Laporan!$C$8:$R$46,3,FALSE), " ")</f>
        <v xml:space="preserve"> </v>
      </c>
      <c r="E20" s="56" t="str">
        <f>IFERROR(VLOOKUP(C20,Laporan!$C$8:$R$46,4,FALSE), " ")</f>
        <v xml:space="preserve"> </v>
      </c>
      <c r="F20" s="5" t="str">
        <f t="shared" si="1"/>
        <v xml:space="preserve"> </v>
      </c>
      <c r="G20" s="5" t="str">
        <f t="shared" si="2"/>
        <v xml:space="preserve"> </v>
      </c>
      <c r="H20" s="61" t="str">
        <f>IFERROR(VLOOKUP(C20,Laporan!$C$8:$R$46,7,FALSE), " ")</f>
        <v xml:space="preserve"> </v>
      </c>
      <c r="I20" s="59" t="str">
        <f>IFERROR(VLOOKUP(C20,Laporan!$C$8:$R$46,8,FALSE), " ")</f>
        <v xml:space="preserve"> </v>
      </c>
      <c r="J20" s="60" t="str">
        <f>IFERROR(VLOOKUP(C20,Laporan!$C$8:$R$46,9,FALSE), " ")</f>
        <v xml:space="preserve"> </v>
      </c>
      <c r="K20" s="194" t="str">
        <f t="shared" si="3"/>
        <v xml:space="preserve"> </v>
      </c>
      <c r="L20" s="15" t="str">
        <f t="shared" si="4"/>
        <v xml:space="preserve"> </v>
      </c>
      <c r="M20" s="15"/>
      <c r="N20" s="194" t="str">
        <f>IFERROR(VLOOKUP(C20,Laporan!$C$8:$R$46,15,FALSE), " ")</f>
        <v xml:space="preserve"> </v>
      </c>
      <c r="O20" s="8" t="e">
        <f>H20-K20</f>
        <v>#VALUE!</v>
      </c>
      <c r="P20" s="5" t="str">
        <f t="shared" si="6"/>
        <v xml:space="preserve"> </v>
      </c>
      <c r="Q20" s="5"/>
      <c r="R20" s="194" t="str">
        <f>IFERROR(VLOOKUP(C20,Laporan!$C$8:$R$46,15,FALSE), " ")</f>
        <v xml:space="preserve"> </v>
      </c>
      <c r="S20" s="8" t="str">
        <f t="shared" si="7"/>
        <v xml:space="preserve"> </v>
      </c>
      <c r="T20" s="15" t="str">
        <f t="shared" si="8"/>
        <v xml:space="preserve"> </v>
      </c>
      <c r="U20" s="5"/>
    </row>
    <row r="21" spans="1:21">
      <c r="A21" s="8" t="str">
        <f t="shared" si="0"/>
        <v xml:space="preserve"> </v>
      </c>
      <c r="B21" s="149" t="str">
        <f>IFERROR(VLOOKUP(C21,Anggota!$C$5:$P$112,3,FALSE), " ")</f>
        <v xml:space="preserve"> </v>
      </c>
      <c r="C21" s="8" t="str">
        <f>IF(ISBLANK(Anggota!C20)," ",Anggota!C20)</f>
        <v xml:space="preserve"> </v>
      </c>
      <c r="D21" s="4" t="str">
        <f>IFERROR(VLOOKUP(C21,Laporan!$C$8:$R$46,3,FALSE), " ")</f>
        <v xml:space="preserve"> </v>
      </c>
      <c r="E21" s="56" t="str">
        <f>IFERROR(VLOOKUP(C21,Laporan!$C$8:$R$46,4,FALSE), " ")</f>
        <v xml:space="preserve"> </v>
      </c>
      <c r="F21" s="5" t="str">
        <f t="shared" si="1"/>
        <v xml:space="preserve"> </v>
      </c>
      <c r="G21" s="5" t="str">
        <f t="shared" si="2"/>
        <v xml:space="preserve"> </v>
      </c>
      <c r="H21" s="61" t="str">
        <f>IFERROR(VLOOKUP(C21,Laporan!$C$8:$R$46,7,FALSE), " ")</f>
        <v xml:space="preserve"> </v>
      </c>
      <c r="I21" s="59" t="str">
        <f>IFERROR(VLOOKUP(C21,Laporan!$C$8:$R$46,8,FALSE), " ")</f>
        <v xml:space="preserve"> </v>
      </c>
      <c r="J21" s="60" t="str">
        <f>IFERROR(VLOOKUP(C21,Laporan!$C$8:$R$46,9,FALSE), " ")</f>
        <v xml:space="preserve"> </v>
      </c>
      <c r="K21" s="194" t="str">
        <f t="shared" si="3"/>
        <v xml:space="preserve"> </v>
      </c>
      <c r="L21" s="15" t="str">
        <f t="shared" si="4"/>
        <v xml:space="preserve"> </v>
      </c>
      <c r="M21" s="15"/>
      <c r="N21" s="194" t="str">
        <f>IFERROR(VLOOKUP(C21,Laporan!$C$8:$R$46,15,FALSE), " ")</f>
        <v xml:space="preserve"> </v>
      </c>
      <c r="O21" s="8" t="e">
        <f>H21-K21</f>
        <v>#VALUE!</v>
      </c>
      <c r="P21" s="5" t="str">
        <f t="shared" si="6"/>
        <v xml:space="preserve"> </v>
      </c>
      <c r="Q21" s="5"/>
      <c r="R21" s="194" t="str">
        <f>IFERROR(VLOOKUP(C21,Laporan!$C$8:$R$46,15,FALSE), " ")</f>
        <v xml:space="preserve"> </v>
      </c>
      <c r="S21" s="8" t="str">
        <f t="shared" si="7"/>
        <v xml:space="preserve"> </v>
      </c>
      <c r="T21" s="15" t="str">
        <f t="shared" si="8"/>
        <v xml:space="preserve"> </v>
      </c>
      <c r="U21" s="5"/>
    </row>
    <row r="22" spans="1:21">
      <c r="A22" s="8" t="str">
        <f t="shared" si="0"/>
        <v xml:space="preserve"> </v>
      </c>
      <c r="B22" s="149" t="str">
        <f>IFERROR(VLOOKUP(C22,Anggota!$C$5:$P$112,3,FALSE), " ")</f>
        <v xml:space="preserve"> </v>
      </c>
      <c r="C22" s="8" t="str">
        <f>IF(ISBLANK(Anggota!C21)," ",Anggota!C21)</f>
        <v xml:space="preserve"> </v>
      </c>
      <c r="D22" s="4" t="str">
        <f>IFERROR(VLOOKUP(C22,Laporan!$C$8:$R$46,3,FALSE), " ")</f>
        <v xml:space="preserve"> </v>
      </c>
      <c r="E22" s="56" t="str">
        <f>IFERROR(VLOOKUP(C22,Laporan!$C$8:$R$46,4,FALSE), " ")</f>
        <v xml:space="preserve"> </v>
      </c>
      <c r="F22" s="5" t="str">
        <f t="shared" si="1"/>
        <v xml:space="preserve"> </v>
      </c>
      <c r="G22" s="5" t="str">
        <f t="shared" si="2"/>
        <v xml:space="preserve"> </v>
      </c>
      <c r="H22" s="61" t="str">
        <f>IFERROR(VLOOKUP(C22,Laporan!$C$8:$R$46,7,FALSE), " ")</f>
        <v xml:space="preserve"> </v>
      </c>
      <c r="I22" s="59" t="str">
        <f>IFERROR(VLOOKUP(C22,Laporan!$C$8:$R$46,8,FALSE), " ")</f>
        <v xml:space="preserve"> </v>
      </c>
      <c r="J22" s="60" t="str">
        <f>IFERROR(VLOOKUP(C22,Laporan!$C$8:$R$46,9,FALSE), " ")</f>
        <v xml:space="preserve"> </v>
      </c>
      <c r="K22" s="194" t="str">
        <f t="shared" si="3"/>
        <v xml:space="preserve"> </v>
      </c>
      <c r="L22" s="15" t="str">
        <f t="shared" si="4"/>
        <v xml:space="preserve"> </v>
      </c>
      <c r="M22" s="15"/>
      <c r="N22" s="194" t="str">
        <f>IFERROR(VLOOKUP(C22,Laporan!$C$8:$R$46,15,FALSE), " ")</f>
        <v xml:space="preserve"> </v>
      </c>
      <c r="O22" s="8" t="e">
        <f>H22-K22</f>
        <v>#VALUE!</v>
      </c>
      <c r="P22" s="5" t="str">
        <f t="shared" si="6"/>
        <v xml:space="preserve"> </v>
      </c>
      <c r="Q22" s="5"/>
      <c r="R22" s="194" t="str">
        <f>IFERROR(VLOOKUP(C22,Laporan!$C$8:$R$46,15,FALSE), " ")</f>
        <v xml:space="preserve"> </v>
      </c>
      <c r="S22" s="8" t="str">
        <f t="shared" si="7"/>
        <v xml:space="preserve"> </v>
      </c>
      <c r="T22" s="15" t="str">
        <f t="shared" si="8"/>
        <v xml:space="preserve"> </v>
      </c>
      <c r="U22" s="5"/>
    </row>
    <row r="23" spans="1:21">
      <c r="A23" s="8" t="str">
        <f t="shared" si="0"/>
        <v xml:space="preserve"> </v>
      </c>
      <c r="B23" s="149" t="str">
        <f>IFERROR(VLOOKUP(C23,Anggota!$C$5:$P$112,3,FALSE), " ")</f>
        <v xml:space="preserve"> </v>
      </c>
      <c r="C23" s="8" t="str">
        <f>IF(ISBLANK(Anggota!C22)," ",Anggota!C22)</f>
        <v xml:space="preserve"> </v>
      </c>
      <c r="D23" s="4" t="str">
        <f>IFERROR(VLOOKUP(C23,Laporan!$C$8:$R$46,3,FALSE), " ")</f>
        <v xml:space="preserve"> </v>
      </c>
      <c r="E23" s="56" t="str">
        <f>IFERROR(VLOOKUP(C23,Laporan!$C$8:$R$46,4,FALSE), " ")</f>
        <v xml:space="preserve"> </v>
      </c>
      <c r="F23" s="5" t="str">
        <f t="shared" si="1"/>
        <v xml:space="preserve"> </v>
      </c>
      <c r="G23" s="5" t="str">
        <f t="shared" si="2"/>
        <v xml:space="preserve"> </v>
      </c>
      <c r="H23" s="61" t="str">
        <f>IFERROR(VLOOKUP(C23,Laporan!$C$8:$R$46,7,FALSE), " ")</f>
        <v xml:space="preserve"> </v>
      </c>
      <c r="I23" s="59" t="str">
        <f>IFERROR(VLOOKUP(C23,Laporan!$C$8:$R$46,8,FALSE), " ")</f>
        <v xml:space="preserve"> </v>
      </c>
      <c r="J23" s="60" t="str">
        <f>IFERROR(VLOOKUP(C23,Laporan!$C$8:$R$46,9,FALSE), " ")</f>
        <v xml:space="preserve"> </v>
      </c>
      <c r="K23" s="194" t="str">
        <f t="shared" si="3"/>
        <v xml:space="preserve"> </v>
      </c>
      <c r="L23" s="15" t="str">
        <f t="shared" si="4"/>
        <v xml:space="preserve"> </v>
      </c>
      <c r="M23" s="15"/>
      <c r="N23" s="194" t="str">
        <f>IFERROR(VLOOKUP(C23,Laporan!$C$8:$R$46,15,FALSE), " ")</f>
        <v xml:space="preserve"> </v>
      </c>
      <c r="O23" s="8">
        <v>0</v>
      </c>
      <c r="P23" s="5" t="str">
        <f t="shared" si="6"/>
        <v xml:space="preserve"> </v>
      </c>
      <c r="Q23" s="5"/>
      <c r="R23" s="194" t="str">
        <f>IFERROR(VLOOKUP(C23,Laporan!$C$8:$R$46,15,FALSE), " ")</f>
        <v xml:space="preserve"> </v>
      </c>
      <c r="S23" s="8" t="str">
        <f t="shared" si="7"/>
        <v xml:space="preserve"> </v>
      </c>
      <c r="T23" s="15" t="str">
        <f t="shared" si="8"/>
        <v xml:space="preserve"> </v>
      </c>
      <c r="U23" s="5"/>
    </row>
    <row r="24" spans="1:21">
      <c r="A24" s="8" t="str">
        <f t="shared" si="0"/>
        <v xml:space="preserve"> </v>
      </c>
      <c r="B24" s="149" t="str">
        <f>IFERROR(VLOOKUP(C24,Anggota!$C$5:$P$112,3,FALSE), " ")</f>
        <v xml:space="preserve"> </v>
      </c>
      <c r="C24" s="8" t="str">
        <f>IF(ISBLANK(Anggota!C23)," ",Anggota!C23)</f>
        <v xml:space="preserve"> </v>
      </c>
      <c r="D24" s="4" t="str">
        <f>IFERROR(VLOOKUP(C24,Laporan!$C$8:$R$46,3,FALSE), " ")</f>
        <v xml:space="preserve"> </v>
      </c>
      <c r="E24" s="56" t="str">
        <f>IFERROR(VLOOKUP(C24,Laporan!$C$8:$R$46,4,FALSE), " ")</f>
        <v xml:space="preserve"> </v>
      </c>
      <c r="F24" s="5" t="str">
        <f t="shared" si="1"/>
        <v xml:space="preserve"> </v>
      </c>
      <c r="G24" s="5" t="str">
        <f t="shared" si="2"/>
        <v xml:space="preserve"> </v>
      </c>
      <c r="H24" s="61" t="str">
        <f>IFERROR(VLOOKUP(C24,Laporan!$C$8:$R$46,7,FALSE), " ")</f>
        <v xml:space="preserve"> </v>
      </c>
      <c r="I24" s="59" t="str">
        <f>IFERROR(VLOOKUP(C24,Laporan!$C$8:$R$46,8,FALSE), " ")</f>
        <v xml:space="preserve"> </v>
      </c>
      <c r="J24" s="60" t="str">
        <f>IFERROR(VLOOKUP(C24,Laporan!$C$8:$R$46,9,FALSE), " ")</f>
        <v xml:space="preserve"> </v>
      </c>
      <c r="K24" s="194" t="str">
        <f t="shared" si="3"/>
        <v xml:space="preserve"> </v>
      </c>
      <c r="L24" s="15" t="str">
        <f t="shared" si="4"/>
        <v xml:space="preserve"> </v>
      </c>
      <c r="M24" s="15"/>
      <c r="N24" s="194" t="str">
        <f>IFERROR(VLOOKUP(C24,Laporan!$C$8:$R$46,15,FALSE), " ")</f>
        <v xml:space="preserve"> </v>
      </c>
      <c r="O24" s="8" t="str">
        <f>IFERROR(MONTH(O5-K24)," ")</f>
        <v xml:space="preserve"> </v>
      </c>
      <c r="P24" s="5" t="str">
        <f t="shared" si="6"/>
        <v xml:space="preserve"> </v>
      </c>
      <c r="Q24" s="5"/>
      <c r="R24" s="194" t="str">
        <f>IFERROR(VLOOKUP(C24,Laporan!$C$8:$R$46,15,FALSE), " ")</f>
        <v xml:space="preserve"> </v>
      </c>
      <c r="S24" s="8" t="str">
        <f t="shared" si="7"/>
        <v xml:space="preserve"> </v>
      </c>
      <c r="T24" s="15" t="str">
        <f t="shared" si="8"/>
        <v xml:space="preserve"> </v>
      </c>
      <c r="U24" s="5"/>
    </row>
    <row r="25" spans="1:21">
      <c r="A25" s="8" t="str">
        <f t="shared" si="0"/>
        <v xml:space="preserve"> </v>
      </c>
      <c r="B25" s="149" t="str">
        <f>IFERROR(VLOOKUP(C25,Anggota!$C$5:$P$112,3,FALSE), " ")</f>
        <v xml:space="preserve"> </v>
      </c>
      <c r="C25" s="8" t="str">
        <f>IF(ISBLANK(Anggota!C24)," ",Anggota!C24)</f>
        <v xml:space="preserve"> </v>
      </c>
      <c r="D25" s="4" t="str">
        <f>IFERROR(VLOOKUP(C25,Laporan!$C$8:$R$46,3,FALSE), " ")</f>
        <v xml:space="preserve"> </v>
      </c>
      <c r="E25" s="56" t="str">
        <f>IFERROR(VLOOKUP(C25,Laporan!$C$8:$R$46,4,FALSE), " ")</f>
        <v xml:space="preserve"> </v>
      </c>
      <c r="F25" s="5" t="str">
        <f t="shared" si="1"/>
        <v xml:space="preserve"> </v>
      </c>
      <c r="G25" s="5" t="str">
        <f t="shared" si="2"/>
        <v xml:space="preserve"> </v>
      </c>
      <c r="H25" s="61" t="str">
        <f>IFERROR(VLOOKUP(C25,Laporan!$C$8:$R$46,7,FALSE), " ")</f>
        <v xml:space="preserve"> </v>
      </c>
      <c r="I25" s="59" t="str">
        <f>IFERROR(VLOOKUP(C25,Laporan!$C$8:$R$46,8,FALSE), " ")</f>
        <v xml:space="preserve"> </v>
      </c>
      <c r="J25" s="60" t="str">
        <f>IFERROR(VLOOKUP(C25,Laporan!$C$8:$R$46,9,FALSE), " ")</f>
        <v xml:space="preserve"> </v>
      </c>
      <c r="K25" s="194" t="str">
        <f t="shared" si="3"/>
        <v xml:space="preserve"> </v>
      </c>
      <c r="L25" s="15" t="str">
        <f t="shared" si="4"/>
        <v xml:space="preserve"> </v>
      </c>
      <c r="M25" s="15"/>
      <c r="N25" s="194" t="str">
        <f>IFERROR(VLOOKUP(C25,Laporan!$C$8:$R$46,15,FALSE), " ")</f>
        <v xml:space="preserve"> </v>
      </c>
      <c r="O25" s="8" t="str">
        <f>IFERROR(MONTH(O5-K25)," ")</f>
        <v xml:space="preserve"> </v>
      </c>
      <c r="P25" s="5" t="str">
        <f t="shared" si="6"/>
        <v xml:space="preserve"> </v>
      </c>
      <c r="Q25" s="5"/>
      <c r="R25" s="194" t="str">
        <f>IFERROR(VLOOKUP(C25,Laporan!$C$8:$R$46,15,FALSE), " ")</f>
        <v xml:space="preserve"> </v>
      </c>
      <c r="S25" s="8" t="str">
        <f t="shared" si="7"/>
        <v xml:space="preserve"> </v>
      </c>
      <c r="T25" s="15" t="str">
        <f t="shared" si="8"/>
        <v xml:space="preserve"> </v>
      </c>
      <c r="U25" s="5"/>
    </row>
    <row r="26" spans="1:21">
      <c r="A26" s="8" t="str">
        <f t="shared" si="0"/>
        <v xml:space="preserve"> </v>
      </c>
      <c r="B26" s="149" t="str">
        <f>IFERROR(VLOOKUP(C26,Anggota!$C$5:$P$112,3,FALSE), " ")</f>
        <v xml:space="preserve"> </v>
      </c>
      <c r="C26" s="8" t="str">
        <f>IF(ISBLANK(Anggota!C25)," ",Anggota!C25)</f>
        <v xml:space="preserve"> </v>
      </c>
      <c r="D26" s="4" t="str">
        <f>IFERROR(VLOOKUP(C26,Laporan!$C$8:$R$46,3,FALSE), " ")</f>
        <v xml:space="preserve"> </v>
      </c>
      <c r="E26" s="56" t="str">
        <f>IFERROR(VLOOKUP(C26,Laporan!$C$8:$R$46,4,FALSE), " ")</f>
        <v xml:space="preserve"> </v>
      </c>
      <c r="F26" s="5" t="str">
        <f t="shared" si="1"/>
        <v xml:space="preserve"> </v>
      </c>
      <c r="G26" s="5" t="str">
        <f t="shared" si="2"/>
        <v xml:space="preserve"> </v>
      </c>
      <c r="H26" s="61" t="str">
        <f>IFERROR(VLOOKUP(C26,Laporan!$C$8:$R$46,7,FALSE), " ")</f>
        <v xml:space="preserve"> </v>
      </c>
      <c r="I26" s="59" t="str">
        <f>IFERROR(VLOOKUP(C26,Laporan!$C$8:$R$46,8,FALSE), " ")</f>
        <v xml:space="preserve"> </v>
      </c>
      <c r="J26" s="60" t="str">
        <f>IFERROR(VLOOKUP(C26,Laporan!$C$8:$R$46,9,FALSE), " ")</f>
        <v xml:space="preserve"> </v>
      </c>
      <c r="K26" s="194" t="str">
        <f t="shared" si="3"/>
        <v xml:space="preserve"> </v>
      </c>
      <c r="L26" s="15" t="str">
        <f t="shared" si="4"/>
        <v xml:space="preserve"> </v>
      </c>
      <c r="M26" s="15"/>
      <c r="N26" s="194" t="str">
        <f>IFERROR(VLOOKUP(C26,Laporan!$C$8:$R$46,15,FALSE), " ")</f>
        <v xml:space="preserve"> </v>
      </c>
      <c r="O26" s="8" t="str">
        <f>IFERROR(MONTH(O5-K26)," ")</f>
        <v xml:space="preserve"> </v>
      </c>
      <c r="P26" s="5" t="str">
        <f t="shared" si="6"/>
        <v xml:space="preserve"> </v>
      </c>
      <c r="Q26" s="5"/>
      <c r="R26" s="194" t="str">
        <f>IFERROR(VLOOKUP(C26,Laporan!$C$8:$R$46,15,FALSE), " ")</f>
        <v xml:space="preserve"> </v>
      </c>
      <c r="S26" s="8" t="str">
        <f t="shared" si="7"/>
        <v xml:space="preserve"> </v>
      </c>
      <c r="T26" s="15" t="str">
        <f t="shared" si="8"/>
        <v xml:space="preserve"> </v>
      </c>
      <c r="U26" s="5"/>
    </row>
    <row r="27" spans="1:21">
      <c r="A27" s="8" t="str">
        <f t="shared" si="0"/>
        <v xml:space="preserve"> </v>
      </c>
      <c r="B27" s="149" t="str">
        <f>IFERROR(VLOOKUP(C27,Anggota!$C$5:$P$112,3,FALSE), " ")</f>
        <v xml:space="preserve"> </v>
      </c>
      <c r="C27" s="8" t="str">
        <f>IF(ISBLANK(Anggota!C26)," ",Anggota!C26)</f>
        <v xml:space="preserve"> </v>
      </c>
      <c r="D27" s="4" t="str">
        <f>IFERROR(VLOOKUP(C27,Laporan!$C$8:$R$46,3,FALSE), " ")</f>
        <v xml:space="preserve"> </v>
      </c>
      <c r="E27" s="56" t="str">
        <f>IFERROR(VLOOKUP(C27,Laporan!$C$8:$R$46,4,FALSE), " ")</f>
        <v xml:space="preserve"> </v>
      </c>
      <c r="F27" s="5" t="str">
        <f t="shared" si="1"/>
        <v xml:space="preserve"> </v>
      </c>
      <c r="G27" s="5" t="str">
        <f t="shared" si="2"/>
        <v xml:space="preserve"> </v>
      </c>
      <c r="H27" s="61" t="str">
        <f>IFERROR(VLOOKUP(C27,Laporan!$C$8:$R$46,7,FALSE), " ")</f>
        <v xml:space="preserve"> </v>
      </c>
      <c r="I27" s="59" t="str">
        <f>IFERROR(VLOOKUP(C27,Laporan!$C$8:$R$46,8,FALSE), " ")</f>
        <v xml:space="preserve"> </v>
      </c>
      <c r="J27" s="60" t="str">
        <f>IFERROR(VLOOKUP(C27,Laporan!$C$8:$R$46,9,FALSE), " ")</f>
        <v xml:space="preserve"> </v>
      </c>
      <c r="K27" s="194" t="str">
        <f t="shared" si="3"/>
        <v xml:space="preserve"> </v>
      </c>
      <c r="L27" s="15" t="str">
        <f t="shared" si="4"/>
        <v xml:space="preserve"> </v>
      </c>
      <c r="M27" s="15"/>
      <c r="N27" s="194" t="str">
        <f>IFERROR(VLOOKUP(C27,Laporan!$C$8:$R$46,15,FALSE), " ")</f>
        <v xml:space="preserve"> </v>
      </c>
      <c r="O27" s="8" t="str">
        <f>IFERROR(MONTH(O5-K27)," ")</f>
        <v xml:space="preserve"> </v>
      </c>
      <c r="P27" s="5" t="str">
        <f t="shared" si="6"/>
        <v xml:space="preserve"> </v>
      </c>
      <c r="Q27" s="5"/>
      <c r="R27" s="194" t="str">
        <f>IFERROR(VLOOKUP(C27,Laporan!$C$8:$R$46,15,FALSE), " ")</f>
        <v xml:space="preserve"> </v>
      </c>
      <c r="S27" s="8" t="str">
        <f t="shared" si="7"/>
        <v xml:space="preserve"> </v>
      </c>
      <c r="T27" s="15" t="str">
        <f t="shared" si="8"/>
        <v xml:space="preserve"> </v>
      </c>
      <c r="U27" s="5"/>
    </row>
    <row r="28" spans="1:21">
      <c r="A28" s="8" t="str">
        <f t="shared" si="0"/>
        <v xml:space="preserve"> </v>
      </c>
      <c r="B28" s="149" t="str">
        <f>IFERROR(VLOOKUP(C28,Anggota!$C$5:$P$112,3,FALSE), " ")</f>
        <v xml:space="preserve"> </v>
      </c>
      <c r="C28" s="8" t="str">
        <f>IF(ISBLANK(Anggota!C27)," ",Anggota!C27)</f>
        <v xml:space="preserve"> </v>
      </c>
      <c r="D28" s="4" t="str">
        <f>IFERROR(VLOOKUP(C28,Laporan!$C$8:$R$46,3,FALSE), " ")</f>
        <v xml:space="preserve"> </v>
      </c>
      <c r="E28" s="56" t="str">
        <f>IFERROR(VLOOKUP(C28,Laporan!$C$8:$R$46,4,FALSE), " ")</f>
        <v xml:space="preserve"> </v>
      </c>
      <c r="F28" s="5" t="str">
        <f t="shared" si="1"/>
        <v xml:space="preserve"> </v>
      </c>
      <c r="G28" s="5" t="str">
        <f t="shared" si="2"/>
        <v xml:space="preserve"> </v>
      </c>
      <c r="H28" s="61" t="str">
        <f>IFERROR(VLOOKUP(C28,Laporan!$C$8:$R$46,7,FALSE), " ")</f>
        <v xml:space="preserve"> </v>
      </c>
      <c r="I28" s="59" t="str">
        <f>IFERROR(VLOOKUP(C28,Laporan!$C$8:$R$46,8,FALSE), " ")</f>
        <v xml:space="preserve"> </v>
      </c>
      <c r="J28" s="60" t="str">
        <f>IFERROR(VLOOKUP(C28,Laporan!$C$8:$R$46,9,FALSE), " ")</f>
        <v xml:space="preserve"> </v>
      </c>
      <c r="K28" s="194" t="str">
        <f t="shared" si="3"/>
        <v xml:space="preserve"> </v>
      </c>
      <c r="L28" s="15" t="str">
        <f t="shared" si="4"/>
        <v xml:space="preserve"> </v>
      </c>
      <c r="M28" s="15"/>
      <c r="N28" s="194" t="str">
        <f>IFERROR(VLOOKUP(C28,Laporan!$C$8:$R$46,15,FALSE), " ")</f>
        <v xml:space="preserve"> </v>
      </c>
      <c r="O28" s="8" t="e">
        <f>H28-K28</f>
        <v>#VALUE!</v>
      </c>
      <c r="P28" s="5" t="str">
        <f t="shared" si="6"/>
        <v xml:space="preserve"> </v>
      </c>
      <c r="Q28" s="5"/>
      <c r="R28" s="194" t="str">
        <f>IFERROR(VLOOKUP(C28,Laporan!$C$8:$R$46,15,FALSE), " ")</f>
        <v xml:space="preserve"> </v>
      </c>
      <c r="S28" s="8" t="str">
        <f t="shared" si="7"/>
        <v xml:space="preserve"> </v>
      </c>
      <c r="T28" s="15" t="str">
        <f t="shared" si="8"/>
        <v xml:space="preserve"> </v>
      </c>
      <c r="U28" s="5"/>
    </row>
    <row r="29" spans="1:21">
      <c r="A29" s="8" t="str">
        <f t="shared" si="0"/>
        <v xml:space="preserve"> </v>
      </c>
      <c r="B29" s="149" t="str">
        <f>IFERROR(VLOOKUP(C29,Anggota!$C$5:$P$112,3,FALSE), " ")</f>
        <v xml:space="preserve"> </v>
      </c>
      <c r="C29" s="8" t="str">
        <f>IF(ISBLANK(Anggota!C28)," ",Anggota!C28)</f>
        <v xml:space="preserve"> </v>
      </c>
      <c r="D29" s="4" t="str">
        <f>IFERROR(VLOOKUP(C29,Laporan!$C$8:$R$46,3,FALSE), " ")</f>
        <v xml:space="preserve"> </v>
      </c>
      <c r="E29" s="56" t="str">
        <f>IFERROR(VLOOKUP(C29,Laporan!$C$8:$R$46,4,FALSE), " ")</f>
        <v xml:space="preserve"> </v>
      </c>
      <c r="F29" s="5" t="str">
        <f t="shared" si="1"/>
        <v xml:space="preserve"> </v>
      </c>
      <c r="G29" s="5" t="str">
        <f t="shared" si="2"/>
        <v xml:space="preserve"> </v>
      </c>
      <c r="H29" s="61" t="str">
        <f>IFERROR(VLOOKUP(C29,Laporan!$C$8:$R$46,7,FALSE), " ")</f>
        <v xml:space="preserve"> </v>
      </c>
      <c r="I29" s="59" t="str">
        <f>IFERROR(VLOOKUP(C29,Laporan!$C$8:$R$46,8,FALSE), " ")</f>
        <v xml:space="preserve"> </v>
      </c>
      <c r="J29" s="60" t="str">
        <f>IFERROR(VLOOKUP(C29,Laporan!$C$8:$R$46,9,FALSE), " ")</f>
        <v xml:space="preserve"> </v>
      </c>
      <c r="K29" s="194" t="str">
        <f t="shared" si="3"/>
        <v xml:space="preserve"> </v>
      </c>
      <c r="L29" s="15" t="str">
        <f t="shared" si="4"/>
        <v xml:space="preserve"> </v>
      </c>
      <c r="M29" s="15"/>
      <c r="N29" s="194" t="str">
        <f>IFERROR(VLOOKUP(C29,Laporan!$C$8:$R$46,15,FALSE), " ")</f>
        <v xml:space="preserve"> </v>
      </c>
      <c r="O29" s="8" t="e">
        <f>H29-K29</f>
        <v>#VALUE!</v>
      </c>
      <c r="P29" s="5" t="str">
        <f t="shared" si="6"/>
        <v xml:space="preserve"> </v>
      </c>
      <c r="Q29" s="5"/>
      <c r="R29" s="194" t="str">
        <f>IFERROR(VLOOKUP(C29,Laporan!$C$8:$R$46,15,FALSE), " ")</f>
        <v xml:space="preserve"> </v>
      </c>
      <c r="S29" s="8" t="str">
        <f t="shared" si="7"/>
        <v xml:space="preserve"> </v>
      </c>
      <c r="T29" s="15" t="str">
        <f t="shared" si="8"/>
        <v xml:space="preserve"> </v>
      </c>
      <c r="U29" s="5"/>
    </row>
    <row r="30" spans="1:21">
      <c r="A30" s="8" t="str">
        <f t="shared" si="0"/>
        <v xml:space="preserve"> </v>
      </c>
      <c r="B30" s="149" t="str">
        <f>IFERROR(VLOOKUP(C30,Anggota!$C$5:$P$112,3,FALSE), " ")</f>
        <v xml:space="preserve"> </v>
      </c>
      <c r="C30" s="8" t="str">
        <f>IF(ISBLANK(Anggota!C29)," ",Anggota!C29)</f>
        <v xml:space="preserve"> </v>
      </c>
      <c r="D30" s="4" t="str">
        <f>IFERROR(VLOOKUP(C30,Laporan!$C$8:$R$46,3,FALSE), " ")</f>
        <v xml:space="preserve"> </v>
      </c>
      <c r="E30" s="56" t="str">
        <f>IFERROR(VLOOKUP(C30,Laporan!$C$8:$R$46,4,FALSE), " ")</f>
        <v xml:space="preserve"> </v>
      </c>
      <c r="F30" s="5" t="str">
        <f t="shared" si="1"/>
        <v xml:space="preserve"> </v>
      </c>
      <c r="G30" s="5" t="str">
        <f t="shared" si="2"/>
        <v xml:space="preserve"> </v>
      </c>
      <c r="H30" s="61" t="str">
        <f>IFERROR(VLOOKUP(C30,Laporan!$C$8:$R$46,7,FALSE), " ")</f>
        <v xml:space="preserve"> </v>
      </c>
      <c r="I30" s="59" t="str">
        <f>IFERROR(VLOOKUP(C30,Laporan!$C$8:$R$46,8,FALSE), " ")</f>
        <v xml:space="preserve"> </v>
      </c>
      <c r="J30" s="60" t="str">
        <f>IFERROR(VLOOKUP(C30,Laporan!$C$8:$R$46,9,FALSE), " ")</f>
        <v xml:space="preserve"> </v>
      </c>
      <c r="K30" s="194" t="str">
        <f t="shared" si="3"/>
        <v xml:space="preserve"> </v>
      </c>
      <c r="L30" s="15" t="str">
        <f t="shared" si="4"/>
        <v xml:space="preserve"> </v>
      </c>
      <c r="M30" s="15"/>
      <c r="N30" s="194" t="str">
        <f>IFERROR(VLOOKUP(C30,Laporan!$C$8:$R$46,15,FALSE), " ")</f>
        <v xml:space="preserve"> </v>
      </c>
      <c r="O30" s="8" t="str">
        <f>IFERROR(MONTH(O5-K30)," ")</f>
        <v xml:space="preserve"> </v>
      </c>
      <c r="P30" s="5" t="str">
        <f t="shared" si="6"/>
        <v xml:space="preserve"> </v>
      </c>
      <c r="Q30" s="5"/>
      <c r="R30" s="194" t="str">
        <f>IFERROR(VLOOKUP(C30,Laporan!$C$8:$R$46,15,FALSE), " ")</f>
        <v xml:space="preserve"> </v>
      </c>
      <c r="S30" s="8" t="str">
        <f t="shared" si="7"/>
        <v xml:space="preserve"> </v>
      </c>
      <c r="T30" s="15" t="str">
        <f t="shared" si="8"/>
        <v xml:space="preserve"> </v>
      </c>
      <c r="U30" s="5"/>
    </row>
    <row r="31" spans="1:21">
      <c r="A31" s="8" t="str">
        <f t="shared" si="0"/>
        <v xml:space="preserve"> </v>
      </c>
      <c r="B31" s="149" t="str">
        <f>IFERROR(VLOOKUP(C31,Anggota!$C$5:$P$112,3,FALSE), " ")</f>
        <v xml:space="preserve"> </v>
      </c>
      <c r="C31" s="8" t="str">
        <f>IF(ISBLANK(Anggota!C30)," ",Anggota!C30)</f>
        <v xml:space="preserve"> </v>
      </c>
      <c r="D31" s="4" t="str">
        <f>IFERROR(VLOOKUP(C31,Laporan!$C$8:$R$46,3,FALSE), " ")</f>
        <v xml:space="preserve"> </v>
      </c>
      <c r="E31" s="56" t="str">
        <f>IFERROR(VLOOKUP(C31,Laporan!$C$8:$R$46,4,FALSE), " ")</f>
        <v xml:space="preserve"> </v>
      </c>
      <c r="F31" s="5" t="str">
        <f t="shared" si="1"/>
        <v xml:space="preserve"> </v>
      </c>
      <c r="G31" s="5" t="str">
        <f t="shared" si="2"/>
        <v xml:space="preserve"> </v>
      </c>
      <c r="H31" s="61" t="str">
        <f>IFERROR(VLOOKUP(C31,Laporan!$C$8:$R$46,7,FALSE), " ")</f>
        <v xml:space="preserve"> </v>
      </c>
      <c r="I31" s="59" t="str">
        <f>IFERROR(VLOOKUP(C31,Laporan!$C$8:$R$46,8,FALSE), " ")</f>
        <v xml:space="preserve"> </v>
      </c>
      <c r="J31" s="60" t="str">
        <f>IFERROR(VLOOKUP(C31,Laporan!$C$8:$R$46,9,FALSE), " ")</f>
        <v xml:space="preserve"> </v>
      </c>
      <c r="K31" s="194" t="str">
        <f t="shared" si="3"/>
        <v xml:space="preserve"> </v>
      </c>
      <c r="L31" s="15" t="str">
        <f t="shared" si="4"/>
        <v xml:space="preserve"> </v>
      </c>
      <c r="M31" s="15"/>
      <c r="N31" s="194" t="str">
        <f>IFERROR(VLOOKUP(C31,Laporan!$C$8:$R$46,15,FALSE), " ")</f>
        <v xml:space="preserve"> </v>
      </c>
      <c r="O31" s="8" t="str">
        <f>IFERROR(MONTH(O5-K31)," ")</f>
        <v xml:space="preserve"> </v>
      </c>
      <c r="P31" s="5" t="str">
        <f t="shared" si="6"/>
        <v xml:space="preserve"> </v>
      </c>
      <c r="Q31" s="5"/>
      <c r="R31" s="194" t="str">
        <f>IFERROR(VLOOKUP(C31,Laporan!$C$8:$R$46,15,FALSE), " ")</f>
        <v xml:space="preserve"> </v>
      </c>
      <c r="S31" s="8" t="str">
        <f t="shared" si="7"/>
        <v xml:space="preserve"> </v>
      </c>
      <c r="T31" s="15" t="str">
        <f t="shared" si="8"/>
        <v xml:space="preserve"> </v>
      </c>
      <c r="U31" s="5"/>
    </row>
    <row r="32" spans="1:21">
      <c r="A32" s="8" t="str">
        <f t="shared" si="0"/>
        <v xml:space="preserve"> </v>
      </c>
      <c r="B32" s="149" t="str">
        <f>IFERROR(VLOOKUP(C32,Anggota!$C$5:$P$112,3,FALSE), " ")</f>
        <v xml:space="preserve"> </v>
      </c>
      <c r="C32" s="8" t="str">
        <f>IF(ISBLANK(Anggota!C31)," ",Anggota!C31)</f>
        <v xml:space="preserve"> </v>
      </c>
      <c r="D32" s="4" t="str">
        <f>IFERROR(VLOOKUP(C32,Laporan!$C$8:$R$46,3,FALSE), " ")</f>
        <v xml:space="preserve"> </v>
      </c>
      <c r="E32" s="56" t="str">
        <f>IFERROR(VLOOKUP(C32,Laporan!$C$8:$R$46,4,FALSE), " ")</f>
        <v xml:space="preserve"> </v>
      </c>
      <c r="F32" s="5" t="str">
        <f t="shared" si="1"/>
        <v xml:space="preserve"> </v>
      </c>
      <c r="G32" s="5" t="str">
        <f t="shared" si="2"/>
        <v xml:space="preserve"> </v>
      </c>
      <c r="H32" s="61" t="str">
        <f>IFERROR(VLOOKUP(C32,Laporan!$C$8:$R$46,7,FALSE), " ")</f>
        <v xml:space="preserve"> </v>
      </c>
      <c r="I32" s="59" t="str">
        <f>IFERROR(VLOOKUP(C32,Laporan!$C$8:$R$46,8,FALSE), " ")</f>
        <v xml:space="preserve"> </v>
      </c>
      <c r="J32" s="60" t="str">
        <f>IFERROR(VLOOKUP(C32,Laporan!$C$8:$R$46,9,FALSE), " ")</f>
        <v xml:space="preserve"> </v>
      </c>
      <c r="K32" s="194" t="str">
        <f t="shared" si="3"/>
        <v xml:space="preserve"> </v>
      </c>
      <c r="L32" s="15" t="str">
        <f t="shared" si="4"/>
        <v xml:space="preserve"> </v>
      </c>
      <c r="M32" s="15"/>
      <c r="N32" s="194" t="str">
        <f>IFERROR(VLOOKUP(C32,Laporan!$C$8:$R$46,15,FALSE), " ")</f>
        <v xml:space="preserve"> </v>
      </c>
      <c r="O32" s="8" t="e">
        <f>H32-K32</f>
        <v>#VALUE!</v>
      </c>
      <c r="P32" s="5" t="str">
        <f t="shared" si="6"/>
        <v xml:space="preserve"> </v>
      </c>
      <c r="Q32" s="5"/>
      <c r="R32" s="194" t="str">
        <f>IFERROR(VLOOKUP(C32,Laporan!$C$8:$R$46,15,FALSE), " ")</f>
        <v xml:space="preserve"> </v>
      </c>
      <c r="S32" s="8" t="str">
        <f t="shared" si="7"/>
        <v xml:space="preserve"> </v>
      </c>
      <c r="T32" s="15" t="str">
        <f t="shared" si="8"/>
        <v xml:space="preserve"> </v>
      </c>
      <c r="U32" s="5"/>
    </row>
    <row r="33" spans="1:21">
      <c r="A33" s="8" t="str">
        <f t="shared" si="0"/>
        <v xml:space="preserve"> </v>
      </c>
      <c r="B33" s="149" t="str">
        <f>IFERROR(VLOOKUP(C33,Anggota!$C$5:$P$112,3,FALSE), " ")</f>
        <v xml:space="preserve"> </v>
      </c>
      <c r="C33" s="8" t="str">
        <f>IF(ISBLANK(Anggota!C32)," ",Anggota!C32)</f>
        <v xml:space="preserve"> </v>
      </c>
      <c r="D33" s="4" t="str">
        <f>IFERROR(VLOOKUP(C33,Laporan!$C$8:$R$46,3,FALSE), " ")</f>
        <v xml:space="preserve"> </v>
      </c>
      <c r="E33" s="56" t="str">
        <f>IFERROR(VLOOKUP(C33,Laporan!$C$8:$R$46,4,FALSE), " ")</f>
        <v xml:space="preserve"> </v>
      </c>
      <c r="F33" s="5" t="str">
        <f t="shared" si="1"/>
        <v xml:space="preserve"> </v>
      </c>
      <c r="G33" s="5" t="str">
        <f t="shared" si="2"/>
        <v xml:space="preserve"> </v>
      </c>
      <c r="H33" s="61" t="str">
        <f>IFERROR(VLOOKUP(C33,Laporan!$C$8:$R$46,7,FALSE), " ")</f>
        <v xml:space="preserve"> </v>
      </c>
      <c r="I33" s="59" t="str">
        <f>IFERROR(VLOOKUP(C33,Laporan!$C$8:$R$46,8,FALSE), " ")</f>
        <v xml:space="preserve"> </v>
      </c>
      <c r="J33" s="60" t="str">
        <f>IFERROR(VLOOKUP(C33,Laporan!$C$8:$R$46,9,FALSE), " ")</f>
        <v xml:space="preserve"> </v>
      </c>
      <c r="K33" s="194" t="str">
        <f t="shared" si="3"/>
        <v xml:space="preserve"> </v>
      </c>
      <c r="L33" s="15" t="str">
        <f t="shared" si="4"/>
        <v xml:space="preserve"> </v>
      </c>
      <c r="M33" s="15"/>
      <c r="N33" s="194" t="str">
        <f>IFERROR(VLOOKUP(C33,Laporan!$C$8:$R$46,15,FALSE), " ")</f>
        <v xml:space="preserve"> </v>
      </c>
      <c r="O33" s="8" t="e">
        <f>H33-K33</f>
        <v>#VALUE!</v>
      </c>
      <c r="P33" s="5" t="str">
        <f t="shared" si="6"/>
        <v xml:space="preserve"> </v>
      </c>
      <c r="Q33" s="5"/>
      <c r="R33" s="194" t="str">
        <f>IFERROR(VLOOKUP(C33,Laporan!$C$8:$R$46,15,FALSE), " ")</f>
        <v xml:space="preserve"> </v>
      </c>
      <c r="S33" s="8" t="str">
        <f t="shared" si="7"/>
        <v xml:space="preserve"> </v>
      </c>
      <c r="T33" s="15" t="str">
        <f t="shared" si="8"/>
        <v xml:space="preserve"> </v>
      </c>
      <c r="U33" s="5"/>
    </row>
    <row r="34" spans="1:21">
      <c r="A34" s="8" t="str">
        <f t="shared" si="0"/>
        <v xml:space="preserve"> </v>
      </c>
      <c r="B34" s="149" t="str">
        <f>IFERROR(VLOOKUP(C34,Anggota!$C$5:$P$112,3,FALSE), " ")</f>
        <v xml:space="preserve"> </v>
      </c>
      <c r="C34" s="8" t="str">
        <f>IF(ISBLANK(Anggota!C33)," ",Anggota!C33)</f>
        <v xml:space="preserve"> </v>
      </c>
      <c r="D34" s="4" t="str">
        <f>IFERROR(VLOOKUP(C34,Laporan!$C$8:$R$46,3,FALSE), " ")</f>
        <v xml:space="preserve"> </v>
      </c>
      <c r="E34" s="56" t="str">
        <f>IFERROR(VLOOKUP(C34,Laporan!$C$8:$R$46,4,FALSE), " ")</f>
        <v xml:space="preserve"> </v>
      </c>
      <c r="F34" s="5" t="str">
        <f t="shared" si="1"/>
        <v xml:space="preserve"> </v>
      </c>
      <c r="G34" s="5" t="str">
        <f t="shared" si="2"/>
        <v xml:space="preserve"> </v>
      </c>
      <c r="H34" s="61" t="str">
        <f>IFERROR(VLOOKUP(C34,Laporan!$C$8:$R$46,7,FALSE), " ")</f>
        <v xml:space="preserve"> </v>
      </c>
      <c r="I34" s="59" t="str">
        <f>IFERROR(VLOOKUP(C34,Laporan!$C$8:$R$46,8,FALSE), " ")</f>
        <v xml:space="preserve"> </v>
      </c>
      <c r="J34" s="60" t="str">
        <f>IFERROR(VLOOKUP(C34,Laporan!$C$8:$R$46,9,FALSE), " ")</f>
        <v xml:space="preserve"> </v>
      </c>
      <c r="K34" s="194" t="str">
        <f t="shared" si="3"/>
        <v xml:space="preserve"> </v>
      </c>
      <c r="L34" s="15" t="str">
        <f t="shared" si="4"/>
        <v xml:space="preserve"> </v>
      </c>
      <c r="M34" s="15"/>
      <c r="N34" s="194" t="str">
        <f>IFERROR(VLOOKUP(C34,Laporan!$C$8:$R$46,15,FALSE), " ")</f>
        <v xml:space="preserve"> </v>
      </c>
      <c r="O34" s="8" t="e">
        <f>H34-K34</f>
        <v>#VALUE!</v>
      </c>
      <c r="P34" s="5" t="str">
        <f t="shared" si="6"/>
        <v xml:space="preserve"> </v>
      </c>
      <c r="Q34" s="5"/>
      <c r="R34" s="194" t="str">
        <f>IFERROR(VLOOKUP(C34,Laporan!$C$8:$R$46,15,FALSE), " ")</f>
        <v xml:space="preserve"> </v>
      </c>
      <c r="S34" s="8" t="str">
        <f t="shared" si="7"/>
        <v xml:space="preserve"> </v>
      </c>
      <c r="T34" s="15" t="str">
        <f t="shared" si="8"/>
        <v xml:space="preserve"> </v>
      </c>
      <c r="U34" s="5"/>
    </row>
    <row r="35" spans="1:21">
      <c r="A35" s="8" t="str">
        <f t="shared" si="0"/>
        <v xml:space="preserve"> </v>
      </c>
      <c r="B35" s="149" t="str">
        <f>IFERROR(VLOOKUP(C35,Anggota!$C$5:$P$112,3,FALSE), " ")</f>
        <v xml:space="preserve"> </v>
      </c>
      <c r="C35" s="8" t="str">
        <f>IF(ISBLANK(Anggota!C34)," ",Anggota!C34)</f>
        <v xml:space="preserve"> </v>
      </c>
      <c r="D35" s="4" t="str">
        <f>IFERROR(VLOOKUP(C35,Laporan!$C$8:$R$46,3,FALSE), " ")</f>
        <v xml:space="preserve"> </v>
      </c>
      <c r="E35" s="56" t="str">
        <f>IFERROR(VLOOKUP(C35,Laporan!$C$8:$R$46,4,FALSE), " ")</f>
        <v xml:space="preserve"> </v>
      </c>
      <c r="F35" s="5" t="str">
        <f t="shared" si="1"/>
        <v xml:space="preserve"> </v>
      </c>
      <c r="G35" s="5" t="str">
        <f t="shared" si="2"/>
        <v xml:space="preserve"> </v>
      </c>
      <c r="H35" s="61" t="str">
        <f>IFERROR(VLOOKUP(C35,Laporan!$C$8:$R$46,7,FALSE), " ")</f>
        <v xml:space="preserve"> </v>
      </c>
      <c r="I35" s="59" t="str">
        <f>IFERROR(VLOOKUP(C35,Laporan!$C$8:$R$46,8,FALSE), " ")</f>
        <v xml:space="preserve"> </v>
      </c>
      <c r="J35" s="60" t="str">
        <f>IFERROR(VLOOKUP(C35,Laporan!$C$8:$R$46,9,FALSE), " ")</f>
        <v xml:space="preserve"> </v>
      </c>
      <c r="K35" s="194" t="str">
        <f t="shared" si="3"/>
        <v xml:space="preserve"> </v>
      </c>
      <c r="L35" s="15" t="str">
        <f t="shared" si="4"/>
        <v xml:space="preserve"> </v>
      </c>
      <c r="M35" s="15"/>
      <c r="N35" s="194" t="str">
        <f>IFERROR(VLOOKUP(C35,Laporan!$C$8:$R$46,15,FALSE), " ")</f>
        <v xml:space="preserve"> </v>
      </c>
      <c r="O35" s="8" t="str">
        <f>IFERROR(MONTH(O5-K35)," ")</f>
        <v xml:space="preserve"> </v>
      </c>
      <c r="P35" s="5" t="str">
        <f t="shared" si="6"/>
        <v xml:space="preserve"> </v>
      </c>
      <c r="Q35" s="5"/>
      <c r="R35" s="194" t="str">
        <f>IFERROR(VLOOKUP(C35,Laporan!$C$8:$R$46,15,FALSE), " ")</f>
        <v xml:space="preserve"> </v>
      </c>
      <c r="S35" s="8">
        <v>12</v>
      </c>
      <c r="T35" s="15" t="str">
        <f t="shared" si="8"/>
        <v xml:space="preserve"> </v>
      </c>
      <c r="U35" s="5"/>
    </row>
    <row r="36" spans="1:21">
      <c r="A36" s="8" t="str">
        <f t="shared" si="0"/>
        <v xml:space="preserve"> </v>
      </c>
      <c r="B36" s="149" t="str">
        <f>IFERROR(VLOOKUP(C36,Anggota!$C$5:$P$112,3,FALSE), " ")</f>
        <v xml:space="preserve"> </v>
      </c>
      <c r="C36" s="8" t="str">
        <f>IF(ISBLANK(Anggota!C35)," ",Anggota!C35)</f>
        <v xml:space="preserve"> </v>
      </c>
      <c r="D36" s="4" t="str">
        <f>IFERROR(VLOOKUP(C36,Laporan!$C$8:$R$46,3,FALSE), " ")</f>
        <v xml:space="preserve"> </v>
      </c>
      <c r="E36" s="56" t="str">
        <f>IFERROR(VLOOKUP(C36,Laporan!$C$8:$R$46,4,FALSE), " ")</f>
        <v xml:space="preserve"> </v>
      </c>
      <c r="F36" s="5" t="str">
        <f t="shared" si="1"/>
        <v xml:space="preserve"> </v>
      </c>
      <c r="G36" s="5" t="str">
        <f t="shared" si="2"/>
        <v xml:space="preserve"> </v>
      </c>
      <c r="H36" s="61" t="str">
        <f>IFERROR(VLOOKUP(C36,Laporan!$C$8:$R$46,7,FALSE), " ")</f>
        <v xml:space="preserve"> </v>
      </c>
      <c r="I36" s="59" t="str">
        <f>IFERROR(VLOOKUP(C36,Laporan!$C$8:$R$46,8,FALSE), " ")</f>
        <v xml:space="preserve"> </v>
      </c>
      <c r="J36" s="60" t="str">
        <f>IFERROR(VLOOKUP(C36,Laporan!$C$8:$R$46,9,FALSE), " ")</f>
        <v xml:space="preserve"> </v>
      </c>
      <c r="K36" s="194" t="str">
        <f t="shared" si="3"/>
        <v xml:space="preserve"> </v>
      </c>
      <c r="L36" s="15" t="str">
        <f t="shared" si="4"/>
        <v xml:space="preserve"> </v>
      </c>
      <c r="M36" s="15"/>
      <c r="N36" s="194" t="str">
        <f>IFERROR(VLOOKUP(C36,Laporan!$C$8:$R$46,15,FALSE), " ")</f>
        <v xml:space="preserve"> </v>
      </c>
      <c r="O36" s="8" t="str">
        <f>IFERROR(MONTH(O5-K36)," ")</f>
        <v xml:space="preserve"> </v>
      </c>
      <c r="P36" s="5" t="str">
        <f t="shared" si="6"/>
        <v xml:space="preserve"> </v>
      </c>
      <c r="Q36" s="5"/>
      <c r="R36" s="194" t="str">
        <f>IFERROR(VLOOKUP(C36,Laporan!$C$8:$R$46,15,FALSE), " ")</f>
        <v xml:space="preserve"> </v>
      </c>
      <c r="S36" s="8" t="str">
        <f t="shared" si="7"/>
        <v xml:space="preserve"> </v>
      </c>
      <c r="T36" s="15" t="str">
        <f t="shared" si="8"/>
        <v xml:space="preserve"> </v>
      </c>
      <c r="U36" s="5"/>
    </row>
    <row r="37" spans="1:21">
      <c r="A37" s="8" t="str">
        <f t="shared" si="0"/>
        <v xml:space="preserve"> </v>
      </c>
      <c r="B37" s="149" t="str">
        <f>IFERROR(VLOOKUP(C37,Anggota!$C$5:$P$112,3,FALSE), " ")</f>
        <v xml:space="preserve"> </v>
      </c>
      <c r="C37" s="8" t="str">
        <f>IF(ISBLANK(Anggota!C36)," ",Anggota!C36)</f>
        <v xml:space="preserve"> </v>
      </c>
      <c r="D37" s="4" t="str">
        <f>IFERROR(VLOOKUP(C37,Laporan!$C$8:$R$46,3,FALSE), " ")</f>
        <v xml:space="preserve"> </v>
      </c>
      <c r="E37" s="56" t="str">
        <f>IFERROR(VLOOKUP(C37,Laporan!$C$8:$R$46,4,FALSE), " ")</f>
        <v xml:space="preserve"> </v>
      </c>
      <c r="F37" s="5" t="str">
        <f t="shared" si="1"/>
        <v xml:space="preserve"> </v>
      </c>
      <c r="G37" s="5" t="str">
        <f t="shared" si="2"/>
        <v xml:space="preserve"> </v>
      </c>
      <c r="H37" s="61" t="str">
        <f>IFERROR(VLOOKUP(C37,Laporan!$C$8:$R$46,7,FALSE), " ")</f>
        <v xml:space="preserve"> </v>
      </c>
      <c r="I37" s="59" t="str">
        <f>IFERROR(VLOOKUP(C37,Laporan!$C$8:$R$46,8,FALSE), " ")</f>
        <v xml:space="preserve"> </v>
      </c>
      <c r="J37" s="60" t="str">
        <f>IFERROR(VLOOKUP(C37,Laporan!$C$8:$R$46,9,FALSE), " ")</f>
        <v xml:space="preserve"> </v>
      </c>
      <c r="K37" s="194" t="str">
        <f t="shared" si="3"/>
        <v xml:space="preserve"> </v>
      </c>
      <c r="L37" s="15" t="str">
        <f t="shared" si="4"/>
        <v xml:space="preserve"> </v>
      </c>
      <c r="M37" s="15"/>
      <c r="N37" s="194" t="str">
        <f>IFERROR(VLOOKUP(C37,Laporan!$C$8:$R$46,15,FALSE), " ")</f>
        <v xml:space="preserve"> </v>
      </c>
      <c r="O37" s="8" t="e">
        <f>H37-K37</f>
        <v>#VALUE!</v>
      </c>
      <c r="P37" s="5" t="str">
        <f t="shared" si="6"/>
        <v xml:space="preserve"> </v>
      </c>
      <c r="Q37" s="5"/>
      <c r="R37" s="194" t="str">
        <f>IFERROR(VLOOKUP(C37,Laporan!$C$8:$R$46,15,FALSE), " ")</f>
        <v xml:space="preserve"> </v>
      </c>
      <c r="S37" s="8" t="str">
        <f t="shared" si="7"/>
        <v xml:space="preserve"> </v>
      </c>
      <c r="T37" s="15" t="str">
        <f t="shared" si="8"/>
        <v xml:space="preserve"> </v>
      </c>
      <c r="U37" s="5"/>
    </row>
    <row r="38" spans="1:21">
      <c r="A38" s="8" t="str">
        <f t="shared" si="0"/>
        <v xml:space="preserve"> </v>
      </c>
      <c r="B38" s="149" t="str">
        <f>IFERROR(VLOOKUP(C38,Anggota!$C$5:$P$112,3,FALSE), " ")</f>
        <v xml:space="preserve"> </v>
      </c>
      <c r="C38" s="8" t="str">
        <f>IF(ISBLANK(Anggota!C37)," ",Anggota!C37)</f>
        <v xml:space="preserve"> </v>
      </c>
      <c r="D38" s="4" t="str">
        <f>IFERROR(VLOOKUP(C38,Laporan!$C$8:$R$46,3,FALSE), " ")</f>
        <v xml:space="preserve"> </v>
      </c>
      <c r="E38" s="56" t="str">
        <f>IFERROR(VLOOKUP(C38,Laporan!$C$8:$R$46,4,FALSE), " ")</f>
        <v xml:space="preserve"> </v>
      </c>
      <c r="F38" s="5" t="str">
        <f t="shared" si="1"/>
        <v xml:space="preserve"> </v>
      </c>
      <c r="G38" s="5" t="str">
        <f t="shared" si="2"/>
        <v xml:space="preserve"> </v>
      </c>
      <c r="H38" s="61" t="str">
        <f>IFERROR(VLOOKUP(C38,Laporan!$C$8:$R$46,7,FALSE), " ")</f>
        <v xml:space="preserve"> </v>
      </c>
      <c r="I38" s="59" t="str">
        <f>IFERROR(VLOOKUP(C38,Laporan!$C$8:$R$46,8,FALSE), " ")</f>
        <v xml:space="preserve"> </v>
      </c>
      <c r="J38" s="60" t="str">
        <f>IFERROR(VLOOKUP(C38,Laporan!$C$8:$R$46,9,FALSE), " ")</f>
        <v xml:space="preserve"> </v>
      </c>
      <c r="K38" s="194" t="str">
        <f t="shared" si="3"/>
        <v xml:space="preserve"> </v>
      </c>
      <c r="L38" s="15" t="str">
        <f t="shared" si="4"/>
        <v xml:space="preserve"> </v>
      </c>
      <c r="M38" s="15"/>
      <c r="N38" s="194" t="str">
        <f>IFERROR(VLOOKUP(C38,Laporan!$C$8:$R$46,15,FALSE), " ")</f>
        <v xml:space="preserve"> </v>
      </c>
      <c r="O38" s="8" t="e">
        <f>H38-K38</f>
        <v>#VALUE!</v>
      </c>
      <c r="P38" s="5" t="str">
        <f t="shared" si="6"/>
        <v xml:space="preserve"> </v>
      </c>
      <c r="Q38" s="5"/>
      <c r="R38" s="194" t="str">
        <f>IFERROR(VLOOKUP(C38,Laporan!$C$8:$R$46,15,FALSE), " ")</f>
        <v xml:space="preserve"> </v>
      </c>
      <c r="S38" s="8" t="str">
        <f t="shared" si="7"/>
        <v xml:space="preserve"> </v>
      </c>
      <c r="T38" s="15" t="str">
        <f t="shared" si="8"/>
        <v xml:space="preserve"> </v>
      </c>
      <c r="U38" s="5"/>
    </row>
    <row r="39" spans="1:21">
      <c r="A39" s="8" t="str">
        <f t="shared" si="0"/>
        <v xml:space="preserve"> </v>
      </c>
      <c r="B39" s="149" t="str">
        <f>IFERROR(VLOOKUP(C39,Anggota!$C$5:$P$112,3,FALSE), " ")</f>
        <v xml:space="preserve"> </v>
      </c>
      <c r="C39" s="8" t="str">
        <f>IF(ISBLANK(Anggota!C38)," ",Anggota!C38)</f>
        <v xml:space="preserve"> </v>
      </c>
      <c r="D39" s="4" t="str">
        <f>IFERROR(VLOOKUP(C39,Laporan!$C$8:$R$46,3,FALSE), " ")</f>
        <v xml:space="preserve"> </v>
      </c>
      <c r="E39" s="56" t="str">
        <f>IFERROR(VLOOKUP(C39,Laporan!$C$8:$R$46,4,FALSE), " ")</f>
        <v xml:space="preserve"> </v>
      </c>
      <c r="F39" s="5" t="str">
        <f t="shared" si="1"/>
        <v xml:space="preserve"> </v>
      </c>
      <c r="G39" s="5" t="str">
        <f t="shared" si="2"/>
        <v xml:space="preserve"> </v>
      </c>
      <c r="H39" s="61" t="str">
        <f>IFERROR(VLOOKUP(C39,Laporan!$C$8:$R$46,7,FALSE), " ")</f>
        <v xml:space="preserve"> </v>
      </c>
      <c r="I39" s="59" t="str">
        <f>IFERROR(VLOOKUP(C39,Laporan!$C$8:$R$46,8,FALSE), " ")</f>
        <v xml:space="preserve"> </v>
      </c>
      <c r="J39" s="60" t="str">
        <f>IFERROR(VLOOKUP(C39,Laporan!$C$8:$R$46,9,FALSE), " ")</f>
        <v xml:space="preserve"> </v>
      </c>
      <c r="K39" s="194" t="str">
        <f t="shared" si="3"/>
        <v xml:space="preserve"> </v>
      </c>
      <c r="L39" s="15" t="str">
        <f t="shared" si="4"/>
        <v xml:space="preserve"> </v>
      </c>
      <c r="M39" s="15"/>
      <c r="N39" s="194" t="str">
        <f>IFERROR(VLOOKUP(C39,Laporan!$C$8:$R$46,15,FALSE), " ")</f>
        <v xml:space="preserve"> </v>
      </c>
      <c r="O39" s="8" t="str">
        <f t="shared" ref="O39:O44" si="9">IFERROR(MONTH(O38-K39)," ")</f>
        <v xml:space="preserve"> </v>
      </c>
      <c r="P39" s="5" t="str">
        <f t="shared" si="6"/>
        <v xml:space="preserve"> </v>
      </c>
      <c r="Q39" s="5"/>
      <c r="R39" s="194" t="str">
        <f>IFERROR(VLOOKUP(C39,Laporan!$C$8:$R$46,15,FALSE), " ")</f>
        <v xml:space="preserve"> </v>
      </c>
      <c r="S39" s="8" t="str">
        <f t="shared" si="7"/>
        <v xml:space="preserve"> </v>
      </c>
      <c r="T39" s="15" t="str">
        <f t="shared" si="8"/>
        <v xml:space="preserve"> </v>
      </c>
      <c r="U39" s="5"/>
    </row>
    <row r="40" spans="1:21">
      <c r="A40" s="8" t="str">
        <f t="shared" si="0"/>
        <v xml:space="preserve"> </v>
      </c>
      <c r="B40" s="149" t="str">
        <f>IFERROR(VLOOKUP(C40,Anggota!$C$5:$P$112,3,FALSE), " ")</f>
        <v xml:space="preserve"> </v>
      </c>
      <c r="C40" s="8" t="str">
        <f>IF(ISBLANK(Anggota!C39)," ",Anggota!C39)</f>
        <v xml:space="preserve"> </v>
      </c>
      <c r="D40" s="4" t="str">
        <f>IFERROR(VLOOKUP(C40,Laporan!$C$8:$R$46,3,FALSE), " ")</f>
        <v xml:space="preserve"> </v>
      </c>
      <c r="E40" s="56" t="str">
        <f>IFERROR(VLOOKUP(C40,Laporan!$C$8:$R$46,4,FALSE), " ")</f>
        <v xml:space="preserve"> </v>
      </c>
      <c r="F40" s="5" t="str">
        <f t="shared" si="1"/>
        <v xml:space="preserve"> </v>
      </c>
      <c r="G40" s="5" t="str">
        <f t="shared" si="2"/>
        <v xml:space="preserve"> </v>
      </c>
      <c r="H40" s="61" t="str">
        <f>IFERROR(VLOOKUP(C40,Laporan!$C$8:$R$46,7,FALSE), " ")</f>
        <v xml:space="preserve"> </v>
      </c>
      <c r="I40" s="59" t="str">
        <f>IFERROR(VLOOKUP(C40,Laporan!$C$8:$R$46,8,FALSE), " ")</f>
        <v xml:space="preserve"> </v>
      </c>
      <c r="J40" s="60" t="str">
        <f>IFERROR(VLOOKUP(C40,Laporan!$C$8:$R$46,9,FALSE), " ")</f>
        <v xml:space="preserve"> </v>
      </c>
      <c r="K40" s="194" t="str">
        <f t="shared" si="3"/>
        <v xml:space="preserve"> </v>
      </c>
      <c r="L40" s="15" t="str">
        <f t="shared" si="4"/>
        <v xml:space="preserve"> </v>
      </c>
      <c r="M40" s="15"/>
      <c r="N40" s="194" t="str">
        <f>IFERROR(VLOOKUP(C40,Laporan!$C$8:$R$46,15,FALSE), " ")</f>
        <v xml:space="preserve"> </v>
      </c>
      <c r="O40" s="8" t="str">
        <f t="shared" si="9"/>
        <v xml:space="preserve"> </v>
      </c>
      <c r="P40" s="5" t="str">
        <f t="shared" si="6"/>
        <v xml:space="preserve"> </v>
      </c>
      <c r="Q40" s="5"/>
      <c r="R40" s="194" t="str">
        <f>IFERROR(VLOOKUP(C40,Laporan!$C$8:$R$46,15,FALSE), " ")</f>
        <v xml:space="preserve"> </v>
      </c>
      <c r="S40" s="8" t="str">
        <f t="shared" si="7"/>
        <v xml:space="preserve"> </v>
      </c>
      <c r="T40" s="15" t="str">
        <f t="shared" si="8"/>
        <v xml:space="preserve"> </v>
      </c>
      <c r="U40" s="5"/>
    </row>
    <row r="41" spans="1:21">
      <c r="A41" s="8" t="str">
        <f t="shared" si="0"/>
        <v xml:space="preserve"> </v>
      </c>
      <c r="B41" s="149" t="str">
        <f>IFERROR(VLOOKUP(C41,Anggota!$C$5:$P$112,3,FALSE), " ")</f>
        <v xml:space="preserve"> </v>
      </c>
      <c r="C41" s="8" t="str">
        <f>IF(ISBLANK(Anggota!C40)," ",Anggota!C40)</f>
        <v xml:space="preserve"> </v>
      </c>
      <c r="D41" s="4" t="str">
        <f>IFERROR(VLOOKUP(C41,Laporan!$C$8:$R$46,3,FALSE), " ")</f>
        <v xml:space="preserve"> </v>
      </c>
      <c r="E41" s="56" t="str">
        <f>IFERROR(VLOOKUP(C41,Laporan!$C$8:$R$46,4,FALSE), " ")</f>
        <v xml:space="preserve"> </v>
      </c>
      <c r="F41" s="5" t="str">
        <f t="shared" si="1"/>
        <v xml:space="preserve"> </v>
      </c>
      <c r="G41" s="5" t="str">
        <f t="shared" si="2"/>
        <v xml:space="preserve"> </v>
      </c>
      <c r="H41" s="61" t="str">
        <f>IFERROR(VLOOKUP(C41,Laporan!$C$8:$R$46,7,FALSE), " ")</f>
        <v xml:space="preserve"> </v>
      </c>
      <c r="I41" s="59" t="str">
        <f>IFERROR(VLOOKUP(C41,Laporan!$C$8:$R$46,8,FALSE), " ")</f>
        <v xml:space="preserve"> </v>
      </c>
      <c r="J41" s="60" t="str">
        <f>IFERROR(VLOOKUP(C41,Laporan!$C$8:$R$46,9,FALSE), " ")</f>
        <v xml:space="preserve"> </v>
      </c>
      <c r="K41" s="194" t="str">
        <f t="shared" si="3"/>
        <v xml:space="preserve"> </v>
      </c>
      <c r="L41" s="15" t="str">
        <f t="shared" si="4"/>
        <v xml:space="preserve"> </v>
      </c>
      <c r="M41" s="15"/>
      <c r="N41" s="194" t="str">
        <f>IFERROR(VLOOKUP(C41,Laporan!$C$8:$R$46,15,FALSE), " ")</f>
        <v xml:space="preserve"> </v>
      </c>
      <c r="O41" s="8" t="str">
        <f t="shared" si="9"/>
        <v xml:space="preserve"> </v>
      </c>
      <c r="P41" s="5" t="str">
        <f t="shared" si="6"/>
        <v xml:space="preserve"> </v>
      </c>
      <c r="Q41" s="5"/>
      <c r="R41" s="194" t="str">
        <f>IFERROR(VLOOKUP(C41,Laporan!$C$8:$R$46,15,FALSE), " ")</f>
        <v xml:space="preserve"> </v>
      </c>
      <c r="S41" s="8" t="str">
        <f t="shared" si="7"/>
        <v xml:space="preserve"> </v>
      </c>
      <c r="T41" s="15" t="str">
        <f t="shared" si="8"/>
        <v xml:space="preserve"> </v>
      </c>
      <c r="U41" s="5"/>
    </row>
    <row r="42" spans="1:21">
      <c r="A42" s="8" t="str">
        <f t="shared" ref="A42:A49" si="10">IF(ISBLANK(C42)," ",IF(C42=" "," ",ROW()-5))</f>
        <v xml:space="preserve"> </v>
      </c>
      <c r="B42" s="149" t="str">
        <f>IFERROR(VLOOKUP(C42,Anggota!$C$5:$P$112,3,FALSE), " ")</f>
        <v xml:space="preserve"> </v>
      </c>
      <c r="C42" s="8" t="str">
        <f>IF(ISBLANK(Anggota!C41)," ",Anggota!C41)</f>
        <v xml:space="preserve"> </v>
      </c>
      <c r="D42" s="4" t="str">
        <f>IFERROR(VLOOKUP(C42,Laporan!$C$8:$R$46,3,FALSE), " ")</f>
        <v xml:space="preserve"> </v>
      </c>
      <c r="E42" s="56" t="str">
        <f>IFERROR(VLOOKUP(C42,Laporan!$C$8:$R$46,4,FALSE), " ")</f>
        <v xml:space="preserve"> </v>
      </c>
      <c r="F42" s="5" t="str">
        <f t="shared" si="1"/>
        <v xml:space="preserve"> </v>
      </c>
      <c r="G42" s="5" t="str">
        <f t="shared" si="2"/>
        <v xml:space="preserve"> </v>
      </c>
      <c r="H42" s="61" t="str">
        <f>IFERROR(VLOOKUP(C42,Laporan!$C$8:$R$46,7,FALSE), " ")</f>
        <v xml:space="preserve"> </v>
      </c>
      <c r="I42" s="59" t="str">
        <f>IFERROR(VLOOKUP(C42,Laporan!$C$8:$R$46,8,FALSE), " ")</f>
        <v xml:space="preserve"> </v>
      </c>
      <c r="J42" s="60" t="str">
        <f>IFERROR(VLOOKUP(C42,Laporan!$C$8:$R$46,9,FALSE), " ")</f>
        <v xml:space="preserve"> </v>
      </c>
      <c r="K42" s="194" t="str">
        <f t="shared" si="3"/>
        <v xml:space="preserve"> </v>
      </c>
      <c r="L42" s="15" t="str">
        <f t="shared" si="4"/>
        <v xml:space="preserve"> </v>
      </c>
      <c r="M42" s="15"/>
      <c r="N42" s="194" t="str">
        <f>IFERROR(VLOOKUP(C42,Laporan!$C$8:$R$46,15,FALSE), " ")</f>
        <v xml:space="preserve"> </v>
      </c>
      <c r="O42" s="8" t="str">
        <f t="shared" si="9"/>
        <v xml:space="preserve"> </v>
      </c>
      <c r="P42" s="5" t="str">
        <f>IFERROR(G42*O42, " ")</f>
        <v xml:space="preserve"> </v>
      </c>
      <c r="Q42" s="5"/>
      <c r="R42" s="194" t="str">
        <f>IFERROR(VLOOKUP(C42,Laporan!$C$8:$R$46,15,FALSE), " ")</f>
        <v xml:space="preserve"> </v>
      </c>
      <c r="S42" s="8" t="str">
        <f>IFERROR(H42-K42-O42," ")</f>
        <v xml:space="preserve"> </v>
      </c>
      <c r="T42" s="15" t="str">
        <f>IFERROR(G42*S42, " ")</f>
        <v xml:space="preserve"> </v>
      </c>
      <c r="U42" s="5"/>
    </row>
    <row r="43" spans="1:21">
      <c r="A43" s="8" t="str">
        <f t="shared" si="10"/>
        <v xml:space="preserve"> </v>
      </c>
      <c r="B43" s="149" t="str">
        <f>IFERROR(VLOOKUP(C43,Anggota!$C$5:$P$112,3,FALSE), " ")</f>
        <v xml:space="preserve"> </v>
      </c>
      <c r="C43" s="8" t="str">
        <f>IF(ISBLANK(Anggota!C42)," ",Anggota!C42)</f>
        <v xml:space="preserve"> </v>
      </c>
      <c r="D43" s="4" t="str">
        <f>IFERROR(VLOOKUP(C43,Laporan!$C$8:$R$46,3,FALSE), " ")</f>
        <v xml:space="preserve"> </v>
      </c>
      <c r="E43" s="56" t="str">
        <f>IFERROR(VLOOKUP(C43,Laporan!$C$8:$R$46,4,FALSE), " ")</f>
        <v xml:space="preserve"> </v>
      </c>
      <c r="F43" s="5" t="str">
        <f t="shared" si="1"/>
        <v xml:space="preserve"> </v>
      </c>
      <c r="G43" s="5" t="str">
        <f t="shared" si="2"/>
        <v xml:space="preserve"> </v>
      </c>
      <c r="H43" s="61" t="str">
        <f>IFERROR(VLOOKUP(C43,Laporan!$C$8:$R$46,7,FALSE), " ")</f>
        <v xml:space="preserve"> </v>
      </c>
      <c r="I43" s="59" t="str">
        <f>IFERROR(VLOOKUP(C43,Laporan!$C$8:$R$46,8,FALSE), " ")</f>
        <v xml:space="preserve"> </v>
      </c>
      <c r="J43" s="60" t="str">
        <f>IFERROR(VLOOKUP(C43,Laporan!$C$8:$R$46,9,FALSE), " ")</f>
        <v xml:space="preserve"> </v>
      </c>
      <c r="K43" s="194" t="str">
        <f t="shared" si="3"/>
        <v xml:space="preserve"> </v>
      </c>
      <c r="L43" s="15" t="str">
        <f t="shared" si="4"/>
        <v xml:space="preserve"> </v>
      </c>
      <c r="M43" s="15"/>
      <c r="N43" s="194" t="str">
        <f>IFERROR(VLOOKUP(C43,Laporan!$C$8:$R$46,15,FALSE), " ")</f>
        <v xml:space="preserve"> </v>
      </c>
      <c r="O43" s="8" t="str">
        <f t="shared" si="9"/>
        <v xml:space="preserve"> </v>
      </c>
      <c r="P43" s="5" t="str">
        <f>IFERROR(G43*O43, " ")</f>
        <v xml:space="preserve"> </v>
      </c>
      <c r="Q43" s="5"/>
      <c r="R43" s="194" t="str">
        <f>IFERROR(VLOOKUP(C43,Laporan!$C$8:$R$46,15,FALSE), " ")</f>
        <v xml:space="preserve"> </v>
      </c>
      <c r="S43" s="8" t="str">
        <f>IFERROR(H43-K43-O43," ")</f>
        <v xml:space="preserve"> </v>
      </c>
      <c r="T43" s="15" t="str">
        <f>IFERROR(G43*S43, " ")</f>
        <v xml:space="preserve"> </v>
      </c>
      <c r="U43" s="5"/>
    </row>
    <row r="44" spans="1:21">
      <c r="A44" s="8" t="str">
        <f t="shared" si="10"/>
        <v xml:space="preserve"> </v>
      </c>
      <c r="B44" s="149" t="str">
        <f>IFERROR(VLOOKUP(C44,Anggota!$C$5:$P$112,3,FALSE), " ")</f>
        <v xml:space="preserve"> </v>
      </c>
      <c r="C44" s="8" t="str">
        <f>IF(ISBLANK(Anggota!C43)," ",Anggota!C43)</f>
        <v xml:space="preserve"> </v>
      </c>
      <c r="D44" s="4" t="str">
        <f>IFERROR(VLOOKUP(C44,Laporan!$C$8:$R$46,3,FALSE), " ")</f>
        <v xml:space="preserve"> </v>
      </c>
      <c r="E44" s="56" t="str">
        <f>IFERROR(VLOOKUP(C44,Laporan!$C$8:$R$46,4,FALSE), " ")</f>
        <v xml:space="preserve"> </v>
      </c>
      <c r="F44" s="5" t="str">
        <f t="shared" si="1"/>
        <v xml:space="preserve"> </v>
      </c>
      <c r="G44" s="5" t="str">
        <f t="shared" si="2"/>
        <v xml:space="preserve"> </v>
      </c>
      <c r="H44" s="61" t="str">
        <f>IFERROR(VLOOKUP(C44,Laporan!$C$8:$R$46,7,FALSE), " ")</f>
        <v xml:space="preserve"> </v>
      </c>
      <c r="I44" s="59" t="str">
        <f>IFERROR(VLOOKUP(C44,Laporan!$C$8:$R$46,8,FALSE), " ")</f>
        <v xml:space="preserve"> </v>
      </c>
      <c r="J44" s="60" t="str">
        <f>IFERROR(VLOOKUP(C44,Laporan!$C$8:$R$46,9,FALSE), " ")</f>
        <v xml:space="preserve"> </v>
      </c>
      <c r="K44" s="194" t="str">
        <f t="shared" si="3"/>
        <v xml:space="preserve"> </v>
      </c>
      <c r="L44" s="15" t="str">
        <f t="shared" si="4"/>
        <v xml:space="preserve"> </v>
      </c>
      <c r="M44" s="15"/>
      <c r="N44" s="194" t="str">
        <f>IFERROR(VLOOKUP(C44,Laporan!$C$8:$R$46,15,FALSE), " ")</f>
        <v xml:space="preserve"> </v>
      </c>
      <c r="O44" s="8" t="str">
        <f t="shared" si="9"/>
        <v xml:space="preserve"> </v>
      </c>
      <c r="P44" s="5" t="str">
        <f>IFERROR(G44*O44, " ")</f>
        <v xml:space="preserve"> </v>
      </c>
      <c r="Q44" s="5"/>
      <c r="R44" s="194" t="str">
        <f>IFERROR(VLOOKUP(C44,Laporan!$C$8:$R$46,15,FALSE), " ")</f>
        <v xml:space="preserve"> </v>
      </c>
      <c r="S44" s="8" t="str">
        <f>IFERROR(H44-K44-O44," ")</f>
        <v xml:space="preserve"> </v>
      </c>
      <c r="T44" s="15" t="str">
        <f>IFERROR(G44*S44, " ")</f>
        <v xml:space="preserve"> </v>
      </c>
      <c r="U44" s="5"/>
    </row>
    <row r="45" spans="1:21">
      <c r="A45" s="181" t="str">
        <f t="shared" si="10"/>
        <v xml:space="preserve"> </v>
      </c>
      <c r="B45" s="182" t="str">
        <f>IFERROR(VLOOKUP(C45,Anggota!$C$5:$P$43,3,FALSE), " ")</f>
        <v xml:space="preserve"> </v>
      </c>
      <c r="C45" s="181" t="str">
        <f>IF(ISBLANK(Anggota!C141)," ",Anggota!C141)</f>
        <v xml:space="preserve"> </v>
      </c>
      <c r="D45" s="180" t="str">
        <f>IFERROR(VLOOKUP(C45,Laporan!$C$8:$R$43,2,FALSE), " ")</f>
        <v xml:space="preserve"> </v>
      </c>
      <c r="E45" s="184" t="str">
        <f>IFERROR(VLOOKUP(C45,Laporan!$C$8:$R$43,3,FALSE), " ")</f>
        <v xml:space="preserve"> </v>
      </c>
      <c r="F45" s="185" t="str">
        <f>IFERROR(VLOOKUP(C45,Laporan!$C$8:$R$43,4,FALSE), " ")</f>
        <v xml:space="preserve"> </v>
      </c>
      <c r="G45" s="185" t="str">
        <f>IFERROR(VLOOKUP(C45,Laporan!$C$8:$R$43,5,FALSE), " ")</f>
        <v xml:space="preserve"> </v>
      </c>
      <c r="H45" s="186" t="str">
        <f>IFERROR(VLOOKUP(C45,Laporan!$C$8:$R$43,6,FALSE), " ")</f>
        <v xml:space="preserve"> </v>
      </c>
      <c r="I45" s="187" t="str">
        <f>IFERROR(VLOOKUP(C45,Laporan!$C$8:$R$43,7,FALSE), " ")</f>
        <v xml:space="preserve"> </v>
      </c>
      <c r="J45" s="188" t="str">
        <f>IFERROR(VLOOKUP(C45,Laporan!$C$8:$R$43,8,FALSE), " ")</f>
        <v xml:space="preserve"> </v>
      </c>
      <c r="K45" s="190" t="str">
        <f>IFERROR(MONTH($K$5-B45)-1," ")</f>
        <v xml:space="preserve"> </v>
      </c>
      <c r="M45" s="190"/>
      <c r="N45" s="190"/>
      <c r="R45" s="190"/>
    </row>
    <row r="46" spans="1:21" ht="15.75" thickBot="1">
      <c r="A46" s="195" t="str">
        <f t="shared" si="10"/>
        <v xml:space="preserve"> </v>
      </c>
      <c r="B46" s="196" t="str">
        <f>IFERROR(VLOOKUP(C46,Anggota!$C$5:$P$43,3,FALSE), " ")</f>
        <v xml:space="preserve"> </v>
      </c>
      <c r="C46" s="195" t="str">
        <f>IF(ISBLANK(Anggota!C142)," ",Anggota!C142)</f>
        <v xml:space="preserve"> </v>
      </c>
      <c r="D46" s="197" t="str">
        <f>IFERROR(VLOOKUP(C46,Laporan!$C$8:$R$43,2,FALSE), " ")</f>
        <v xml:space="preserve"> </v>
      </c>
      <c r="E46" s="204">
        <f>SUM(E6:E45)</f>
        <v>500000</v>
      </c>
      <c r="F46" s="198" t="str">
        <f>IFERROR(VLOOKUP(C46,Laporan!$C$8:$R$43,4,FALSE), " ")</f>
        <v xml:space="preserve"> </v>
      </c>
      <c r="G46" s="198" t="str">
        <f>IFERROR(VLOOKUP(C46,Laporan!$C$8:$R$43,5,FALSE), " ")</f>
        <v xml:space="preserve"> </v>
      </c>
      <c r="H46" s="199" t="str">
        <f>IFERROR(VLOOKUP(C46,Laporan!$C$8:$R$43,6,FALSE), " ")</f>
        <v xml:space="preserve"> </v>
      </c>
      <c r="I46" s="200" t="str">
        <f>IFERROR(VLOOKUP(C46,Laporan!$C$8:$R$43,7,FALSE), " ")</f>
        <v xml:space="preserve"> </v>
      </c>
      <c r="J46" s="201" t="str">
        <f>IFERROR(VLOOKUP(C46,Laporan!$C$8:$R$43,8,FALSE), " ")</f>
        <v xml:space="preserve"> </v>
      </c>
      <c r="K46" s="202" t="str">
        <f>IFERROR(MONTH($K$5-B46)," ")</f>
        <v xml:space="preserve"> </v>
      </c>
      <c r="L46" s="205">
        <f>SUM(L6:L45)</f>
        <v>0</v>
      </c>
      <c r="M46" s="205">
        <f>SUM(M6:M45)</f>
        <v>0</v>
      </c>
      <c r="N46" s="202"/>
      <c r="O46" s="195"/>
      <c r="P46" s="198">
        <f>SUM(P6:P45)</f>
        <v>0</v>
      </c>
      <c r="Q46" s="198">
        <f>SUM(Q6:Q45)</f>
        <v>0</v>
      </c>
      <c r="R46" s="202"/>
      <c r="S46" s="195"/>
      <c r="T46" s="203">
        <f>SUM(T6:T45)</f>
        <v>0</v>
      </c>
      <c r="U46" s="203">
        <f>SUM(U6:U45)</f>
        <v>0</v>
      </c>
    </row>
    <row r="47" spans="1:21" ht="15.75" thickTop="1">
      <c r="A47" s="181" t="str">
        <f t="shared" si="10"/>
        <v xml:space="preserve"> </v>
      </c>
      <c r="B47" s="182" t="str">
        <f>IFERROR(VLOOKUP(C47,Anggota!$C$5:$P$43,3,FALSE), " ")</f>
        <v xml:space="preserve"> </v>
      </c>
      <c r="C47" s="181" t="str">
        <f>IF(ISBLANK(Anggota!C143)," ",Anggota!C143)</f>
        <v xml:space="preserve"> </v>
      </c>
      <c r="D47" s="180" t="str">
        <f>IFERROR(VLOOKUP(C47,Laporan!$C$8:$R$43,2,FALSE), " ")</f>
        <v xml:space="preserve"> </v>
      </c>
      <c r="E47" s="184" t="str">
        <f>IFERROR(VLOOKUP(C47,Laporan!$C$8:$R$43,3,FALSE), " ")</f>
        <v xml:space="preserve"> </v>
      </c>
      <c r="F47" s="185" t="str">
        <f>IFERROR(VLOOKUP(C47,Laporan!$C$8:$R$43,4,FALSE), " ")</f>
        <v xml:space="preserve"> </v>
      </c>
      <c r="G47" s="185" t="str">
        <f>IFERROR(VLOOKUP(C47,Laporan!$C$8:$R$43,5,FALSE), " ")</f>
        <v xml:space="preserve"> </v>
      </c>
      <c r="H47" s="186" t="str">
        <f>IFERROR(VLOOKUP(C47,Laporan!$C$8:$R$43,6,FALSE), " ")</f>
        <v xml:space="preserve"> </v>
      </c>
      <c r="I47" s="187" t="str">
        <f>IFERROR(VLOOKUP(C47,Laporan!$C$8:$R$43,7,FALSE), " ")</f>
        <v xml:space="preserve"> </v>
      </c>
      <c r="J47" s="188" t="str">
        <f>IFERROR(VLOOKUP(C47,Laporan!$C$8:$R$43,8,FALSE), " ")</f>
        <v xml:space="preserve"> </v>
      </c>
      <c r="K47" s="190" t="str">
        <f>IFERROR(MONTH($K$5-B47)," ")</f>
        <v xml:space="preserve"> </v>
      </c>
      <c r="M47" s="190"/>
      <c r="N47" s="190"/>
      <c r="R47" s="190"/>
    </row>
    <row r="48" spans="1:21">
      <c r="A48" s="181" t="str">
        <f t="shared" si="10"/>
        <v xml:space="preserve"> </v>
      </c>
      <c r="B48" s="182" t="str">
        <f>IFERROR(VLOOKUP(C48,Anggota!$C$5:$P$43,3,FALSE), " ")</f>
        <v xml:space="preserve"> </v>
      </c>
      <c r="C48" s="181" t="str">
        <f>IF(ISBLANK(Anggota!C144)," ",Anggota!C144)</f>
        <v xml:space="preserve"> </v>
      </c>
      <c r="D48" s="180" t="str">
        <f>IFERROR(VLOOKUP(C48,Laporan!$C$8:$R$43,2,FALSE), " ")</f>
        <v xml:space="preserve"> </v>
      </c>
      <c r="E48" s="184" t="str">
        <f>IFERROR(VLOOKUP(C48,Laporan!$C$8:$R$43,3,FALSE), " ")</f>
        <v xml:space="preserve"> </v>
      </c>
      <c r="F48" s="185" t="str">
        <f>IFERROR(VLOOKUP(C48,Laporan!$C$8:$R$43,4,FALSE), " ")</f>
        <v xml:space="preserve"> </v>
      </c>
      <c r="G48" s="185" t="str">
        <f>IFERROR(VLOOKUP(C48,Laporan!$C$8:$R$43,5,FALSE), " ")</f>
        <v xml:space="preserve"> </v>
      </c>
      <c r="H48" s="186" t="str">
        <f>IFERROR(VLOOKUP(C48,Laporan!$C$8:$R$43,6,FALSE), " ")</f>
        <v xml:space="preserve"> </v>
      </c>
      <c r="I48" s="187" t="str">
        <f>IFERROR(VLOOKUP(C48,Laporan!$C$8:$R$43,7,FALSE), " ")</f>
        <v xml:space="preserve"> </v>
      </c>
      <c r="J48" s="188" t="str">
        <f>IFERROR(VLOOKUP(C48,Laporan!$C$8:$R$43,8,FALSE), " ")</f>
        <v xml:space="preserve"> </v>
      </c>
      <c r="K48" s="190" t="str">
        <f>IFERROR(MONTH($K$5-B48)," ")</f>
        <v xml:space="preserve"> </v>
      </c>
      <c r="M48" s="190"/>
      <c r="N48" s="190"/>
      <c r="R48" s="190"/>
    </row>
    <row r="49" spans="1:18">
      <c r="A49" s="181" t="str">
        <f t="shared" si="10"/>
        <v xml:space="preserve"> </v>
      </c>
      <c r="B49" s="182" t="str">
        <f>IFERROR(VLOOKUP(C49,Anggota!$C$5:$P$43,3,FALSE), " ")</f>
        <v xml:space="preserve"> </v>
      </c>
      <c r="C49" s="181" t="str">
        <f>IF(ISBLANK(Anggota!C145)," ",Anggota!C145)</f>
        <v xml:space="preserve"> </v>
      </c>
      <c r="D49" s="180" t="str">
        <f>IFERROR(VLOOKUP(C49,Laporan!$C$8:$R$43,2,FALSE), " ")</f>
        <v xml:space="preserve"> </v>
      </c>
      <c r="E49" s="184" t="str">
        <f>IFERROR(VLOOKUP(C49,Laporan!$C$8:$R$43,3,FALSE), " ")</f>
        <v xml:space="preserve"> </v>
      </c>
      <c r="F49" s="185" t="str">
        <f>IFERROR(VLOOKUP(C49,Laporan!$C$8:$R$43,4,FALSE), " ")</f>
        <v xml:space="preserve"> </v>
      </c>
      <c r="G49" s="185" t="str">
        <f>IFERROR(VLOOKUP(C49,Laporan!$C$8:$R$43,5,FALSE), " ")</f>
        <v xml:space="preserve"> </v>
      </c>
      <c r="H49" s="186" t="str">
        <f>IFERROR(VLOOKUP(C49,Laporan!$C$8:$R$43,6,FALSE), " ")</f>
        <v xml:space="preserve"> </v>
      </c>
      <c r="I49" s="187" t="str">
        <f>IFERROR(VLOOKUP(C49,Laporan!$C$8:$R$43,7,FALSE), " ")</f>
        <v xml:space="preserve"> </v>
      </c>
      <c r="J49" s="188" t="str">
        <f>IFERROR(VLOOKUP(C49,Laporan!$C$8:$R$43,8,FALSE), " ")</f>
        <v xml:space="preserve"> </v>
      </c>
      <c r="K49" s="190" t="str">
        <f>IFERROR(MONTH($K$5-B49)," ")</f>
        <v xml:space="preserve"> </v>
      </c>
      <c r="M49" s="190"/>
      <c r="N49" s="190"/>
      <c r="R49" s="190"/>
    </row>
  </sheetData>
  <mergeCells count="16">
    <mergeCell ref="S4:U4"/>
    <mergeCell ref="N4:N5"/>
    <mergeCell ref="R4:R5"/>
    <mergeCell ref="H4:H5"/>
    <mergeCell ref="A1:O1"/>
    <mergeCell ref="A2:O2"/>
    <mergeCell ref="B4:B5"/>
    <mergeCell ref="K4:M4"/>
    <mergeCell ref="O4:Q4"/>
    <mergeCell ref="I4:I5"/>
    <mergeCell ref="J4:J5"/>
    <mergeCell ref="A4:A5"/>
    <mergeCell ref="C4:C5"/>
    <mergeCell ref="D4:D5"/>
    <mergeCell ref="E4:E5"/>
    <mergeCell ref="F4:G4"/>
  </mergeCells>
  <pageMargins left="0.7" right="0.7" top="0.75" bottom="0.75" header="0.3" footer="0.3"/>
  <pageSetup paperSize="9" orientation="portrait" horizontalDpi="180"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75"/>
  <sheetViews>
    <sheetView tabSelected="1" workbookViewId="0">
      <selection activeCell="D2" sqref="D2:E2"/>
    </sheetView>
  </sheetViews>
  <sheetFormatPr defaultRowHeight="15"/>
  <cols>
    <col min="1" max="1" width="3.140625" customWidth="1"/>
    <col min="2" max="2" width="6.42578125" customWidth="1"/>
    <col min="3" max="3" width="0.85546875" customWidth="1"/>
    <col min="4" max="4" width="10.7109375" customWidth="1"/>
    <col min="5" max="5" width="21.42578125" customWidth="1"/>
    <col min="6" max="6" width="19.5703125" customWidth="1"/>
    <col min="7" max="7" width="9" style="62" customWidth="1"/>
    <col min="8" max="8" width="15.7109375" customWidth="1"/>
    <col min="9" max="9" width="17" bestFit="1" customWidth="1"/>
    <col min="10" max="10" width="17" customWidth="1"/>
    <col min="11" max="11" width="1.85546875" customWidth="1"/>
    <col min="12" max="12" width="2" customWidth="1"/>
    <col min="13" max="13" width="6.42578125" customWidth="1"/>
    <col min="14" max="14" width="0.85546875" customWidth="1"/>
    <col min="15" max="15" width="10.7109375" customWidth="1"/>
    <col min="16" max="16" width="21.42578125" customWidth="1"/>
    <col min="17" max="17" width="24.42578125" customWidth="1"/>
    <col min="18" max="18" width="9" customWidth="1"/>
    <col min="19" max="19" width="15.7109375" customWidth="1"/>
    <col min="20" max="20" width="18.28515625" bestFit="1" customWidth="1"/>
    <col min="21" max="21" width="14.28515625" customWidth="1"/>
  </cols>
  <sheetData>
    <row r="1" spans="2:21" ht="15.75">
      <c r="B1" s="456" t="s">
        <v>32</v>
      </c>
      <c r="C1" s="456"/>
      <c r="D1" s="456"/>
      <c r="E1" s="456"/>
      <c r="F1" s="456"/>
      <c r="G1" s="456"/>
      <c r="H1" s="456"/>
      <c r="I1" s="456"/>
      <c r="J1" s="218"/>
      <c r="M1" s="456" t="s">
        <v>32</v>
      </c>
      <c r="N1" s="456"/>
      <c r="O1" s="456"/>
      <c r="P1" s="456"/>
      <c r="Q1" s="456"/>
      <c r="R1" s="456"/>
      <c r="S1" s="456"/>
      <c r="T1" s="456"/>
    </row>
    <row r="2" spans="2:21">
      <c r="B2" t="s">
        <v>33</v>
      </c>
      <c r="C2" t="s">
        <v>23</v>
      </c>
      <c r="D2" s="458" t="s">
        <v>142</v>
      </c>
      <c r="E2" s="458"/>
      <c r="M2" t="s">
        <v>33</v>
      </c>
      <c r="N2" t="s">
        <v>23</v>
      </c>
      <c r="O2" s="458" t="s">
        <v>84</v>
      </c>
      <c r="P2" s="458"/>
      <c r="R2" s="62"/>
    </row>
    <row r="3" spans="2:21" ht="8.25" customHeight="1">
      <c r="D3" s="62"/>
      <c r="O3" s="62"/>
      <c r="R3" s="62"/>
    </row>
    <row r="4" spans="2:21" ht="2.25" customHeight="1">
      <c r="R4" s="62"/>
    </row>
    <row r="5" spans="2:21" ht="31.5" customHeight="1">
      <c r="B5" s="459" t="s">
        <v>0</v>
      </c>
      <c r="C5" s="459"/>
      <c r="D5" s="70" t="s">
        <v>15</v>
      </c>
      <c r="E5" s="63" t="s">
        <v>14</v>
      </c>
      <c r="F5" s="69" t="s">
        <v>39</v>
      </c>
      <c r="G5" s="70" t="s">
        <v>3</v>
      </c>
      <c r="H5" s="69" t="s">
        <v>37</v>
      </c>
      <c r="I5" s="63" t="s">
        <v>38</v>
      </c>
      <c r="J5" s="216" t="s">
        <v>118</v>
      </c>
      <c r="M5" s="459" t="s">
        <v>0</v>
      </c>
      <c r="N5" s="459"/>
      <c r="O5" s="70" t="s">
        <v>15</v>
      </c>
      <c r="P5" s="157" t="s">
        <v>14</v>
      </c>
      <c r="Q5" s="157" t="s">
        <v>39</v>
      </c>
      <c r="R5" s="70" t="s">
        <v>3</v>
      </c>
      <c r="S5" s="157" t="s">
        <v>37</v>
      </c>
      <c r="T5" s="157" t="s">
        <v>38</v>
      </c>
      <c r="U5" s="216" t="s">
        <v>118</v>
      </c>
    </row>
    <row r="6" spans="2:21">
      <c r="B6" s="451">
        <f>IF(D6="","",ROW()-5)</f>
        <v>1</v>
      </c>
      <c r="C6" s="452"/>
      <c r="D6" s="8" t="s">
        <v>150</v>
      </c>
      <c r="E6" s="35" t="str">
        <f>IF(ISBLANK(D6)," ",VLOOKUP(D6,Anggota!$C$5:$P$141,2,FALSE))</f>
        <v>Anggota</v>
      </c>
      <c r="F6" s="35" t="str">
        <f>IF(ISBLANK(D6)," ",VLOOKUP(D6,Anggota!C5:P40,4,FALSE))</f>
        <v>A</v>
      </c>
      <c r="G6" s="8">
        <f>IF(ISBLANK(D6)," ",VLOOKUP(D6,Anggota!C5:P40,5,FALSE))</f>
        <v>0</v>
      </c>
      <c r="H6" s="15">
        <f>IF(ISBLANK(D6)," ",VLOOKUP(D6,Anggota!$C$5:$P$141,8,FALSE))</f>
        <v>500000</v>
      </c>
      <c r="I6" s="15">
        <f>IF(ISBLANK(D6)," ",VLOOKUP(D6,Anggota!$C$5:$P$141,11,FALSE))</f>
        <v>112500</v>
      </c>
      <c r="J6" s="216" t="str">
        <f>IF(ISBLANK(D6)," ",VLOOKUP(D6,Laporan!$C$8:$R$43,15,FALSE))</f>
        <v>Belum Lunas</v>
      </c>
      <c r="L6" s="71"/>
      <c r="M6" s="451">
        <f>IF(O6="","",ROW()-5)</f>
        <v>1</v>
      </c>
      <c r="N6" s="452"/>
      <c r="O6" s="342" t="s">
        <v>143</v>
      </c>
      <c r="P6" s="35" t="e">
        <f>IF(ISBLANK(O6)," ",VLOOKUP(O6,Anggota!$C$5:$P$141,2,FALSE))</f>
        <v>#N/A</v>
      </c>
      <c r="Q6" s="35" t="e">
        <f>IF(ISBLANK(O6)," ",VLOOKUP(O6,Anggota!C5:P40,4,FALSE))</f>
        <v>#N/A</v>
      </c>
      <c r="R6" s="8" t="e">
        <f>IF(ISBLANK(O6)," ",VLOOKUP(O6,Anggota!C5:P40,5,FALSE))</f>
        <v>#N/A</v>
      </c>
      <c r="S6" s="15" t="e">
        <f>IF(ISBLANK(O6)," ",VLOOKUP(O6,Anggota!$C$5:$P$141,8,FALSE))</f>
        <v>#N/A</v>
      </c>
      <c r="T6" s="15" t="e">
        <f>IF(ISBLANK(O6)," ",VLOOKUP(O6,Anggota!$C$5:$P$141,11,FALSE))</f>
        <v>#N/A</v>
      </c>
      <c r="U6" s="216" t="e">
        <f>IF(ISBLANK(O6)," ",VLOOKUP(O6,Laporan!$C$8:$R$43,15,FALSE))</f>
        <v>#N/A</v>
      </c>
    </row>
    <row r="7" spans="2:21">
      <c r="B7" s="451" t="str">
        <f t="shared" ref="B7:B12" si="0">IF(D7="","",ROW()-5)</f>
        <v/>
      </c>
      <c r="C7" s="452"/>
      <c r="D7" s="8"/>
      <c r="E7" s="35" t="str">
        <f>IF(ISBLANK(D7)," ",VLOOKUP(D7,Anggota!$C$5:$P$141,2,FALSE))</f>
        <v xml:space="preserve"> </v>
      </c>
      <c r="F7" s="35" t="str">
        <f>IF(ISBLANK(D7)," ",VLOOKUP(D7,Anggota!C6:P40,4,FALSE))</f>
        <v xml:space="preserve"> </v>
      </c>
      <c r="G7" s="8" t="str">
        <f>IF(ISBLANK(D7)," ",VLOOKUP(D7,Anggota!C6:P40,5,FALSE))</f>
        <v xml:space="preserve"> </v>
      </c>
      <c r="H7" s="15" t="str">
        <f>IF(ISBLANK(D7)," ",VLOOKUP(D7,Anggota!$C$5:$P$141,8,FALSE))</f>
        <v xml:space="preserve"> </v>
      </c>
      <c r="I7" s="15" t="str">
        <f>IF(ISBLANK(D7)," ",VLOOKUP(D7,Anggota!$C$5:$P$141,11,FALSE))</f>
        <v xml:space="preserve"> </v>
      </c>
      <c r="J7" s="216" t="str">
        <f>IF(ISBLANK(D7)," ",VLOOKUP(D7,Laporan!$C$8:$R$43,15,FALSE))</f>
        <v xml:space="preserve"> </v>
      </c>
      <c r="L7" s="71"/>
      <c r="M7" s="460" t="str">
        <f t="shared" ref="M7:M13" si="1">IF(O7="","",ROW()-5)</f>
        <v/>
      </c>
      <c r="N7" s="461"/>
      <c r="O7" s="344"/>
      <c r="P7" s="252" t="str">
        <f>IF(ISBLANK(O7)," ",VLOOKUP(O7,Anggota!$C$5:$P$141,2,FALSE))</f>
        <v xml:space="preserve"> </v>
      </c>
      <c r="Q7" s="252" t="str">
        <f>IF(ISBLANK(O7)," ",VLOOKUP(O7,Anggota!C6:P40,4,FALSE))</f>
        <v xml:space="preserve"> </v>
      </c>
      <c r="R7" s="251" t="str">
        <f>IF(ISBLANK(O7)," ",VLOOKUP(O7,Anggota!C6:P40,5,FALSE))</f>
        <v xml:space="preserve"> </v>
      </c>
      <c r="S7" s="253" t="str">
        <f>IF(ISBLANK(O7)," ",VLOOKUP(O7,Anggota!$C$5:$P$141,8,FALSE))</f>
        <v xml:space="preserve"> </v>
      </c>
      <c r="T7" s="253" t="str">
        <f>IF(ISBLANK(O7)," ",VLOOKUP(O7,Anggota!$C$5:$P$141,11,FALSE))</f>
        <v xml:space="preserve"> </v>
      </c>
      <c r="U7" s="254" t="str">
        <f>IF(ISBLANK(O7)," ",VLOOKUP(O7,Laporan!$C$8:$R$43,15,FALSE))</f>
        <v xml:space="preserve"> </v>
      </c>
    </row>
    <row r="8" spans="2:21">
      <c r="B8" s="451" t="str">
        <f t="shared" si="0"/>
        <v/>
      </c>
      <c r="C8" s="452"/>
      <c r="D8" s="8"/>
      <c r="E8" s="35" t="str">
        <f>IF(ISBLANK(D8)," ",VLOOKUP(D8,Anggota!$C$5:$P$141,2,FALSE))</f>
        <v xml:space="preserve"> </v>
      </c>
      <c r="F8" s="35" t="str">
        <f>IF(ISBLANK(D8)," ",VLOOKUP(D8,Anggota!C7:P40,4,FALSE))</f>
        <v xml:space="preserve"> </v>
      </c>
      <c r="G8" s="8" t="str">
        <f>IF(ISBLANK(D8)," ",VLOOKUP(D8,Anggota!C7:P40,5,FALSE))</f>
        <v xml:space="preserve"> </v>
      </c>
      <c r="H8" s="15" t="str">
        <f>IF(ISBLANK(D8)," ",VLOOKUP(D8,Anggota!$C$5:$P$141,8,FALSE))</f>
        <v xml:space="preserve"> </v>
      </c>
      <c r="I8" s="15" t="str">
        <f>IF(ISBLANK(D8)," ",VLOOKUP(D8,Anggota!$C$5:$P$141,11,FALSE))</f>
        <v xml:space="preserve"> </v>
      </c>
      <c r="J8" s="216" t="str">
        <f>IF(ISBLANK(D8)," ",VLOOKUP(D8,Laporan!$C$8:$R$43,15,FALSE))</f>
        <v xml:space="preserve"> </v>
      </c>
      <c r="L8" s="71"/>
      <c r="M8" s="451" t="str">
        <f t="shared" si="1"/>
        <v/>
      </c>
      <c r="N8" s="452"/>
      <c r="O8" s="342"/>
      <c r="P8" s="35" t="str">
        <f>IF(ISBLANK(O8)," ",VLOOKUP(O8,Anggota!$C$5:$P$141,2,FALSE))</f>
        <v xml:space="preserve"> </v>
      </c>
      <c r="Q8" s="35" t="str">
        <f>IF(ISBLANK(O8)," ",VLOOKUP(O8,Anggota!C7:P40,4,FALSE))</f>
        <v xml:space="preserve"> </v>
      </c>
      <c r="R8" s="8" t="str">
        <f>IF(ISBLANK(O8)," ",VLOOKUP(O8,Anggota!C7:P40,5,FALSE))</f>
        <v xml:space="preserve"> </v>
      </c>
      <c r="S8" s="15" t="str">
        <f>IF(ISBLANK(O8)," ",VLOOKUP(O8,Anggota!$C$5:$P$141,8,FALSE))</f>
        <v xml:space="preserve"> </v>
      </c>
      <c r="T8" s="15" t="str">
        <f>IF(ISBLANK(O8)," ",VLOOKUP(O8,Anggota!$C$5:$P$141,11,FALSE))</f>
        <v xml:space="preserve"> </v>
      </c>
      <c r="U8" s="263" t="str">
        <f>IF(ISBLANK(O8)," ",VLOOKUP(O8,Laporan!$C$8:$R$43,15,FALSE))</f>
        <v xml:space="preserve"> </v>
      </c>
    </row>
    <row r="9" spans="2:21">
      <c r="B9" s="451" t="str">
        <f t="shared" si="0"/>
        <v/>
      </c>
      <c r="C9" s="452"/>
      <c r="D9" s="8"/>
      <c r="E9" s="35" t="str">
        <f>IF(ISBLANK(D9)," ",VLOOKUP(D9,Anggota!$C$5:$P$141,2,FALSE))</f>
        <v xml:space="preserve"> </v>
      </c>
      <c r="F9" s="35" t="str">
        <f>IF(ISBLANK(D9)," ",VLOOKUP(D9,Anggota!C8:P40,4,FALSE))</f>
        <v xml:space="preserve"> </v>
      </c>
      <c r="G9" s="8" t="str">
        <f>IF(ISBLANK(D9)," ",VLOOKUP(D9,Anggota!C8:P40,5,FALSE))</f>
        <v xml:space="preserve"> </v>
      </c>
      <c r="H9" s="15" t="str">
        <f>IF(ISBLANK(D9)," ",VLOOKUP(D9,Anggota!$C$5:$P$141,8,FALSE))</f>
        <v xml:space="preserve"> </v>
      </c>
      <c r="I9" s="15" t="str">
        <f>IF(ISBLANK(D9)," ",VLOOKUP(D9,Anggota!$C$5:$P$141,11,FALSE))</f>
        <v xml:space="preserve"> </v>
      </c>
      <c r="J9" s="216" t="str">
        <f>IF(ISBLANK(D9)," ",VLOOKUP(D9,Laporan!$C$8:$R$43,15,FALSE))</f>
        <v xml:space="preserve"> </v>
      </c>
      <c r="L9" s="71"/>
      <c r="M9" s="460" t="str">
        <f t="shared" si="1"/>
        <v/>
      </c>
      <c r="N9" s="461"/>
      <c r="O9" s="344"/>
      <c r="P9" s="252" t="str">
        <f>IF(ISBLANK(O9)," ",VLOOKUP(O9,Anggota!$C$5:$P$141,2,FALSE))</f>
        <v xml:space="preserve"> </v>
      </c>
      <c r="Q9" s="252" t="str">
        <f>IF(ISBLANK(O9)," ",VLOOKUP(O9,Anggota!C8:P40,4,FALSE))</f>
        <v xml:space="preserve"> </v>
      </c>
      <c r="R9" s="251" t="str">
        <f>IF(ISBLANK(O9)," ",VLOOKUP(O9,Anggota!C8:P40,5,FALSE))</f>
        <v xml:space="preserve"> </v>
      </c>
      <c r="S9" s="253" t="str">
        <f>IF(ISBLANK(O9)," ",VLOOKUP(O9,Anggota!$C$5:$P$141,8,FALSE))</f>
        <v xml:space="preserve"> </v>
      </c>
      <c r="T9" s="253" t="str">
        <f>IF(ISBLANK(O9)," ",VLOOKUP(O9,Anggota!$C$5:$P$141,11,FALSE))</f>
        <v xml:space="preserve"> </v>
      </c>
      <c r="U9" s="254" t="str">
        <f>IF(ISBLANK(O9)," ",VLOOKUP(O9,Laporan!$C$8:$R$43,15,FALSE))</f>
        <v xml:space="preserve"> </v>
      </c>
    </row>
    <row r="10" spans="2:21">
      <c r="B10" s="451" t="str">
        <f t="shared" si="0"/>
        <v/>
      </c>
      <c r="C10" s="452"/>
      <c r="D10" s="8"/>
      <c r="E10" s="35" t="str">
        <f>IF(ISBLANK(D10)," ",VLOOKUP(D10,Anggota!$C$5:$P$141,2,FALSE))</f>
        <v xml:space="preserve"> </v>
      </c>
      <c r="F10" s="35" t="str">
        <f>IF(ISBLANK(D10)," ",VLOOKUP(D10,Anggota!C9:P40,4,FALSE))</f>
        <v xml:space="preserve"> </v>
      </c>
      <c r="G10" s="8" t="str">
        <f>IF(ISBLANK(D10)," ",VLOOKUP(D10,Anggota!C9:P40,5,FALSE))</f>
        <v xml:space="preserve"> </v>
      </c>
      <c r="H10" s="15" t="str">
        <f>IF(ISBLANK(D10)," ",VLOOKUP(D10,Anggota!$C$5:$P$141,8,FALSE))</f>
        <v xml:space="preserve"> </v>
      </c>
      <c r="I10" s="15" t="str">
        <f>IF(ISBLANK(D10)," ",VLOOKUP(D10,Anggota!$C$5:$P$141,11,FALSE))</f>
        <v xml:space="preserve"> </v>
      </c>
      <c r="J10" s="216" t="str">
        <f>IF(ISBLANK(D10)," ",VLOOKUP(D10,Laporan!$C$8:$R$43,15,FALSE))</f>
        <v xml:space="preserve"> </v>
      </c>
      <c r="L10" s="71"/>
      <c r="M10" s="462" t="str">
        <f t="shared" si="1"/>
        <v/>
      </c>
      <c r="N10" s="463"/>
      <c r="O10" s="345"/>
      <c r="P10" s="243" t="str">
        <f>IF(ISBLANK(O10)," ",VLOOKUP(O10,Anggota!$C$5:$P$141,2,FALSE))</f>
        <v xml:space="preserve"> </v>
      </c>
      <c r="Q10" s="243" t="str">
        <f>IF(ISBLANK(O10)," ",VLOOKUP(O10,Anggota!C9:P40,4,FALSE))</f>
        <v xml:space="preserve"> </v>
      </c>
      <c r="R10" s="242" t="str">
        <f>IF(ISBLANK(O10)," ",VLOOKUP(O10,Anggota!C9:P40,5,FALSE))</f>
        <v xml:space="preserve"> </v>
      </c>
      <c r="S10" s="244" t="str">
        <f>IF(ISBLANK(O10)," ",VLOOKUP(O10,Anggota!$C$5:$P$141,8,FALSE))</f>
        <v xml:space="preserve"> </v>
      </c>
      <c r="T10" s="244" t="str">
        <f>IF(ISBLANK(O10)," ",VLOOKUP(O10,Anggota!$C$5:$P$141,11,FALSE))</f>
        <v xml:space="preserve"> </v>
      </c>
      <c r="U10" s="245" t="str">
        <f>IF(ISBLANK(O10)," ",VLOOKUP(O10,Laporan!$C$8:$R$43,15,FALSE))</f>
        <v xml:space="preserve"> </v>
      </c>
    </row>
    <row r="11" spans="2:21">
      <c r="B11" s="451" t="str">
        <f t="shared" si="0"/>
        <v/>
      </c>
      <c r="C11" s="452"/>
      <c r="D11" s="8"/>
      <c r="E11" s="35" t="str">
        <f>IF(ISBLANK(D11)," ",VLOOKUP(D11,Anggota!$C$5:$P$141,2,FALSE))</f>
        <v xml:space="preserve"> </v>
      </c>
      <c r="F11" s="35" t="str">
        <f>IF(ISBLANK(D11)," ",VLOOKUP(D11,Anggota!C10:P40,4,FALSE))</f>
        <v xml:space="preserve"> </v>
      </c>
      <c r="G11" s="8" t="str">
        <f>IF(ISBLANK(D11)," ",VLOOKUP(D11,Anggota!C10:P40,5,FALSE))</f>
        <v xml:space="preserve"> </v>
      </c>
      <c r="H11" s="15" t="str">
        <f>IF(ISBLANK(D11)," ",VLOOKUP(D11,Anggota!$C$5:$P$141,8,FALSE))</f>
        <v xml:space="preserve"> </v>
      </c>
      <c r="I11" s="15" t="str">
        <f>IF(ISBLANK(D11)," ",VLOOKUP(D11,Anggota!$C$5:$P$141,11,FALSE))</f>
        <v xml:space="preserve"> </v>
      </c>
      <c r="J11" s="216" t="str">
        <f>IF(ISBLANK(D11)," ",VLOOKUP(D11,Laporan!$C$8:$R$43,15,FALSE))</f>
        <v xml:space="preserve"> </v>
      </c>
      <c r="L11" s="71"/>
      <c r="M11" s="451" t="str">
        <f t="shared" si="1"/>
        <v/>
      </c>
      <c r="N11" s="452"/>
      <c r="O11" s="342"/>
      <c r="P11" s="35" t="str">
        <f>IF(ISBLANK(O11)," ",VLOOKUP(O11,Anggota!$C$5:$P$141,2,FALSE))</f>
        <v xml:space="preserve"> </v>
      </c>
      <c r="Q11" s="35" t="str">
        <f>IF(ISBLANK(O11)," ",VLOOKUP(O11,Anggota!C10:P40,4,FALSE))</f>
        <v xml:space="preserve"> </v>
      </c>
      <c r="R11" s="8" t="str">
        <f>IF(ISBLANK(O11)," ",VLOOKUP(O11,Anggota!C10:P40,5,FALSE))</f>
        <v xml:space="preserve"> </v>
      </c>
      <c r="S11" s="15" t="str">
        <f>IF(ISBLANK(O11)," ",VLOOKUP(O11,Anggota!$C$5:$P$141,8,FALSE))</f>
        <v xml:space="preserve"> </v>
      </c>
      <c r="T11" s="15" t="str">
        <f>IF(ISBLANK(O11)," ",VLOOKUP(O11,Anggota!$C$5:$P$141,11,FALSE))</f>
        <v xml:space="preserve"> </v>
      </c>
      <c r="U11" s="263" t="str">
        <f>IF(ISBLANK(O11)," ",VLOOKUP(O11,Laporan!$C$8:$R$43,15,FALSE))</f>
        <v xml:space="preserve"> </v>
      </c>
    </row>
    <row r="12" spans="2:21">
      <c r="B12" s="451" t="str">
        <f t="shared" si="0"/>
        <v/>
      </c>
      <c r="C12" s="452"/>
      <c r="D12" s="8"/>
      <c r="E12" s="35" t="str">
        <f>IF(ISBLANK(D12)," ",VLOOKUP(D12,Anggota!$C$5:$P$141,2,FALSE))</f>
        <v xml:space="preserve"> </v>
      </c>
      <c r="F12" s="35" t="str">
        <f>IF(ISBLANK(D12)," ",VLOOKUP(D12,Anggota!C11:P40,4,FALSE))</f>
        <v xml:space="preserve"> </v>
      </c>
      <c r="G12" s="8" t="str">
        <f>IF(ISBLANK(D12)," ",VLOOKUP(D12,Anggota!C11:P40,5,FALSE))</f>
        <v xml:space="preserve"> </v>
      </c>
      <c r="H12" s="15" t="str">
        <f>IF(ISBLANK(D12)," ",VLOOKUP(D12,Anggota!$C$5:$P$141,8,FALSE))</f>
        <v xml:space="preserve"> </v>
      </c>
      <c r="I12" s="15" t="str">
        <f>IF(ISBLANK(D12)," ",VLOOKUP(D12,Anggota!$C$5:$P$141,11,FALSE))</f>
        <v xml:space="preserve"> </v>
      </c>
      <c r="J12" s="216" t="str">
        <f>IF(ISBLANK(D12)," ",VLOOKUP(D12,Laporan!$C$8:$R$43,15,FALSE))</f>
        <v xml:space="preserve"> </v>
      </c>
      <c r="L12" s="71"/>
      <c r="M12" s="451" t="str">
        <f t="shared" si="1"/>
        <v/>
      </c>
      <c r="N12" s="452"/>
      <c r="O12" s="342"/>
      <c r="P12" s="35" t="str">
        <f>IF(ISBLANK(O12)," ",VLOOKUP(O12,Anggota!$C$5:$P$141,2,FALSE))</f>
        <v xml:space="preserve"> </v>
      </c>
      <c r="Q12" s="35" t="str">
        <f>IF(ISBLANK(O12)," ",VLOOKUP(O12,Anggota!C11:P40,4,FALSE))</f>
        <v xml:space="preserve"> </v>
      </c>
      <c r="R12" s="8" t="str">
        <f>IF(ISBLANK(O12)," ",VLOOKUP(O12,Anggota!C11:P40,5,FALSE))</f>
        <v xml:space="preserve"> </v>
      </c>
      <c r="S12" s="15" t="str">
        <f>IF(ISBLANK(O12)," ",VLOOKUP(O12,Anggota!$C$5:$P$141,8,FALSE))</f>
        <v xml:space="preserve"> </v>
      </c>
      <c r="T12" s="15" t="str">
        <f>IF(ISBLANK(O12)," ",VLOOKUP(O12,Anggota!$C$5:$P$141,11,FALSE))</f>
        <v xml:space="preserve"> </v>
      </c>
      <c r="U12" s="216" t="str">
        <f>IF(ISBLANK(O12)," ",VLOOKUP(O12,Laporan!$C$8:$R$43,15,FALSE))</f>
        <v xml:space="preserve"> </v>
      </c>
    </row>
    <row r="13" spans="2:21">
      <c r="B13" s="451" t="str">
        <f>IF(D13="","",ROW()-5)</f>
        <v/>
      </c>
      <c r="C13" s="452"/>
      <c r="D13" s="8"/>
      <c r="E13" s="35" t="str">
        <f>IF(ISBLANK(D13)," ",VLOOKUP(D13,Anggota!$C$5:$P$141,2,FALSE))</f>
        <v xml:space="preserve"> </v>
      </c>
      <c r="F13" s="35" t="str">
        <f>IF(ISBLANK(D13)," ",VLOOKUP(D13,Anggota!C12:P40,4,FALSE))</f>
        <v xml:space="preserve"> </v>
      </c>
      <c r="G13" s="8" t="str">
        <f>IF(ISBLANK(D13)," ",VLOOKUP(D13,Anggota!C12:P40,5,FALSE))</f>
        <v xml:space="preserve"> </v>
      </c>
      <c r="H13" s="15" t="str">
        <f>IF(ISBLANK(D13)," ",VLOOKUP(D13,Anggota!$C$5:$P$141,8,FALSE))</f>
        <v xml:space="preserve"> </v>
      </c>
      <c r="I13" s="15" t="str">
        <f>IF(ISBLANK(D13)," ",VLOOKUP(D13,Anggota!$C$5:$P$141,11,FALSE))</f>
        <v xml:space="preserve"> </v>
      </c>
      <c r="J13" s="216" t="str">
        <f>IF(ISBLANK(D13)," ",VLOOKUP(D13,Laporan!$C$8:$R$43,15,FALSE))</f>
        <v xml:space="preserve"> </v>
      </c>
      <c r="L13" s="71"/>
      <c r="M13" s="451" t="str">
        <f t="shared" si="1"/>
        <v/>
      </c>
      <c r="N13" s="452"/>
      <c r="O13" s="342"/>
      <c r="P13" s="35" t="str">
        <f>IF(ISBLANK(O13)," ",VLOOKUP(O13,Anggota!$C$5:$P$141,2,FALSE))</f>
        <v xml:space="preserve"> </v>
      </c>
      <c r="Q13" s="35" t="str">
        <f>IF(ISBLANK(O13)," ",VLOOKUP(O13,Anggota!C12:P40,4,FALSE))</f>
        <v xml:space="preserve"> </v>
      </c>
      <c r="R13" s="8" t="str">
        <f>IF(ISBLANK(O13)," ",VLOOKUP(O13,Anggota!C12:P40,5,FALSE))</f>
        <v xml:space="preserve"> </v>
      </c>
      <c r="S13" s="15" t="str">
        <f>IF(ISBLANK(O13)," ",VLOOKUP(O13,Anggota!$C$5:$P$141,8,FALSE))</f>
        <v xml:space="preserve"> </v>
      </c>
      <c r="T13" s="15" t="str">
        <f>IF(ISBLANK(O13)," ",VLOOKUP(O13,Anggota!$C$5:$P$141,11,FALSE))</f>
        <v xml:space="preserve"> </v>
      </c>
      <c r="U13" s="216" t="str">
        <f>IF(ISBLANK(O13)," ",VLOOKUP(O13,Laporan!$C$8:$R$43,15,FALSE))</f>
        <v xml:space="preserve"> </v>
      </c>
    </row>
    <row r="14" spans="2:21">
      <c r="B14" s="451" t="s">
        <v>34</v>
      </c>
      <c r="C14" s="453"/>
      <c r="D14" s="453"/>
      <c r="E14" s="453"/>
      <c r="F14" s="452"/>
      <c r="G14" s="158"/>
      <c r="H14" s="15">
        <f>SUM(H6:H13)</f>
        <v>500000</v>
      </c>
      <c r="I14" s="166">
        <f>SUM(I6:I13)</f>
        <v>112500</v>
      </c>
      <c r="J14" s="219"/>
      <c r="L14" s="71"/>
      <c r="M14" s="462" t="str">
        <f t="shared" ref="M14:M22" si="2">IF(O14="","",ROW()-5)</f>
        <v/>
      </c>
      <c r="N14" s="463"/>
      <c r="O14" s="345"/>
      <c r="P14" s="243" t="str">
        <f>IF(ISBLANK(O14)," ",VLOOKUP(O14,Anggota!$C$5:$P$141,2,FALSE))</f>
        <v xml:space="preserve"> </v>
      </c>
      <c r="Q14" s="243" t="str">
        <f>IF(ISBLANK(O14)," ",VLOOKUP(O14,Anggota!C13:P40,4,FALSE))</f>
        <v xml:space="preserve"> </v>
      </c>
      <c r="R14" s="242" t="str">
        <f>IF(ISBLANK(O14)," ",VLOOKUP(O14,Anggota!C13:P40,5,FALSE))</f>
        <v xml:space="preserve"> </v>
      </c>
      <c r="S14" s="244" t="str">
        <f>IF(ISBLANK(O14)," ",VLOOKUP(O14,Anggota!$C$5:$P$141,8,FALSE))</f>
        <v xml:space="preserve"> </v>
      </c>
      <c r="T14" s="244" t="str">
        <f>IF(ISBLANK(O14)," ",VLOOKUP(O14,Anggota!$C$5:$P$141,11,FALSE))</f>
        <v xml:space="preserve"> </v>
      </c>
      <c r="U14" s="245" t="str">
        <f>IF(ISBLANK(O14)," ",VLOOKUP(O14,Laporan!$C$8:$R$43,15,FALSE))</f>
        <v xml:space="preserve"> </v>
      </c>
    </row>
    <row r="15" spans="2:21">
      <c r="L15" s="71"/>
      <c r="M15" s="462" t="str">
        <f t="shared" si="2"/>
        <v/>
      </c>
      <c r="N15" s="463"/>
      <c r="O15" s="345"/>
      <c r="P15" s="243" t="str">
        <f>IF(ISBLANK(O15)," ",VLOOKUP(O15,Anggota!$C$5:$P$141,2,FALSE))</f>
        <v xml:space="preserve"> </v>
      </c>
      <c r="Q15" s="243" t="str">
        <f>IF(ISBLANK(O15)," ",VLOOKUP(O15,Anggota!C14:P40,4,FALSE))</f>
        <v xml:space="preserve"> </v>
      </c>
      <c r="R15" s="242" t="str">
        <f>IF(ISBLANK(O15)," ",VLOOKUP(O15,Anggota!C14:P40,5,FALSE))</f>
        <v xml:space="preserve"> </v>
      </c>
      <c r="S15" s="244" t="str">
        <f>IF(ISBLANK(O15)," ",VLOOKUP(O15,Anggota!$C$5:$P$141,8,FALSE))</f>
        <v xml:space="preserve"> </v>
      </c>
      <c r="T15" s="244" t="str">
        <f>IF(ISBLANK(O15)," ",VLOOKUP(O15,Anggota!$C$5:$P$141,11,FALSE))</f>
        <v xml:space="preserve"> </v>
      </c>
      <c r="U15" s="245" t="str">
        <f>IF(ISBLANK(O15)," ",VLOOKUP(O15,Laporan!$C$8:$R$43,15,FALSE))</f>
        <v xml:space="preserve"> </v>
      </c>
    </row>
    <row r="16" spans="2:21">
      <c r="L16" s="71"/>
      <c r="M16" s="451" t="str">
        <f t="shared" si="2"/>
        <v/>
      </c>
      <c r="N16" s="452"/>
      <c r="O16" s="342"/>
      <c r="P16" s="35" t="str">
        <f>IF(ISBLANK(O16)," ",VLOOKUP(O16,Anggota!$C$5:$P$141,2,FALSE))</f>
        <v xml:space="preserve"> </v>
      </c>
      <c r="Q16" s="35" t="str">
        <f>IF(ISBLANK(O16)," ",VLOOKUP(O16,Anggota!C15:P40,4,FALSE))</f>
        <v xml:space="preserve"> </v>
      </c>
      <c r="R16" s="8" t="str">
        <f>IF(ISBLANK(O16)," ",VLOOKUP(O16,Anggota!C15:P40,5,FALSE))</f>
        <v xml:space="preserve"> </v>
      </c>
      <c r="S16" s="15" t="str">
        <f>IF(ISBLANK(O16)," ",VLOOKUP(O16,Anggota!$C$5:$P$141,8,FALSE))</f>
        <v xml:space="preserve"> </v>
      </c>
      <c r="T16" s="15" t="str">
        <f>IF(ISBLANK(O16)," ",VLOOKUP(O16,Anggota!$C$5:$P$141,11,FALSE))</f>
        <v xml:space="preserve"> </v>
      </c>
      <c r="U16" s="216" t="str">
        <f>IF(ISBLANK(O16)," ",VLOOKUP(O16,Laporan!$C$8:$R$43,15,FALSE))</f>
        <v xml:space="preserve"> </v>
      </c>
    </row>
    <row r="17" spans="2:21">
      <c r="B17" s="407" t="s">
        <v>25</v>
      </c>
      <c r="C17" s="407"/>
      <c r="D17" s="407"/>
      <c r="E17" s="407"/>
      <c r="F17" s="10"/>
      <c r="G17" s="9"/>
      <c r="H17" s="156" t="s">
        <v>82</v>
      </c>
      <c r="I17" s="153">
        <f ca="1">NOW()</f>
        <v>44593.953634027777</v>
      </c>
      <c r="J17" s="153"/>
      <c r="L17" s="71"/>
      <c r="M17" s="462" t="str">
        <f t="shared" si="2"/>
        <v/>
      </c>
      <c r="N17" s="463"/>
      <c r="O17" s="345"/>
      <c r="P17" s="243" t="str">
        <f>IF(ISBLANK(O17)," ",VLOOKUP(O17,Anggota!$C$5:$P$141,2,FALSE))</f>
        <v xml:space="preserve"> </v>
      </c>
      <c r="Q17" s="243" t="str">
        <f>IF(ISBLANK(O17)," ",VLOOKUP(O17,Anggota!C16:P40,4,FALSE))</f>
        <v xml:space="preserve"> </v>
      </c>
      <c r="R17" s="242" t="str">
        <f>IF(ISBLANK(O17)," ",VLOOKUP(O17,Anggota!C16:P40,5,FALSE))</f>
        <v xml:space="preserve"> </v>
      </c>
      <c r="S17" s="244" t="str">
        <f>IF(ISBLANK(O17)," ",VLOOKUP(O17,Anggota!$C$5:$P$141,8,FALSE))</f>
        <v xml:space="preserve"> </v>
      </c>
      <c r="T17" s="244" t="str">
        <f>IF(ISBLANK(O17)," ",VLOOKUP(O17,Anggota!$C$5:$P$141,11,FALSE))</f>
        <v xml:space="preserve"> </v>
      </c>
      <c r="U17" s="245" t="str">
        <f>IF(ISBLANK(O17)," ",VLOOKUP(O17,Laporan!$C$8:$R$43,15,FALSE))</f>
        <v xml:space="preserve"> </v>
      </c>
    </row>
    <row r="18" spans="2:21">
      <c r="B18" s="407" t="s">
        <v>40</v>
      </c>
      <c r="C18" s="407"/>
      <c r="D18" s="407"/>
      <c r="E18" s="407"/>
      <c r="F18" s="1"/>
      <c r="G18" s="9"/>
      <c r="H18" s="407" t="s">
        <v>26</v>
      </c>
      <c r="I18" s="407"/>
      <c r="J18" s="217"/>
      <c r="L18" s="71"/>
      <c r="M18" s="451" t="str">
        <f t="shared" si="2"/>
        <v/>
      </c>
      <c r="N18" s="452"/>
      <c r="O18" s="342"/>
      <c r="P18" s="35" t="str">
        <f>IF(ISBLANK(O18)," ",VLOOKUP(O18,Anggota!$C$5:$P$141,2,FALSE))</f>
        <v xml:space="preserve"> </v>
      </c>
      <c r="Q18" s="35" t="str">
        <f>IF(ISBLANK(O18)," ",VLOOKUP(O18,Anggota!C17:P40,4,FALSE))</f>
        <v xml:space="preserve"> </v>
      </c>
      <c r="R18" s="8" t="str">
        <f>IF(ISBLANK(O18)," ",VLOOKUP(O18,Anggota!C17:P40,5,FALSE))</f>
        <v xml:space="preserve"> </v>
      </c>
      <c r="S18" s="15" t="str">
        <f>IF(ISBLANK(O18)," ",VLOOKUP(O18,Anggota!$C$5:$P$141,8,FALSE))</f>
        <v xml:space="preserve"> </v>
      </c>
      <c r="T18" s="15" t="str">
        <f>IF(ISBLANK(O18)," ",VLOOKUP(O18,Anggota!$C$5:$P$141,11,FALSE))</f>
        <v xml:space="preserve"> </v>
      </c>
      <c r="U18" s="216" t="str">
        <f>IF(ISBLANK(O18)," ",VLOOKUP(O18,Laporan!$C$8:$R$43,15,FALSE))</f>
        <v xml:space="preserve"> </v>
      </c>
    </row>
    <row r="19" spans="2:21">
      <c r="B19" s="1"/>
      <c r="C19" s="1"/>
      <c r="D19" s="1"/>
      <c r="E19" s="1"/>
      <c r="F19" s="1"/>
      <c r="G19" s="9"/>
      <c r="H19" s="1"/>
      <c r="I19" s="1"/>
      <c r="J19" s="1"/>
      <c r="L19" s="71"/>
      <c r="M19" s="451" t="str">
        <f t="shared" si="2"/>
        <v/>
      </c>
      <c r="N19" s="452"/>
      <c r="O19" s="342"/>
      <c r="P19" s="35" t="str">
        <f>IF(ISBLANK(O19)," ",VLOOKUP(O19,Anggota!$C$5:$P$141,2,FALSE))</f>
        <v xml:space="preserve"> </v>
      </c>
      <c r="Q19" s="35" t="str">
        <f>IF(ISBLANK(O19)," ",VLOOKUP(O19,Anggota!C18:P40,4,FALSE))</f>
        <v xml:space="preserve"> </v>
      </c>
      <c r="R19" s="8" t="str">
        <f>IF(ISBLANK(O19)," ",VLOOKUP(O19,Anggota!C18:P40,5,FALSE))</f>
        <v xml:space="preserve"> </v>
      </c>
      <c r="S19" s="15" t="str">
        <f>IF(ISBLANK(O19)," ",VLOOKUP(O19,Anggota!$C$5:$P$141,8,FALSE))</f>
        <v xml:space="preserve"> </v>
      </c>
      <c r="T19" s="15" t="str">
        <f>IF(ISBLANK(O19)," ",VLOOKUP(O19,Anggota!$C$5:$P$141,11,FALSE))</f>
        <v xml:space="preserve"> </v>
      </c>
      <c r="U19" s="216" t="str">
        <f>IF(ISBLANK(O19)," ",VLOOKUP(O19,Laporan!$C$8:$R$43,15,FALSE))</f>
        <v xml:space="preserve"> </v>
      </c>
    </row>
    <row r="20" spans="2:21">
      <c r="B20" s="1"/>
      <c r="C20" s="1"/>
      <c r="D20" s="1"/>
      <c r="E20" s="1"/>
      <c r="F20" s="1"/>
      <c r="G20" s="9"/>
      <c r="H20" s="1"/>
      <c r="I20" s="1"/>
      <c r="J20" s="1"/>
      <c r="L20" s="71"/>
      <c r="M20" s="462" t="str">
        <f t="shared" si="2"/>
        <v/>
      </c>
      <c r="N20" s="463"/>
      <c r="O20" s="345"/>
      <c r="P20" s="243" t="str">
        <f>IF(ISBLANK(O20)," ",VLOOKUP(O20,Anggota!$C$5:$P$141,2,FALSE))</f>
        <v xml:space="preserve"> </v>
      </c>
      <c r="Q20" s="243" t="str">
        <f>IF(ISBLANK(O20)," ",VLOOKUP(O20,Anggota!C19:P40,4,FALSE))</f>
        <v xml:space="preserve"> </v>
      </c>
      <c r="R20" s="242" t="str">
        <f>IF(ISBLANK(O20)," ",VLOOKUP(O20,Anggota!C19:P40,5,FALSE))</f>
        <v xml:space="preserve"> </v>
      </c>
      <c r="S20" s="244" t="str">
        <f>IF(ISBLANK(O20)," ",VLOOKUP(O20,Anggota!$C$5:$P$141,8,FALSE))</f>
        <v xml:space="preserve"> </v>
      </c>
      <c r="T20" s="244" t="str">
        <f>IF(ISBLANK(O20)," ",VLOOKUP(O20,Anggota!$C$5:$P$141,11,FALSE))</f>
        <v xml:space="preserve"> </v>
      </c>
      <c r="U20" s="245" t="str">
        <f>IF(ISBLANK(O20)," ",VLOOKUP(O20,Laporan!$C$8:$R$43,15,FALSE))</f>
        <v xml:space="preserve"> </v>
      </c>
    </row>
    <row r="21" spans="2:21">
      <c r="B21" s="1"/>
      <c r="C21" s="1"/>
      <c r="D21" s="1"/>
      <c r="E21" s="1"/>
      <c r="F21" s="1"/>
      <c r="G21" s="9"/>
      <c r="H21" s="1"/>
      <c r="I21" s="1"/>
      <c r="J21" s="1"/>
      <c r="L21" s="71"/>
      <c r="M21" s="451" t="str">
        <f t="shared" si="2"/>
        <v/>
      </c>
      <c r="N21" s="452"/>
      <c r="O21" s="342"/>
      <c r="P21" s="35" t="str">
        <f>IF(ISBLANK(O21)," ",VLOOKUP(O21,Anggota!$C$5:$P$141,2,FALSE))</f>
        <v xml:space="preserve"> </v>
      </c>
      <c r="Q21" s="35" t="str">
        <f>IF(ISBLANK(O21)," ",VLOOKUP(O21,Anggota!C20:P40,4,FALSE))</f>
        <v xml:space="preserve"> </v>
      </c>
      <c r="R21" s="8" t="str">
        <f>IF(ISBLANK(O21)," ",VLOOKUP(O21,Anggota!C20:P40,5,FALSE))</f>
        <v xml:space="preserve"> </v>
      </c>
      <c r="S21" s="15" t="str">
        <f>IF(ISBLANK(O21)," ",VLOOKUP(O21,Anggota!$C$5:$P$141,8,FALSE))</f>
        <v xml:space="preserve"> </v>
      </c>
      <c r="T21" s="15" t="str">
        <f>IF(ISBLANK(O21)," ",VLOOKUP(O21,Anggota!$C$5:$P$141,11,FALSE))</f>
        <v xml:space="preserve"> </v>
      </c>
      <c r="U21" s="216" t="str">
        <f>IF(ISBLANK(O21)," ",VLOOKUP(O21,Laporan!$C$8:$R$43,15,FALSE))</f>
        <v xml:space="preserve"> </v>
      </c>
    </row>
    <row r="22" spans="2:21">
      <c r="B22" s="407" t="s">
        <v>41</v>
      </c>
      <c r="C22" s="407"/>
      <c r="D22" s="407"/>
      <c r="E22" s="407"/>
      <c r="F22" s="1"/>
      <c r="G22" s="9"/>
      <c r="H22" s="407" t="s">
        <v>36</v>
      </c>
      <c r="I22" s="407"/>
      <c r="J22" s="217"/>
      <c r="L22" s="71"/>
      <c r="M22" s="462" t="str">
        <f t="shared" si="2"/>
        <v/>
      </c>
      <c r="N22" s="463"/>
      <c r="O22" s="345"/>
      <c r="P22" s="243" t="str">
        <f>IF(ISBLANK(O22)," ",VLOOKUP(O22,Anggota!$C$5:$P$141,2,FALSE))</f>
        <v xml:space="preserve"> </v>
      </c>
      <c r="Q22" s="243" t="str">
        <f>IF(ISBLANK(O22)," ",VLOOKUP(O22,Anggota!C21:P40,4,FALSE))</f>
        <v xml:space="preserve"> </v>
      </c>
      <c r="R22" s="242" t="str">
        <f>IF(ISBLANK(O22)," ",VLOOKUP(O22,Anggota!C21:P40,5,FALSE))</f>
        <v xml:space="preserve"> </v>
      </c>
      <c r="S22" s="244" t="str">
        <f>IF(ISBLANK(O22)," ",VLOOKUP(O22,Anggota!$C$5:$P$141,8,FALSE))</f>
        <v xml:space="preserve"> </v>
      </c>
      <c r="T22" s="244" t="str">
        <f>IF(ISBLANK(O22)," ",VLOOKUP(O22,Anggota!$C$5:$P$141,11,FALSE))</f>
        <v xml:space="preserve"> </v>
      </c>
      <c r="U22" s="245" t="str">
        <f>IF(ISBLANK(O22)," ",VLOOKUP(O22,Laporan!$C$8:$R$43,15,FALSE))</f>
        <v xml:space="preserve"> </v>
      </c>
    </row>
    <row r="23" spans="2:21">
      <c r="B23" s="238"/>
      <c r="C23" s="238"/>
      <c r="D23" s="238"/>
      <c r="E23" s="238"/>
      <c r="F23" s="1"/>
      <c r="G23" s="9"/>
      <c r="H23" s="238"/>
      <c r="I23" s="238"/>
      <c r="J23" s="238"/>
      <c r="L23" s="71"/>
      <c r="M23" s="451" t="str">
        <f t="shared" ref="M23:M28" si="3">IF(O23="","",ROW()-5)</f>
        <v/>
      </c>
      <c r="N23" s="452"/>
      <c r="O23" s="342"/>
      <c r="P23" s="35" t="str">
        <f>IF(ISBLANK(O23)," ",VLOOKUP(O23,Anggota!$C$5:$P$141,2,FALSE))</f>
        <v xml:space="preserve"> </v>
      </c>
      <c r="Q23" s="35" t="str">
        <f>IF(ISBLANK(O23)," ",VLOOKUP(O23,Anggota!C22:P40,4,FALSE))</f>
        <v xml:space="preserve"> </v>
      </c>
      <c r="R23" s="8" t="str">
        <f>IF(ISBLANK(O23)," ",VLOOKUP(O23,Anggota!C22:P40,5,FALSE))</f>
        <v xml:space="preserve"> </v>
      </c>
      <c r="S23" s="15" t="str">
        <f>IF(ISBLANK(O23)," ",VLOOKUP(O23,Anggota!$C$5:$P$141,8,FALSE))</f>
        <v xml:space="preserve"> </v>
      </c>
      <c r="T23" s="15" t="str">
        <f>IF(ISBLANK(O23)," ",VLOOKUP(O23,Anggota!$C$5:$P$141,11,FALSE))</f>
        <v xml:space="preserve"> </v>
      </c>
      <c r="U23" s="216" t="str">
        <f>IF(ISBLANK(O23)," ",VLOOKUP(O23,Laporan!$C$8:$R$43,15,FALSE))</f>
        <v xml:space="preserve"> </v>
      </c>
    </row>
    <row r="24" spans="2:21">
      <c r="B24" s="238"/>
      <c r="C24" s="238"/>
      <c r="D24" s="238"/>
      <c r="E24" s="238"/>
      <c r="F24" s="1"/>
      <c r="G24" s="9"/>
      <c r="H24" s="238"/>
      <c r="I24" s="238"/>
      <c r="J24" s="238"/>
      <c r="L24" s="71"/>
      <c r="M24" s="451" t="str">
        <f t="shared" si="3"/>
        <v/>
      </c>
      <c r="N24" s="452"/>
      <c r="O24" s="342"/>
      <c r="P24" s="35" t="str">
        <f>IF(ISBLANK(O24)," ",VLOOKUP(O24,Anggota!$C$5:$P$141,2,FALSE))</f>
        <v xml:space="preserve"> </v>
      </c>
      <c r="Q24" s="35" t="str">
        <f>IF(ISBLANK(O24)," ",VLOOKUP(O24,Anggota!C23:P40,4,FALSE))</f>
        <v xml:space="preserve"> </v>
      </c>
      <c r="R24" s="8" t="str">
        <f>IF(ISBLANK(O24)," ",VLOOKUP(O24,Anggota!C23:P40,5,FALSE))</f>
        <v xml:space="preserve"> </v>
      </c>
      <c r="S24" s="15" t="str">
        <f>IF(ISBLANK(O24)," ",VLOOKUP(O24,Anggota!$C$5:$P$141,8,FALSE))</f>
        <v xml:space="preserve"> </v>
      </c>
      <c r="T24" s="15" t="str">
        <f>IF(ISBLANK(O24)," ",VLOOKUP(O24,Anggota!$C$5:$P$141,11,FALSE))</f>
        <v xml:space="preserve"> </v>
      </c>
      <c r="U24" s="216" t="str">
        <f>IF(ISBLANK(O24)," ",VLOOKUP(O24,Laporan!$C$8:$R$43,15,FALSE))</f>
        <v xml:space="preserve"> </v>
      </c>
    </row>
    <row r="25" spans="2:21">
      <c r="B25" s="238"/>
      <c r="C25" s="238"/>
      <c r="D25" s="238"/>
      <c r="E25" s="238"/>
      <c r="F25" s="1"/>
      <c r="G25" s="9"/>
      <c r="H25" s="238"/>
      <c r="I25" s="238"/>
      <c r="J25" s="238"/>
      <c r="L25" s="71"/>
      <c r="M25" s="451" t="str">
        <f t="shared" si="3"/>
        <v/>
      </c>
      <c r="N25" s="452"/>
      <c r="O25" s="342"/>
      <c r="P25" s="35" t="str">
        <f>IF(ISBLANK(O25)," ",VLOOKUP(O25,Anggota!$C$5:$P$141,2,FALSE))</f>
        <v xml:space="preserve"> </v>
      </c>
      <c r="Q25" s="35" t="str">
        <f>IF(ISBLANK(O25)," ",VLOOKUP(O25,Anggota!C24:P40,4,FALSE))</f>
        <v xml:space="preserve"> </v>
      </c>
      <c r="R25" s="8" t="str">
        <f>IF(ISBLANK(O25)," ",VLOOKUP(O25,Anggota!C24:P40,5,FALSE))</f>
        <v xml:space="preserve"> </v>
      </c>
      <c r="S25" s="15" t="str">
        <f>IF(ISBLANK(O25)," ",VLOOKUP(O25,Anggota!$C$5:$P$141,8,FALSE))</f>
        <v xml:space="preserve"> </v>
      </c>
      <c r="T25" s="15" t="str">
        <f>IF(ISBLANK(O25)," ",VLOOKUP(O25,Anggota!$C$5:$P$141,11,FALSE))</f>
        <v xml:space="preserve"> </v>
      </c>
      <c r="U25" s="216" t="str">
        <f>IF(ISBLANK(O25)," ",VLOOKUP(O25,Laporan!$C$8:$R$43,15,FALSE))</f>
        <v xml:space="preserve"> </v>
      </c>
    </row>
    <row r="26" spans="2:21">
      <c r="B26" s="238"/>
      <c r="C26" s="238"/>
      <c r="D26" s="238"/>
      <c r="E26" s="238"/>
      <c r="F26" s="1"/>
      <c r="G26" s="9"/>
      <c r="H26" s="238"/>
      <c r="I26" s="238"/>
      <c r="J26" s="238"/>
      <c r="L26" s="71"/>
      <c r="M26" s="451" t="str">
        <f t="shared" si="3"/>
        <v/>
      </c>
      <c r="N26" s="452"/>
      <c r="O26" s="342"/>
      <c r="P26" s="35" t="str">
        <f>IF(ISBLANK(O26)," ",VLOOKUP(O26,Anggota!$C$5:$P$141,2,FALSE))</f>
        <v xml:space="preserve"> </v>
      </c>
      <c r="Q26" s="35" t="str">
        <f>IF(ISBLANK(O26)," ",VLOOKUP(O26,Anggota!C25:P40,4,FALSE))</f>
        <v xml:space="preserve"> </v>
      </c>
      <c r="R26" s="8" t="str">
        <f>IF(ISBLANK(O26)," ",VLOOKUP(O26,Anggota!C25:P40,5,FALSE))</f>
        <v xml:space="preserve"> </v>
      </c>
      <c r="S26" s="15" t="str">
        <f>IF(ISBLANK(O26)," ",VLOOKUP(O26,Anggota!$C$5:$P$141,8,FALSE))</f>
        <v xml:space="preserve"> </v>
      </c>
      <c r="T26" s="15" t="str">
        <f>IF(ISBLANK(O26)," ",VLOOKUP(O26,Anggota!$C$5:$P$141,11,FALSE))</f>
        <v xml:space="preserve"> </v>
      </c>
      <c r="U26" s="216" t="str">
        <f>IF(ISBLANK(O26)," ",VLOOKUP(O26,Laporan!$C$8:$R$43,15,FALSE))</f>
        <v xml:space="preserve"> </v>
      </c>
    </row>
    <row r="27" spans="2:21">
      <c r="B27" s="261"/>
      <c r="C27" s="261"/>
      <c r="D27" s="261"/>
      <c r="E27" s="261"/>
      <c r="F27" s="1"/>
      <c r="G27" s="9"/>
      <c r="H27" s="261"/>
      <c r="I27" s="261"/>
      <c r="J27" s="261"/>
      <c r="L27" s="71"/>
      <c r="M27" s="451" t="str">
        <f t="shared" si="3"/>
        <v/>
      </c>
      <c r="N27" s="452"/>
      <c r="O27" s="342"/>
      <c r="P27" s="35" t="str">
        <f>IF(ISBLANK(O27)," ",VLOOKUP(O27,Anggota!$C$5:$P$141,2,FALSE))</f>
        <v xml:space="preserve"> </v>
      </c>
      <c r="Q27" s="35" t="str">
        <f>IF(ISBLANK(O27)," ",VLOOKUP(O27,Anggota!C26:P40,4,FALSE))</f>
        <v xml:space="preserve"> </v>
      </c>
      <c r="R27" s="8" t="str">
        <f>IF(ISBLANK(O27)," ",VLOOKUP(O27,Anggota!C26:P40,5,FALSE))</f>
        <v xml:space="preserve"> </v>
      </c>
      <c r="S27" s="15" t="str">
        <f>IF(ISBLANK(O27)," ",VLOOKUP(O27,Anggota!$C$5:$P$141,8,FALSE))</f>
        <v xml:space="preserve"> </v>
      </c>
      <c r="T27" s="15" t="str">
        <f>IF(ISBLANK(O27)," ",VLOOKUP(O27,Anggota!$C$5:$P$141,11,FALSE))</f>
        <v xml:space="preserve"> </v>
      </c>
      <c r="U27" s="216" t="str">
        <f>IF(ISBLANK(O27)," ",VLOOKUP(O27,Laporan!$C$8:$R$43,15,FALSE))</f>
        <v xml:space="preserve"> </v>
      </c>
    </row>
    <row r="28" spans="2:21">
      <c r="B28" s="261"/>
      <c r="C28" s="261"/>
      <c r="D28" s="261"/>
      <c r="E28" s="261"/>
      <c r="F28" s="1"/>
      <c r="G28" s="9"/>
      <c r="H28" s="261"/>
      <c r="I28" s="261"/>
      <c r="J28" s="261"/>
      <c r="L28" s="71"/>
      <c r="M28" s="451" t="str">
        <f t="shared" si="3"/>
        <v/>
      </c>
      <c r="N28" s="452"/>
      <c r="O28" s="342"/>
      <c r="P28" s="35" t="str">
        <f>IF(ISBLANK(O28)," ",VLOOKUP(O28,Anggota!$C$5:$P$141,2,FALSE))</f>
        <v xml:space="preserve"> </v>
      </c>
      <c r="Q28" s="35" t="str">
        <f>IF(ISBLANK(O28)," ",VLOOKUP(O28,Anggota!C27:P40,4,FALSE))</f>
        <v xml:space="preserve"> </v>
      </c>
      <c r="R28" s="8" t="str">
        <f>IF(ISBLANK(O28)," ",VLOOKUP(O28,Anggota!C27:P40,5,FALSE))</f>
        <v xml:space="preserve"> </v>
      </c>
      <c r="S28" s="15" t="str">
        <f>IF(ISBLANK(O28)," ",VLOOKUP(O28,Anggota!$C$5:$P$141,8,FALSE))</f>
        <v xml:space="preserve"> </v>
      </c>
      <c r="T28" s="15" t="str">
        <f>IF(ISBLANK(O28)," ",VLOOKUP(O28,Anggota!$C$5:$P$141,11,FALSE))</f>
        <v xml:space="preserve"> </v>
      </c>
      <c r="U28" s="216" t="str">
        <f>IF(ISBLANK(O28)," ",VLOOKUP(O28,Laporan!$C$8:$R$43,15,FALSE))</f>
        <v xml:space="preserve"> </v>
      </c>
    </row>
    <row r="29" spans="2:21">
      <c r="M29" s="451" t="str">
        <f>IF(O29="","",ROW()-5)</f>
        <v/>
      </c>
      <c r="N29" s="452"/>
      <c r="O29" s="342"/>
      <c r="P29" s="35" t="str">
        <f>IF(ISBLANK(O29)," ",VLOOKUP(O29,Anggota!$C$5:$P$141,2,FALSE))</f>
        <v xml:space="preserve"> </v>
      </c>
      <c r="Q29" s="35" t="str">
        <f>IF(ISBLANK(O29)," ",VLOOKUP(O29,Anggota!C28:P40,4,FALSE))</f>
        <v xml:space="preserve"> </v>
      </c>
      <c r="R29" s="8" t="str">
        <f>IF(ISBLANK(O29)," ",VLOOKUP(O29,Anggota!C28:P40,5,FALSE))</f>
        <v xml:space="preserve"> </v>
      </c>
      <c r="S29" s="15" t="str">
        <f>IF(ISBLANK(O29)," ",VLOOKUP(O29,Anggota!$C$5:$P$141,8,FALSE))</f>
        <v xml:space="preserve"> </v>
      </c>
      <c r="T29" s="15" t="str">
        <f>IF(ISBLANK(O29)," ",VLOOKUP(O29,Anggota!$C$5:$P$141,11,FALSE))</f>
        <v xml:space="preserve"> </v>
      </c>
      <c r="U29" s="216" t="str">
        <f>IF(ISBLANK(O29)," ",VLOOKUP(O29,Laporan!$C$8:$R$43,15,FALSE))</f>
        <v xml:space="preserve"> </v>
      </c>
    </row>
    <row r="30" spans="2:21">
      <c r="M30" s="451" t="s">
        <v>34</v>
      </c>
      <c r="N30" s="453"/>
      <c r="O30" s="453"/>
      <c r="P30" s="453"/>
      <c r="Q30" s="452"/>
      <c r="R30" s="220"/>
      <c r="S30" s="221" t="e">
        <f>SUM(S6:S29)</f>
        <v>#N/A</v>
      </c>
      <c r="T30" s="222" t="e">
        <f>SUM(T6:T29)</f>
        <v>#N/A</v>
      </c>
    </row>
    <row r="31" spans="2:21">
      <c r="R31" s="62"/>
    </row>
    <row r="32" spans="2:21">
      <c r="R32" s="62"/>
    </row>
    <row r="33" spans="13:21">
      <c r="M33" s="407"/>
      <c r="N33" s="407"/>
      <c r="O33" s="407"/>
      <c r="P33" s="407"/>
      <c r="Q33" s="10"/>
      <c r="R33" s="9"/>
      <c r="S33" s="156" t="s">
        <v>82</v>
      </c>
      <c r="T33" s="153">
        <f ca="1">NOW()</f>
        <v>44593.953634027777</v>
      </c>
    </row>
    <row r="34" spans="13:21">
      <c r="M34" s="407"/>
      <c r="N34" s="407"/>
      <c r="O34" s="407"/>
      <c r="P34" s="407"/>
      <c r="Q34" s="1"/>
      <c r="R34" s="407" t="s">
        <v>40</v>
      </c>
      <c r="S34" s="407"/>
      <c r="T34" s="407"/>
    </row>
    <row r="35" spans="13:21">
      <c r="M35" s="1"/>
      <c r="N35" s="1"/>
      <c r="O35" s="1"/>
      <c r="P35" s="1"/>
      <c r="Q35" s="1"/>
      <c r="R35" s="9"/>
      <c r="S35" s="1"/>
      <c r="T35" s="1"/>
    </row>
    <row r="36" spans="13:21">
      <c r="M36" s="1"/>
      <c r="N36" s="1"/>
      <c r="O36" s="1"/>
      <c r="P36" s="1"/>
      <c r="Q36" s="1"/>
      <c r="R36" s="9"/>
      <c r="S36" s="1"/>
      <c r="T36" s="1"/>
    </row>
    <row r="37" spans="13:21">
      <c r="M37" s="1"/>
      <c r="N37" s="1"/>
      <c r="O37" s="1"/>
      <c r="P37" s="1"/>
      <c r="Q37" s="1"/>
      <c r="R37" s="9"/>
      <c r="S37" s="1"/>
      <c r="T37" s="1"/>
    </row>
    <row r="38" spans="13:21">
      <c r="M38" s="407"/>
      <c r="N38" s="407"/>
      <c r="O38" s="407"/>
      <c r="P38" s="407"/>
      <c r="Q38" s="1"/>
      <c r="R38" s="407" t="s">
        <v>41</v>
      </c>
      <c r="S38" s="407"/>
      <c r="T38" s="407"/>
    </row>
    <row r="39" spans="13:21" ht="15.75">
      <c r="M39" s="456" t="s">
        <v>126</v>
      </c>
      <c r="N39" s="456"/>
      <c r="O39" s="456"/>
      <c r="P39" s="456"/>
      <c r="Q39" s="456"/>
      <c r="R39" s="456"/>
      <c r="S39" s="456"/>
      <c r="T39" s="456"/>
    </row>
    <row r="40" spans="13:21">
      <c r="M40" t="s">
        <v>33</v>
      </c>
      <c r="N40" t="s">
        <v>23</v>
      </c>
      <c r="O40" s="457" t="s">
        <v>127</v>
      </c>
      <c r="P40" s="458"/>
      <c r="R40" s="62"/>
    </row>
    <row r="41" spans="13:21">
      <c r="O41" s="62"/>
      <c r="R41" s="62"/>
    </row>
    <row r="42" spans="13:21">
      <c r="R42" s="62"/>
    </row>
    <row r="43" spans="13:21" ht="31.5">
      <c r="M43" s="459" t="s">
        <v>0</v>
      </c>
      <c r="N43" s="459"/>
      <c r="O43" s="70" t="s">
        <v>15</v>
      </c>
      <c r="P43" s="241" t="s">
        <v>14</v>
      </c>
      <c r="Q43" s="241" t="s">
        <v>39</v>
      </c>
      <c r="R43" s="70" t="s">
        <v>3</v>
      </c>
      <c r="S43" s="241" t="s">
        <v>37</v>
      </c>
      <c r="T43" s="241" t="s">
        <v>38</v>
      </c>
      <c r="U43" s="216" t="s">
        <v>118</v>
      </c>
    </row>
    <row r="44" spans="13:21">
      <c r="M44" s="460">
        <v>2</v>
      </c>
      <c r="N44" s="461"/>
      <c r="O44" s="251" t="s">
        <v>42</v>
      </c>
      <c r="P44" s="252" t="e">
        <f>IF(ISBLANK(O44)," ",VLOOKUP(O44,Anggota!$C$5:$P$141,2,FALSE))</f>
        <v>#N/A</v>
      </c>
      <c r="Q44" s="247" t="str">
        <f>Q7</f>
        <v xml:space="preserve"> </v>
      </c>
      <c r="R44" s="257">
        <v>1</v>
      </c>
      <c r="S44" s="248" t="str">
        <f>S7</f>
        <v xml:space="preserve"> </v>
      </c>
      <c r="T44" s="249" t="str">
        <f>T7</f>
        <v xml:space="preserve"> </v>
      </c>
      <c r="U44" s="254" t="e">
        <f>IF(ISBLANK(O44)," ",VLOOKUP(O44,Laporan!$C$8:$R$43,15,FALSE))</f>
        <v>#N/A</v>
      </c>
    </row>
    <row r="45" spans="13:21">
      <c r="M45" s="460">
        <v>4</v>
      </c>
      <c r="N45" s="461"/>
      <c r="O45" s="251" t="s">
        <v>43</v>
      </c>
      <c r="P45" s="252" t="e">
        <f>IF(ISBLANK(O45)," ",VLOOKUP(O45,Anggota!$C$5:$P$141,2,FALSE))</f>
        <v>#N/A</v>
      </c>
      <c r="Q45" s="247" t="str">
        <f>Q9</f>
        <v xml:space="preserve"> </v>
      </c>
      <c r="R45" s="257">
        <v>1</v>
      </c>
      <c r="S45" s="248" t="str">
        <f>S9</f>
        <v xml:space="preserve"> </v>
      </c>
      <c r="T45" s="249" t="str">
        <f>T9</f>
        <v xml:space="preserve"> </v>
      </c>
      <c r="U45" s="254" t="e">
        <f>IF(ISBLANK(O45)," ",VLOOKUP(O45,Laporan!$C$8:$R$43,15,FALSE))</f>
        <v>#N/A</v>
      </c>
    </row>
    <row r="46" spans="13:21">
      <c r="M46" s="454" t="str">
        <f>M10</f>
        <v/>
      </c>
      <c r="N46" s="455"/>
      <c r="O46" s="246" t="s">
        <v>75</v>
      </c>
      <c r="P46" s="247" t="str">
        <f>P10</f>
        <v xml:space="preserve"> </v>
      </c>
      <c r="Q46" s="247" t="str">
        <f>Q10</f>
        <v xml:space="preserve"> </v>
      </c>
      <c r="R46" s="257">
        <v>1</v>
      </c>
      <c r="S46" s="248" t="str">
        <f>S10</f>
        <v xml:space="preserve"> </v>
      </c>
      <c r="T46" s="249" t="str">
        <f>T10</f>
        <v xml:space="preserve"> </v>
      </c>
      <c r="U46" s="254" t="e">
        <f>IF(ISBLANK(O46)," ",VLOOKUP(O46,Laporan!$C$8:$R$43,15,FALSE))</f>
        <v>#N/A</v>
      </c>
    </row>
    <row r="47" spans="13:21">
      <c r="M47" s="454" t="str">
        <f>M14</f>
        <v/>
      </c>
      <c r="N47" s="455"/>
      <c r="O47" s="246">
        <f t="shared" ref="O47:Q48" si="4">O14</f>
        <v>0</v>
      </c>
      <c r="P47" s="247" t="str">
        <f t="shared" si="4"/>
        <v xml:space="preserve"> </v>
      </c>
      <c r="Q47" s="247" t="str">
        <f t="shared" si="4"/>
        <v xml:space="preserve"> </v>
      </c>
      <c r="R47" s="257" t="str">
        <f t="shared" ref="R47:T48" si="5">R14</f>
        <v xml:space="preserve"> </v>
      </c>
      <c r="S47" s="248" t="str">
        <f t="shared" si="5"/>
        <v xml:space="preserve"> </v>
      </c>
      <c r="T47" s="248" t="str">
        <f t="shared" si="5"/>
        <v xml:space="preserve"> </v>
      </c>
      <c r="U47" s="254" t="str">
        <f>IF(ISBLANK(O47)," ",VLOOKUP(O47,Laporan!$C$8:$R$43,15,FALSE))</f>
        <v xml:space="preserve"> </v>
      </c>
    </row>
    <row r="48" spans="13:21">
      <c r="M48" s="454" t="str">
        <f>M15</f>
        <v/>
      </c>
      <c r="N48" s="455"/>
      <c r="O48" s="246">
        <f t="shared" si="4"/>
        <v>0</v>
      </c>
      <c r="P48" s="247" t="str">
        <f t="shared" si="4"/>
        <v xml:space="preserve"> </v>
      </c>
      <c r="Q48" s="247" t="str">
        <f t="shared" si="4"/>
        <v xml:space="preserve"> </v>
      </c>
      <c r="R48" s="257" t="str">
        <f t="shared" si="5"/>
        <v xml:space="preserve"> </v>
      </c>
      <c r="S48" s="248" t="str">
        <f t="shared" si="5"/>
        <v xml:space="preserve"> </v>
      </c>
      <c r="T48" s="248" t="str">
        <f t="shared" si="5"/>
        <v xml:space="preserve"> </v>
      </c>
      <c r="U48" s="254" t="str">
        <f>IF(ISBLANK(O48)," ",VLOOKUP(O48,Laporan!$C$8:$R$43,15,FALSE))</f>
        <v xml:space="preserve"> </v>
      </c>
    </row>
    <row r="49" spans="13:21">
      <c r="M49" s="454">
        <f>IF(O49="","",ROW()-5)</f>
        <v>44</v>
      </c>
      <c r="N49" s="455"/>
      <c r="O49" s="246" t="s">
        <v>122</v>
      </c>
      <c r="P49" s="247" t="e">
        <f>IF(ISBLANK(O49)," ",VLOOKUP(O49,Anggota!$C$5:$P$141,2,FALSE))</f>
        <v>#N/A</v>
      </c>
      <c r="Q49" s="247" t="str">
        <f>Q17</f>
        <v xml:space="preserve"> </v>
      </c>
      <c r="R49" s="257" t="str">
        <f>R17</f>
        <v xml:space="preserve"> </v>
      </c>
      <c r="S49" s="248" t="str">
        <f>S17</f>
        <v xml:space="preserve"> </v>
      </c>
      <c r="T49" s="248" t="str">
        <f>T17</f>
        <v xml:space="preserve"> </v>
      </c>
      <c r="U49" s="250" t="e">
        <f>IF(ISBLANK(O49)," ",VLOOKUP(O49,Laporan!$C$8:$R$43,15,FALSE))</f>
        <v>#N/A</v>
      </c>
    </row>
    <row r="50" spans="13:21">
      <c r="M50" s="454">
        <f>IF(O50="","",ROW()-5)</f>
        <v>45</v>
      </c>
      <c r="N50" s="455"/>
      <c r="O50" s="246" t="s">
        <v>124</v>
      </c>
      <c r="P50" s="247" t="e">
        <f>IF(ISBLANK(O50)," ",VLOOKUP(O50,Anggota!$C$5:$P$141,2,FALSE))</f>
        <v>#N/A</v>
      </c>
      <c r="Q50" s="247" t="str">
        <f>Q20</f>
        <v xml:space="preserve"> </v>
      </c>
      <c r="R50" s="257" t="str">
        <f>R20</f>
        <v xml:space="preserve"> </v>
      </c>
      <c r="S50" s="248" t="str">
        <f>S20</f>
        <v xml:space="preserve"> </v>
      </c>
      <c r="T50" s="248" t="str">
        <f>T20</f>
        <v xml:space="preserve"> </v>
      </c>
      <c r="U50" s="250" t="e">
        <f>IF(ISBLANK(O50)," ",VLOOKUP(O50,Laporan!$C$8:$R$43,15,FALSE))</f>
        <v>#N/A</v>
      </c>
    </row>
    <row r="51" spans="13:21">
      <c r="M51" s="454">
        <f>IF(O51="","",ROW()-5)</f>
        <v>46</v>
      </c>
      <c r="N51" s="455"/>
      <c r="O51" s="246" t="s">
        <v>125</v>
      </c>
      <c r="P51" s="247" t="e">
        <f>IF(ISBLANK(O51)," ",VLOOKUP(O51,Anggota!$C$5:$P$141,2,FALSE))</f>
        <v>#N/A</v>
      </c>
      <c r="Q51" s="247" t="str">
        <f>Q22</f>
        <v xml:space="preserve"> </v>
      </c>
      <c r="R51" s="257" t="str">
        <f>R22</f>
        <v xml:space="preserve"> </v>
      </c>
      <c r="S51" s="248" t="str">
        <f>S22</f>
        <v xml:space="preserve"> </v>
      </c>
      <c r="T51" s="248" t="str">
        <f>T22</f>
        <v xml:space="preserve"> </v>
      </c>
      <c r="U51" s="250" t="e">
        <f>IF(ISBLANK(O51)," ",VLOOKUP(O51,Laporan!$C$8:$R$43,15,FALSE))</f>
        <v>#N/A</v>
      </c>
    </row>
    <row r="52" spans="13:21">
      <c r="M52" s="454"/>
      <c r="N52" s="455"/>
      <c r="O52" s="246"/>
      <c r="P52" s="247" t="str">
        <f>IF(ISBLANK(O52)," ",VLOOKUP(O52,Anggota!$C$5:$P$141,2,FALSE))</f>
        <v xml:space="preserve"> </v>
      </c>
      <c r="Q52" s="247"/>
      <c r="R52" s="257"/>
      <c r="S52" s="248"/>
      <c r="T52" s="248"/>
      <c r="U52" s="250"/>
    </row>
    <row r="53" spans="13:21">
      <c r="M53" s="451"/>
      <c r="N53" s="452"/>
      <c r="O53" s="8"/>
      <c r="P53" s="35"/>
      <c r="Q53" s="35"/>
      <c r="R53" s="258"/>
      <c r="S53" s="15"/>
      <c r="T53" s="15"/>
      <c r="U53" s="216"/>
    </row>
    <row r="54" spans="13:21">
      <c r="M54" s="451"/>
      <c r="N54" s="452"/>
      <c r="O54" s="8"/>
      <c r="P54" s="35"/>
      <c r="Q54" s="35"/>
      <c r="R54" s="258"/>
      <c r="S54" s="15"/>
      <c r="T54" s="15"/>
      <c r="U54" s="216"/>
    </row>
    <row r="55" spans="13:21">
      <c r="M55" s="451"/>
      <c r="N55" s="452"/>
      <c r="O55" s="8"/>
      <c r="P55" s="35"/>
      <c r="Q55" s="35"/>
      <c r="R55" s="258"/>
      <c r="S55" s="15"/>
      <c r="T55" s="15"/>
      <c r="U55" s="216"/>
    </row>
    <row r="56" spans="13:21">
      <c r="M56" s="451"/>
      <c r="N56" s="452"/>
      <c r="O56" s="8"/>
      <c r="P56" s="35"/>
      <c r="Q56" s="35"/>
      <c r="R56" s="258"/>
      <c r="S56" s="15"/>
      <c r="T56" s="15"/>
      <c r="U56" s="216"/>
    </row>
    <row r="57" spans="13:21">
      <c r="M57" s="451"/>
      <c r="N57" s="452"/>
      <c r="O57" s="8"/>
      <c r="P57" s="35"/>
      <c r="Q57" s="35"/>
      <c r="R57" s="258"/>
      <c r="S57" s="15"/>
      <c r="T57" s="15"/>
      <c r="U57" s="216"/>
    </row>
    <row r="58" spans="13:21">
      <c r="M58" s="451"/>
      <c r="N58" s="452"/>
      <c r="O58" s="8"/>
      <c r="P58" s="35"/>
      <c r="Q58" s="35"/>
      <c r="R58" s="258"/>
      <c r="S58" s="15"/>
      <c r="T58" s="15"/>
      <c r="U58" s="216"/>
    </row>
    <row r="59" spans="13:21">
      <c r="M59" s="451"/>
      <c r="N59" s="452"/>
      <c r="O59" s="8"/>
      <c r="P59" s="35"/>
      <c r="Q59" s="35"/>
      <c r="R59" s="258"/>
      <c r="S59" s="15"/>
      <c r="T59" s="15"/>
      <c r="U59" s="216"/>
    </row>
    <row r="60" spans="13:21">
      <c r="M60" s="451"/>
      <c r="N60" s="452"/>
      <c r="O60" s="8"/>
      <c r="P60" s="35"/>
      <c r="Q60" s="35"/>
      <c r="R60" s="258"/>
      <c r="S60" s="15"/>
      <c r="T60" s="15"/>
      <c r="U60" s="216"/>
    </row>
    <row r="61" spans="13:21">
      <c r="M61" s="451"/>
      <c r="N61" s="452"/>
      <c r="O61" s="8"/>
      <c r="P61" s="35"/>
      <c r="Q61" s="35"/>
      <c r="R61" s="258"/>
      <c r="S61" s="15"/>
      <c r="T61" s="15"/>
      <c r="U61" s="216"/>
    </row>
    <row r="62" spans="13:21">
      <c r="M62" s="451"/>
      <c r="N62" s="452"/>
      <c r="O62" s="8"/>
      <c r="P62" s="35"/>
      <c r="Q62" s="35"/>
      <c r="R62" s="258"/>
      <c r="S62" s="15"/>
      <c r="T62" s="15"/>
      <c r="U62" s="216"/>
    </row>
    <row r="63" spans="13:21">
      <c r="M63" s="451"/>
      <c r="N63" s="452"/>
      <c r="O63" s="8"/>
      <c r="P63" s="35"/>
      <c r="Q63" s="35"/>
      <c r="R63" s="258"/>
      <c r="S63" s="15"/>
      <c r="T63" s="15"/>
      <c r="U63" s="216"/>
    </row>
    <row r="64" spans="13:21">
      <c r="M64" s="239"/>
      <c r="N64" s="240"/>
      <c r="O64" s="8"/>
      <c r="P64" s="35"/>
      <c r="Q64" s="35"/>
      <c r="R64" s="258"/>
      <c r="S64" s="15"/>
      <c r="T64" s="15"/>
      <c r="U64" s="216"/>
    </row>
    <row r="65" spans="13:21">
      <c r="M65" s="239"/>
      <c r="N65" s="240"/>
      <c r="O65" s="8"/>
      <c r="P65" s="35"/>
      <c r="Q65" s="35"/>
      <c r="R65" s="258"/>
      <c r="S65" s="15"/>
      <c r="T65" s="15"/>
      <c r="U65" s="216"/>
    </row>
    <row r="66" spans="13:21">
      <c r="M66" s="451" t="str">
        <f>IF(O66="","",ROW()-5)</f>
        <v/>
      </c>
      <c r="N66" s="452"/>
      <c r="O66" s="8"/>
      <c r="P66" s="35" t="str">
        <f>IF(ISBLANK(O66)," ",VLOOKUP(O66,Anggota!$C$5:$P$141,2,FALSE))</f>
        <v xml:space="preserve"> </v>
      </c>
      <c r="Q66" s="35" t="str">
        <f>IF(ISBLANK(O66)," ",VLOOKUP(O66,Anggota!#REF!,4,FALSE))</f>
        <v xml:space="preserve"> </v>
      </c>
      <c r="R66" s="258" t="str">
        <f>IF(ISBLANK(O66)," ",VLOOKUP(O66,Anggota!#REF!,5,FALSE))</f>
        <v xml:space="preserve"> </v>
      </c>
      <c r="S66" s="15" t="str">
        <f>IF(ISBLANK(O66)," ",VLOOKUP(O66,Anggota!$C$5:$P$141,8,FALSE))</f>
        <v xml:space="preserve"> </v>
      </c>
      <c r="T66" s="15" t="str">
        <f>IF(ISBLANK(O66)," ",VLOOKUP(O66,Anggota!$C$5:$P$141,11,FALSE))</f>
        <v xml:space="preserve"> </v>
      </c>
      <c r="U66" s="216" t="str">
        <f>IF(ISBLANK(O66)," ",VLOOKUP(O66,Laporan!$C$8:$R$43,14,FALSE))</f>
        <v xml:space="preserve"> </v>
      </c>
    </row>
    <row r="67" spans="13:21">
      <c r="M67" s="451" t="s">
        <v>34</v>
      </c>
      <c r="N67" s="453"/>
      <c r="O67" s="453"/>
      <c r="P67" s="453"/>
      <c r="Q67" s="452"/>
      <c r="R67" s="220"/>
      <c r="S67" s="221">
        <f>SUM(S44:S66)</f>
        <v>0</v>
      </c>
      <c r="T67" s="255">
        <f>SUM(T44:T66)</f>
        <v>0</v>
      </c>
    </row>
    <row r="68" spans="13:21">
      <c r="R68" s="62"/>
    </row>
    <row r="69" spans="13:21">
      <c r="R69" s="62"/>
    </row>
    <row r="70" spans="13:21">
      <c r="M70" s="407"/>
      <c r="N70" s="407"/>
      <c r="O70" s="407"/>
      <c r="P70" s="407"/>
      <c r="Q70" s="10"/>
      <c r="R70" s="9"/>
      <c r="S70" s="156" t="s">
        <v>82</v>
      </c>
      <c r="T70" s="153">
        <f ca="1">NOW()</f>
        <v>44593.953634027777</v>
      </c>
    </row>
    <row r="71" spans="13:21">
      <c r="M71" s="407"/>
      <c r="N71" s="407"/>
      <c r="O71" s="407"/>
      <c r="P71" s="407"/>
      <c r="Q71" s="1"/>
      <c r="R71" s="407" t="s">
        <v>40</v>
      </c>
      <c r="S71" s="407"/>
      <c r="T71" s="407"/>
    </row>
    <row r="72" spans="13:21">
      <c r="M72" s="1"/>
      <c r="N72" s="1"/>
      <c r="O72" s="1"/>
      <c r="P72" s="1"/>
      <c r="Q72" s="1"/>
      <c r="R72" s="9"/>
      <c r="S72" s="1"/>
      <c r="T72" s="1"/>
    </row>
    <row r="73" spans="13:21">
      <c r="M73" s="1"/>
      <c r="N73" s="1"/>
      <c r="O73" s="1"/>
      <c r="P73" s="1"/>
      <c r="Q73" s="1"/>
      <c r="R73" s="9"/>
      <c r="S73" s="1"/>
      <c r="T73" s="1"/>
    </row>
    <row r="74" spans="13:21">
      <c r="M74" s="1"/>
      <c r="N74" s="1"/>
      <c r="O74" s="1"/>
      <c r="P74" s="1"/>
      <c r="Q74" s="1"/>
      <c r="R74" s="9"/>
      <c r="S74" s="1"/>
      <c r="T74" s="1"/>
    </row>
    <row r="75" spans="13:21">
      <c r="M75" s="407"/>
      <c r="N75" s="407"/>
      <c r="O75" s="407"/>
      <c r="P75" s="407"/>
      <c r="Q75" s="1"/>
      <c r="R75" s="407" t="s">
        <v>41</v>
      </c>
      <c r="S75" s="407"/>
      <c r="T75" s="407"/>
    </row>
  </sheetData>
  <mergeCells count="80">
    <mergeCell ref="M27:N27"/>
    <mergeCell ref="M28:N28"/>
    <mergeCell ref="M14:N14"/>
    <mergeCell ref="M15:N15"/>
    <mergeCell ref="M18:N18"/>
    <mergeCell ref="M19:N19"/>
    <mergeCell ref="M17:N17"/>
    <mergeCell ref="M22:N22"/>
    <mergeCell ref="M23:N23"/>
    <mergeCell ref="M24:N24"/>
    <mergeCell ref="B1:I1"/>
    <mergeCell ref="B5:C5"/>
    <mergeCell ref="B6:C6"/>
    <mergeCell ref="B7:C7"/>
    <mergeCell ref="B8:C8"/>
    <mergeCell ref="D2:E2"/>
    <mergeCell ref="B14:F14"/>
    <mergeCell ref="B9:C9"/>
    <mergeCell ref="B10:C10"/>
    <mergeCell ref="B11:C11"/>
    <mergeCell ref="B12:C12"/>
    <mergeCell ref="B13:C13"/>
    <mergeCell ref="M1:T1"/>
    <mergeCell ref="O2:P2"/>
    <mergeCell ref="M5:N5"/>
    <mergeCell ref="M6:N6"/>
    <mergeCell ref="M7:N7"/>
    <mergeCell ref="H22:I22"/>
    <mergeCell ref="B17:E17"/>
    <mergeCell ref="B18:E18"/>
    <mergeCell ref="B22:E22"/>
    <mergeCell ref="M20:N20"/>
    <mergeCell ref="M21:N21"/>
    <mergeCell ref="H18:I18"/>
    <mergeCell ref="R34:T34"/>
    <mergeCell ref="R38:T38"/>
    <mergeCell ref="M8:N8"/>
    <mergeCell ref="M9:N9"/>
    <mergeCell ref="M10:N10"/>
    <mergeCell ref="M11:N11"/>
    <mergeCell ref="M12:N12"/>
    <mergeCell ref="M38:P38"/>
    <mergeCell ref="M13:N13"/>
    <mergeCell ref="M29:N29"/>
    <mergeCell ref="M30:Q30"/>
    <mergeCell ref="M33:P33"/>
    <mergeCell ref="M34:P34"/>
    <mergeCell ref="M16:N16"/>
    <mergeCell ref="M25:N25"/>
    <mergeCell ref="M26:N26"/>
    <mergeCell ref="M39:T39"/>
    <mergeCell ref="O40:P40"/>
    <mergeCell ref="M43:N43"/>
    <mergeCell ref="M45:N45"/>
    <mergeCell ref="M46:N46"/>
    <mergeCell ref="M44:N44"/>
    <mergeCell ref="M47:N47"/>
    <mergeCell ref="M48:N48"/>
    <mergeCell ref="M49:N49"/>
    <mergeCell ref="M50:N50"/>
    <mergeCell ref="M51:N51"/>
    <mergeCell ref="M52:N52"/>
    <mergeCell ref="M53:N53"/>
    <mergeCell ref="M54:N54"/>
    <mergeCell ref="M55:N55"/>
    <mergeCell ref="M56:N56"/>
    <mergeCell ref="M57:N57"/>
    <mergeCell ref="M58:N58"/>
    <mergeCell ref="M59:N59"/>
    <mergeCell ref="M60:N60"/>
    <mergeCell ref="M61:N61"/>
    <mergeCell ref="M71:P71"/>
    <mergeCell ref="R71:T71"/>
    <mergeCell ref="M75:P75"/>
    <mergeCell ref="R75:T75"/>
    <mergeCell ref="M62:N62"/>
    <mergeCell ref="M63:N63"/>
    <mergeCell ref="M66:N66"/>
    <mergeCell ref="M67:Q67"/>
    <mergeCell ref="M70:P70"/>
  </mergeCells>
  <pageMargins left="0.70866141732283472" right="0.19685039370078741" top="0.74803149606299213" bottom="0.74803149606299213" header="0.31496062992125984" footer="0.31496062992125984"/>
  <pageSetup paperSize="14" scale="80"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Anggota!$C$5:$C$40</xm:f>
          </x14:formula1>
          <xm:sqref>D6:D13 O6:O29 O44:O66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Anggota</vt:lpstr>
      <vt:lpstr>Kuitansi</vt:lpstr>
      <vt:lpstr>Perjanjian</vt:lpstr>
      <vt:lpstr>Angsuran Pokok</vt:lpstr>
      <vt:lpstr>Pembayaran</vt:lpstr>
      <vt:lpstr>Laporan</vt:lpstr>
      <vt:lpstr>LabaSHU</vt:lpstr>
      <vt:lpstr>Tagihan Bulanan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GARUDA</dc:creator>
  <cp:lastModifiedBy>RR1</cp:lastModifiedBy>
  <cp:lastPrinted>2021-07-08T03:55:22Z</cp:lastPrinted>
  <dcterms:created xsi:type="dcterms:W3CDTF">2019-04-21T01:18:26Z</dcterms:created>
  <dcterms:modified xsi:type="dcterms:W3CDTF">2022-02-01T15:54:16Z</dcterms:modified>
</cp:coreProperties>
</file>