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Sheet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<sst xmlns="http://schemas.openxmlformats.org/spreadsheetml/2006/main" count="115" uniqueCount="93">
  <si>
    <t>Current US Economy &amp; Stock Market Data</t>
  </si>
  <si>
    <r>
      <rPr>
        <rFont val="Arial"/>
        <color theme="1"/>
        <sz val="9.0"/>
      </rPr>
      <t xml:space="preserve">Make a copy by using this link: </t>
    </r>
    <r>
      <rPr>
        <rFont val="Arial"/>
        <i/>
        <color rgb="FF4A86E8"/>
        <sz val="9.0"/>
      </rPr>
      <t>https://docs.google.com/spreadsheets/d/1J_s_P6XCjzesfot19i-WqsVTaaqtpMWcQoMSu_hUSqs/copy</t>
    </r>
  </si>
  <si>
    <t>ECONOMIC  DATA</t>
  </si>
  <si>
    <t>As of:</t>
  </si>
  <si>
    <t>Value or %</t>
  </si>
  <si>
    <t>Previous Value</t>
  </si>
  <si>
    <t>Change</t>
  </si>
  <si>
    <t>INDIVIDUAL  STOCKS</t>
  </si>
  <si>
    <t>Price as of:</t>
  </si>
  <si>
    <t>90-Day Change</t>
  </si>
  <si>
    <t>Consumer Price Index (monthly)</t>
  </si>
  <si>
    <t>Microsoft ($MSFT)</t>
  </si>
  <si>
    <t>Annual Inflation Rate (monthly)</t>
  </si>
  <si>
    <t>Apple ($AAPL)</t>
  </si>
  <si>
    <t>US Unemployment Rate (monthly)</t>
  </si>
  <si>
    <t>Amazon ($AMZN)</t>
  </si>
  <si>
    <t>US Real GDP Growth (quarterly)</t>
  </si>
  <si>
    <t>Alphabet ($GOOGL)</t>
  </si>
  <si>
    <t>Facebook ($FB)</t>
  </si>
  <si>
    <t>INDICES</t>
  </si>
  <si>
    <t>% Change (Day)</t>
  </si>
  <si>
    <t>Futures (pts / %)</t>
  </si>
  <si>
    <t>Exxon Mobil ($XON)</t>
  </si>
  <si>
    <t>S&amp;P 500 Index</t>
  </si>
  <si>
    <t>Berkshire Hathaway ($BRK.A)</t>
  </si>
  <si>
    <t>Dow Jones Industrial Average</t>
  </si>
  <si>
    <t>Visa ($V)</t>
  </si>
  <si>
    <t>NASDAQ Composite</t>
  </si>
  <si>
    <t>Mastercard ($M)</t>
  </si>
  <si>
    <t>Russell 2000</t>
  </si>
  <si>
    <t>~~ / ~~</t>
  </si>
  <si>
    <t>JPMorgan Chase ($JPM)</t>
  </si>
  <si>
    <t>CBOE VIX (Volatility Index)</t>
  </si>
  <si>
    <t>Tesla ($TSLA)</t>
  </si>
  <si>
    <t>Nikkei 225 Index (Japan)</t>
  </si>
  <si>
    <t>Bank of America ($BAC)</t>
  </si>
  <si>
    <t>DAX (Germany)</t>
  </si>
  <si>
    <t>Walmart ($WMT)</t>
  </si>
  <si>
    <t>FTSE 100 (UK)</t>
  </si>
  <si>
    <t>Hang Seng (HK)</t>
  </si>
  <si>
    <t>CRYPTO  &amp;  METALS</t>
  </si>
  <si>
    <t>Value as of:</t>
  </si>
  <si>
    <t>Change (Day)</t>
  </si>
  <si>
    <t>7-Day Change</t>
  </si>
  <si>
    <t>Bitcoin</t>
  </si>
  <si>
    <t>INTEREST  RATES</t>
  </si>
  <si>
    <t>Rate</t>
  </si>
  <si>
    <t>Bitcoin Cash</t>
  </si>
  <si>
    <t>30-year Mortgage Rates (weekly)</t>
  </si>
  <si>
    <t>Ethereum</t>
  </si>
  <si>
    <t>Fed Effective Rate (weekly)</t>
  </si>
  <si>
    <t>Litecoin</t>
  </si>
  <si>
    <t>XRP</t>
  </si>
  <si>
    <t>BONDS</t>
  </si>
  <si>
    <t>Yields as of:</t>
  </si>
  <si>
    <t>Previous Yield</t>
  </si>
  <si>
    <t>Gold</t>
  </si>
  <si>
    <t>---</t>
  </si>
  <si>
    <t>3-month (updates daily)</t>
  </si>
  <si>
    <t>Silver</t>
  </si>
  <si>
    <t>5-year (updates daily)</t>
  </si>
  <si>
    <t>Platinum</t>
  </si>
  <si>
    <t>10-year (updates daily)</t>
  </si>
  <si>
    <t>30-year (updates daily)</t>
  </si>
  <si>
    <t>CURRENCIES</t>
  </si>
  <si>
    <t>Reversed</t>
  </si>
  <si>
    <t>USD-EUR</t>
  </si>
  <si>
    <t>COMMODITIES</t>
  </si>
  <si>
    <t>CNY-USD</t>
  </si>
  <si>
    <t>BRENT Crude Oil</t>
  </si>
  <si>
    <t>GBP-USD</t>
  </si>
  <si>
    <t>Soybeans</t>
  </si>
  <si>
    <t>CAD-USD</t>
  </si>
  <si>
    <t>Corn</t>
  </si>
  <si>
    <t>CHF-USD</t>
  </si>
  <si>
    <t>Natural Gas</t>
  </si>
  <si>
    <t>AUD-USD</t>
  </si>
  <si>
    <t>Wheat</t>
  </si>
  <si>
    <t>USD-JPY</t>
  </si>
  <si>
    <t>Mortgage Rates</t>
  </si>
  <si>
    <t>Week of:</t>
  </si>
  <si>
    <t>US CPI, 258.678</t>
  </si>
  <si>
    <t>1-month % Change</t>
  </si>
  <si>
    <t>1-year change</t>
  </si>
  <si>
    <t>3 month</t>
  </si>
  <si>
    <t>6-month</t>
  </si>
  <si>
    <t>12-month</t>
  </si>
  <si>
    <t>2-year</t>
  </si>
  <si>
    <t>5-year</t>
  </si>
  <si>
    <t>10-year</t>
  </si>
  <si>
    <t>30-year</t>
  </si>
  <si>
    <t>0.00-0.25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</si>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</sst>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 h:mm:ss"/>
    <numFmt numFmtId="165" formatCode="M/d/yyyy"/>
    <numFmt numFmtId="166" formatCode="&quot;$&quot;#,##0.00"/>
    <numFmt numFmtId="167" formatCode="&quot;$&quot;#,##0"/>
    <numFmt numFmtId="168" formatCode="_(&quot;$&quot;* #,##0.00_);_(&quot;$&quot;* \(#,##0.00\);_(&quot;$&quot;* &quot;-&quot;??_);_(@_)"/>
  </numFmts>
  <fonts count="13">
    <font>
      <sz val="10.0"/>
      <color rgb="FF000000"/>
      <name val="Arial"/>
      <scheme val="minor"/>
    </font>
    <font>
      <sz val="24.0"/>
      <color theme="1"/>
      <name val="Arial"/>
      <scheme val="minor"/>
    </font>
    <font>
      <sz val="9.0"/>
      <color theme="1"/>
      <name val="Arial"/>
      <scheme val="minor"/>
    </font>
    <font>
      <b/>
      <color theme="1"/>
      <name val="Arial"/>
    </font>
    <font/>
    <font>
      <color theme="1"/>
      <name val="Arial"/>
      <scheme val="minor"/>
    </font>
    <font>
      <sz val="11.0"/>
      <color rgb="FF000000"/>
      <name val="Arial"/>
    </font>
    <font>
      <color theme="1"/>
      <name val="Arial"/>
    </font>
    <font>
      <sz val="10.0"/>
      <color rgb="FF000000"/>
      <name val="Arial"/>
    </font>
    <font>
      <sz val="11.0"/>
      <color rgb="FF000000"/>
      <name val="Inconsolata"/>
    </font>
    <font>
      <color rgb="FF000000"/>
      <name val="Arial"/>
    </font>
    <font>
      <b/>
      <color theme="1"/>
      <name val="Arial"/>
      <scheme val="minor"/>
    </font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67C73"/>
        <bgColor rgb="FFE67C73"/>
      </patternFill>
    </fill>
    <fill>
      <patternFill patternType="solid">
        <fgColor rgb="FF57BB8A"/>
        <bgColor rgb="FF57BB8A"/>
      </patternFill>
    </fill>
  </fills>
  <borders count="5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top style="thin">
        <color rgb="FF434343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medium">
        <color rgb="FF434343"/>
      </left>
      <right style="medium">
        <color rgb="FF434343"/>
      </right>
      <top style="medium">
        <color rgb="FF434343"/>
      </top>
      <bottom style="medium">
        <color rgb="FF434343"/>
      </bottom>
    </border>
    <border>
      <right style="thin">
        <color rgb="FF000000"/>
      </right>
      <top style="thin">
        <color rgb="FF434343"/>
      </top>
      <bottom style="thin">
        <color rgb="FF434343"/>
      </bottom>
    </border>
    <border>
      <left style="thin">
        <color rgb="FF000000"/>
      </left>
      <right style="thin">
        <color rgb="FF000000"/>
      </right>
      <top style="thin">
        <color rgb="FF434343"/>
      </top>
      <bottom style="thin">
        <color rgb="FF434343"/>
      </bottom>
    </border>
    <border>
      <left style="thin">
        <color rgb="FF000000"/>
      </left>
      <top style="thin">
        <color rgb="FF434343"/>
      </top>
      <bottom style="thin">
        <color rgb="FF434343"/>
      </bottom>
    </border>
    <border>
      <left style="thin">
        <color rgb="FF999999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medium">
        <color rgb="FF000000"/>
      </left>
      <right style="medium">
        <color rgb="FF434343"/>
      </right>
      <top style="medium">
        <color rgb="FF434343"/>
      </top>
      <bottom style="medium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right style="thin">
        <color rgb="FF000000"/>
      </right>
    </border>
    <border>
      <left style="thin">
        <color rgb="FF434343"/>
      </left>
      <right style="thin">
        <color rgb="FF434343"/>
      </right>
      <bottom style="thin">
        <color rgb="FF999999"/>
      </bottom>
    </border>
    <border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434343"/>
      </right>
      <bottom style="thin">
        <color rgb="FFCCCCCC"/>
      </bottom>
    </border>
    <border>
      <left style="thin">
        <color rgb="FF434343"/>
      </left>
      <right style="thin">
        <color rgb="FF999999"/>
      </right>
      <bottom style="thin">
        <color rgb="FF999999"/>
      </bottom>
    </border>
    <border>
      <bottom style="thin">
        <color rgb="FFCCCCCC"/>
      </bottom>
    </border>
    <border>
      <left style="thin">
        <color rgb="FF434343"/>
      </left>
      <right style="thin">
        <color rgb="FF434343"/>
      </right>
      <top style="thin">
        <color rgb="FF999999"/>
      </top>
      <bottom style="thin">
        <color rgb="FF999999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434343"/>
      </right>
      <top style="thin">
        <color rgb="FFCCCCCC"/>
      </top>
      <bottom style="thin">
        <color rgb="FFCCCCCC"/>
      </bottom>
    </border>
    <border>
      <left style="thin">
        <color rgb="FF434343"/>
      </left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CCCCCC"/>
      </top>
      <bottom style="thin">
        <color rgb="FFCCCCCC"/>
      </bottom>
    </border>
    <border>
      <left style="thin">
        <color rgb="FF434343"/>
      </left>
      <right style="thin">
        <color rgb="FF434343"/>
      </right>
      <bottom style="thin">
        <color rgb="FF000000"/>
      </bottom>
    </border>
    <border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434343"/>
      </right>
      <top style="thin">
        <color rgb="FFCCCCCC"/>
      </top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999999"/>
      </top>
    </border>
    <border>
      <left style="thin">
        <color rgb="FF434343"/>
      </left>
      <right style="thin">
        <color rgb="FF999999"/>
      </right>
      <top style="thin">
        <color rgb="FF999999"/>
      </top>
      <bottom style="thin">
        <color rgb="FF000000"/>
      </bottom>
    </border>
    <border>
      <top style="thin">
        <color rgb="FFCCCCCC"/>
      </top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999999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434343"/>
      </bottom>
    </border>
    <border>
      <left style="thin">
        <color rgb="FFCCCCCC"/>
      </left>
      <right style="thin">
        <color rgb="FF434343"/>
      </right>
      <top style="thin">
        <color rgb="FFCCCCCC"/>
      </top>
      <bottom style="thin">
        <color rgb="FF434343"/>
      </bottom>
    </border>
    <border>
      <left style="medium">
        <color rgb="FF000000"/>
      </left>
      <right style="medium">
        <color rgb="FF434343"/>
      </right>
      <top style="medium">
        <color rgb="FF000000"/>
      </top>
      <bottom style="medium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999999"/>
      </right>
      <bottom style="thin">
        <color rgb="FF000000"/>
      </bottom>
    </border>
    <border>
      <left style="thin">
        <color rgb="FFCCCCCC"/>
      </left>
      <right style="thin">
        <color rgb="FF000000"/>
      </right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666666"/>
      </bottom>
    </border>
    <border>
      <right style="thin">
        <color rgb="FFCCCCCC"/>
      </right>
      <top style="thin">
        <color rgb="FFCCCCCC"/>
      </top>
      <bottom style="thin">
        <color rgb="FF666666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666666"/>
      </bottom>
    </border>
    <border>
      <left style="thin">
        <color rgb="FFCCCCCC"/>
      </left>
      <right style="thin">
        <color rgb="FF434343"/>
      </right>
      <top style="thin">
        <color rgb="FFCCCCCC"/>
      </top>
      <bottom style="thin">
        <color rgb="FF666666"/>
      </bottom>
    </border>
    <border>
      <left style="thin">
        <color rgb="FF434343"/>
      </left>
      <right style="thin">
        <color rgb="FF999999"/>
      </right>
      <bottom style="thin">
        <color rgb="FF666666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434343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2" fillId="0" fontId="4" numFmtId="0" xfId="0" applyBorder="1" applyFont="1"/>
    <xf borderId="2" fillId="0" fontId="5" numFmtId="0" xfId="0" applyBorder="1" applyFont="1"/>
    <xf borderId="3" fillId="0" fontId="5" numFmtId="0" xfId="0" applyAlignment="1" applyBorder="1" applyFont="1">
      <alignment readingOrder="0"/>
    </xf>
    <xf borderId="3" fillId="0" fontId="4" numFmtId="0" xfId="0" applyBorder="1" applyFont="1"/>
    <xf borderId="4" fillId="2" fontId="6" numFmtId="0" xfId="0" applyAlignment="1" applyBorder="1" applyFont="1">
      <alignment horizontal="center" vertical="bottom"/>
    </xf>
    <xf borderId="5" fillId="0" fontId="4" numFmtId="0" xfId="0" applyBorder="1" applyFont="1"/>
    <xf borderId="6" fillId="0" fontId="3" numFmtId="0" xfId="0" applyAlignment="1" applyBorder="1" applyFont="1">
      <alignment horizontal="center" readingOrder="0" vertical="bottom"/>
    </xf>
    <xf borderId="7" fillId="3" fontId="7" numFmtId="0" xfId="0" applyAlignment="1" applyBorder="1" applyFill="1" applyFont="1">
      <alignment horizontal="center" vertical="bottom"/>
    </xf>
    <xf borderId="8" fillId="3" fontId="7" numFmtId="0" xfId="0" applyAlignment="1" applyBorder="1" applyFont="1">
      <alignment horizontal="center" readingOrder="0" vertical="bottom"/>
    </xf>
    <xf borderId="9" fillId="3" fontId="7" numFmtId="0" xfId="0" applyAlignment="1" applyBorder="1" applyFont="1">
      <alignment horizontal="center" vertical="bottom"/>
    </xf>
    <xf borderId="10" fillId="3" fontId="7" numFmtId="0" xfId="0" applyAlignment="1" applyBorder="1" applyFont="1">
      <alignment horizontal="center" vertical="bottom"/>
    </xf>
    <xf borderId="11" fillId="0" fontId="3" numFmtId="0" xfId="0" applyAlignment="1" applyBorder="1" applyFont="1">
      <alignment horizontal="center" readingOrder="0" vertical="bottom"/>
    </xf>
    <xf borderId="12" fillId="3" fontId="7" numFmtId="0" xfId="0" applyAlignment="1" applyBorder="1" applyFont="1">
      <alignment horizontal="right" readingOrder="0" vertical="bottom"/>
    </xf>
    <xf borderId="13" fillId="3" fontId="7" numFmtId="164" xfId="0" applyAlignment="1" applyBorder="1" applyFont="1" applyNumberFormat="1">
      <alignment horizontal="left" vertical="bottom"/>
    </xf>
    <xf borderId="13" fillId="3" fontId="8" numFmtId="0" xfId="0" applyAlignment="1" applyBorder="1" applyFont="1">
      <alignment horizontal="center" readingOrder="0" vertical="bottom"/>
    </xf>
    <xf borderId="14" fillId="0" fontId="4" numFmtId="0" xfId="0" applyBorder="1" applyFont="1"/>
    <xf borderId="15" fillId="3" fontId="7" numFmtId="0" xfId="0" applyAlignment="1" applyBorder="1" applyFont="1">
      <alignment vertical="bottom"/>
    </xf>
    <xf borderId="16" fillId="2" fontId="0" numFmtId="165" xfId="0" applyAlignment="1" applyBorder="1" applyFont="1" applyNumberFormat="1">
      <alignment horizontal="right"/>
    </xf>
    <xf borderId="17" fillId="0" fontId="7" numFmtId="0" xfId="0" applyAlignment="1" applyBorder="1" applyFont="1">
      <alignment horizontal="right" vertical="bottom"/>
    </xf>
    <xf borderId="18" fillId="0" fontId="7" numFmtId="0" xfId="0" applyAlignment="1" applyBorder="1" applyFont="1">
      <alignment horizontal="right" vertical="bottom"/>
    </xf>
    <xf borderId="19" fillId="3" fontId="7" numFmtId="0" xfId="0" applyAlignment="1" applyBorder="1" applyFont="1">
      <alignment vertical="bottom"/>
    </xf>
    <xf borderId="20" fillId="0" fontId="7" numFmtId="166" xfId="0" applyAlignment="1" applyBorder="1" applyFont="1" applyNumberFormat="1">
      <alignment horizontal="center" vertical="bottom"/>
    </xf>
    <xf borderId="16" fillId="0" fontId="4" numFmtId="0" xfId="0" applyBorder="1" applyFont="1"/>
    <xf borderId="17" fillId="0" fontId="7" numFmtId="10" xfId="0" applyAlignment="1" applyBorder="1" applyFont="1" applyNumberFormat="1">
      <alignment horizontal="right" vertical="bottom"/>
    </xf>
    <xf borderId="18" fillId="0" fontId="5" numFmtId="0" xfId="0" applyBorder="1" applyFont="1"/>
    <xf borderId="21" fillId="3" fontId="7" numFmtId="0" xfId="0" applyAlignment="1" applyBorder="1" applyFont="1">
      <alignment vertical="bottom"/>
    </xf>
    <xf borderId="22" fillId="0" fontId="7" numFmtId="165" xfId="0" applyAlignment="1" applyBorder="1" applyFont="1" applyNumberFormat="1">
      <alignment horizontal="right" vertical="bottom"/>
    </xf>
    <xf borderId="23" fillId="0" fontId="7" numFmtId="10" xfId="0" applyAlignment="1" applyBorder="1" applyFont="1" applyNumberFormat="1">
      <alignment horizontal="right" vertical="bottom"/>
    </xf>
    <xf borderId="24" fillId="0" fontId="7" numFmtId="10" xfId="0" applyAlignment="1" applyBorder="1" applyFont="1" applyNumberFormat="1">
      <alignment horizontal="right" vertical="bottom"/>
    </xf>
    <xf borderId="25" fillId="3" fontId="7" numFmtId="0" xfId="0" applyAlignment="1" applyBorder="1" applyFont="1">
      <alignment vertical="bottom"/>
    </xf>
    <xf borderId="26" fillId="0" fontId="7" numFmtId="166" xfId="0" applyAlignment="1" applyBorder="1" applyFont="1" applyNumberFormat="1">
      <alignment horizontal="center" vertical="bottom"/>
    </xf>
    <xf borderId="22" fillId="0" fontId="4" numFmtId="0" xfId="0" applyBorder="1" applyFont="1"/>
    <xf borderId="24" fillId="2" fontId="9" numFmtId="0" xfId="0" applyAlignment="1" applyBorder="1" applyFont="1">
      <alignment horizontal="left"/>
    </xf>
    <xf borderId="15" fillId="3" fontId="7" numFmtId="0" xfId="0" applyAlignment="1" applyBorder="1" applyFont="1">
      <alignment readingOrder="0" vertical="bottom"/>
    </xf>
    <xf borderId="27" fillId="3" fontId="7" numFmtId="0" xfId="0" applyAlignment="1" applyBorder="1" applyFont="1">
      <alignment readingOrder="0" vertical="bottom"/>
    </xf>
    <xf borderId="28" fillId="0" fontId="7" numFmtId="165" xfId="0" applyAlignment="1" applyBorder="1" applyFont="1" applyNumberFormat="1">
      <alignment horizontal="right" vertical="bottom"/>
    </xf>
    <xf borderId="29" fillId="0" fontId="7" numFmtId="10" xfId="0" applyAlignment="1" applyBorder="1" applyFont="1" applyNumberFormat="1">
      <alignment horizontal="right" vertical="bottom"/>
    </xf>
    <xf borderId="30" fillId="0" fontId="7" numFmtId="10" xfId="0" applyAlignment="1" applyBorder="1" applyFont="1" applyNumberFormat="1">
      <alignment horizontal="right" vertical="bottom"/>
    </xf>
    <xf borderId="19" fillId="3" fontId="7" numFmtId="0" xfId="0" applyAlignment="1" applyBorder="1" applyFont="1">
      <alignment readingOrder="0" vertical="bottom"/>
    </xf>
    <xf borderId="23" fillId="2" fontId="10" numFmtId="10" xfId="0" applyAlignment="1" applyBorder="1" applyFont="1" applyNumberFormat="1">
      <alignment horizontal="right" vertical="bottom"/>
    </xf>
    <xf borderId="0" fillId="0" fontId="11" numFmtId="0" xfId="0" applyAlignment="1" applyFont="1">
      <alignment horizontal="center" readingOrder="0"/>
    </xf>
    <xf borderId="25" fillId="3" fontId="7" numFmtId="0" xfId="0" applyAlignment="1" applyBorder="1" applyFont="1">
      <alignment readingOrder="0" vertical="bottom"/>
    </xf>
    <xf borderId="23" fillId="0" fontId="7" numFmtId="10" xfId="0" applyAlignment="1" applyBorder="1" applyFont="1" applyNumberFormat="1">
      <alignment vertical="bottom"/>
    </xf>
    <xf borderId="6" fillId="0" fontId="11" numFmtId="0" xfId="0" applyAlignment="1" applyBorder="1" applyFont="1">
      <alignment horizontal="center" readingOrder="0"/>
    </xf>
    <xf borderId="12" fillId="3" fontId="5" numFmtId="0" xfId="0" applyAlignment="1" applyBorder="1" applyFont="1">
      <alignment horizontal="center" readingOrder="0"/>
    </xf>
    <xf borderId="10" fillId="3" fontId="5" numFmtId="0" xfId="0" applyAlignment="1" applyBorder="1" applyFont="1">
      <alignment horizontal="center" readingOrder="0"/>
    </xf>
    <xf borderId="15" fillId="3" fontId="5" numFmtId="0" xfId="0" applyAlignment="1" applyBorder="1" applyFont="1">
      <alignment readingOrder="0"/>
    </xf>
    <xf borderId="20" fillId="0" fontId="5" numFmtId="166" xfId="0" applyAlignment="1" applyBorder="1" applyFont="1" applyNumberFormat="1">
      <alignment horizontal="center"/>
    </xf>
    <xf borderId="17" fillId="0" fontId="5" numFmtId="0" xfId="0" applyAlignment="1" applyBorder="1" applyFont="1">
      <alignment readingOrder="0"/>
    </xf>
    <xf borderId="18" fillId="0" fontId="5" numFmtId="0" xfId="0" applyAlignment="1" applyBorder="1" applyFont="1">
      <alignment horizontal="center"/>
    </xf>
    <xf borderId="21" fillId="3" fontId="5" numFmtId="0" xfId="0" applyAlignment="1" applyBorder="1" applyFont="1">
      <alignment readingOrder="0"/>
    </xf>
    <xf borderId="26" fillId="0" fontId="5" numFmtId="166" xfId="0" applyAlignment="1" applyBorder="1" applyFont="1" applyNumberFormat="1">
      <alignment horizontal="center"/>
    </xf>
    <xf borderId="23" fillId="0" fontId="5" numFmtId="0" xfId="0" applyBorder="1" applyFont="1"/>
    <xf borderId="24" fillId="0" fontId="5" numFmtId="0" xfId="0" applyAlignment="1" applyBorder="1" applyFont="1">
      <alignment horizontal="center"/>
    </xf>
    <xf borderId="31" fillId="3" fontId="5" numFmtId="0" xfId="0" applyAlignment="1" applyBorder="1" applyFont="1">
      <alignment readingOrder="0"/>
    </xf>
    <xf borderId="24" fillId="0" fontId="5" numFmtId="0" xfId="0" applyAlignment="1" applyBorder="1" applyFont="1">
      <alignment horizontal="center" readingOrder="0"/>
    </xf>
    <xf borderId="23" fillId="2" fontId="0" numFmtId="0" xfId="0" applyAlignment="1" applyBorder="1" applyFont="1">
      <alignment horizontal="right"/>
    </xf>
    <xf borderId="25" fillId="3" fontId="5" numFmtId="0" xfId="0" applyAlignment="1" applyBorder="1" applyFont="1">
      <alignment readingOrder="0"/>
    </xf>
    <xf borderId="23" fillId="0" fontId="5" numFmtId="10" xfId="0" applyBorder="1" applyFont="1" applyNumberFormat="1"/>
    <xf borderId="23" fillId="0" fontId="12" numFmtId="0" xfId="0" applyBorder="1" applyFont="1"/>
    <xf borderId="32" fillId="3" fontId="5" numFmtId="0" xfId="0" applyAlignment="1" applyBorder="1" applyFont="1">
      <alignment readingOrder="0"/>
    </xf>
    <xf borderId="33" fillId="0" fontId="5" numFmtId="166" xfId="0" applyAlignment="1" applyBorder="1" applyFont="1" applyNumberFormat="1">
      <alignment horizontal="center"/>
    </xf>
    <xf borderId="28" fillId="0" fontId="4" numFmtId="0" xfId="0" applyBorder="1" applyFont="1"/>
    <xf borderId="29" fillId="0" fontId="5" numFmtId="10" xfId="0" applyBorder="1" applyFont="1" applyNumberFormat="1"/>
    <xf borderId="30" fillId="2" fontId="6" numFmtId="0" xfId="0" applyAlignment="1" applyBorder="1" applyFont="1">
      <alignment horizontal="center" vertical="bottom"/>
    </xf>
    <xf borderId="34" fillId="3" fontId="5" numFmtId="0" xfId="0" applyAlignment="1" applyBorder="1" applyFont="1">
      <alignment readingOrder="0"/>
    </xf>
    <xf borderId="35" fillId="2" fontId="0" numFmtId="0" xfId="0" applyAlignment="1" applyBorder="1" applyFont="1">
      <alignment horizontal="right"/>
    </xf>
    <xf borderId="36" fillId="0" fontId="5" numFmtId="0" xfId="0" applyAlignment="1" applyBorder="1" applyFont="1">
      <alignment horizontal="center" readingOrder="0"/>
    </xf>
    <xf borderId="37" fillId="0" fontId="3" numFmtId="0" xfId="0" applyAlignment="1" applyBorder="1" applyFont="1">
      <alignment horizontal="center" readingOrder="0" vertical="bottom"/>
    </xf>
    <xf borderId="13" fillId="3" fontId="5" numFmtId="0" xfId="0" applyAlignment="1" applyBorder="1" applyFont="1">
      <alignment horizontal="center" readingOrder="0"/>
    </xf>
    <xf borderId="38" fillId="3" fontId="7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right" readingOrder="0"/>
    </xf>
    <xf borderId="19" fillId="3" fontId="7" numFmtId="0" xfId="0" applyAlignment="1" applyBorder="1" applyFont="1">
      <alignment vertical="bottom"/>
    </xf>
    <xf borderId="17" fillId="0" fontId="5" numFmtId="0" xfId="0" applyAlignment="1" applyBorder="1" applyFont="1">
      <alignment horizontal="right"/>
    </xf>
    <xf borderId="18" fillId="4" fontId="7" numFmtId="0" xfId="0" applyAlignment="1" applyBorder="1" applyFill="1" applyFont="1">
      <alignment horizontal="right" vertical="bottom"/>
    </xf>
    <xf borderId="7" fillId="3" fontId="5" numFmtId="0" xfId="0" applyAlignment="1" applyBorder="1" applyFont="1">
      <alignment horizontal="center" readingOrder="0"/>
    </xf>
    <xf borderId="8" fillId="3" fontId="5" numFmtId="0" xfId="0" applyAlignment="1" applyBorder="1" applyFont="1">
      <alignment horizontal="center" readingOrder="0"/>
    </xf>
    <xf borderId="9" fillId="3" fontId="5" numFmtId="0" xfId="0" applyAlignment="1" applyBorder="1" applyFont="1">
      <alignment horizontal="center" readingOrder="0"/>
    </xf>
    <xf borderId="38" fillId="3" fontId="5" numFmtId="0" xfId="0" applyAlignment="1" applyBorder="1" applyFont="1">
      <alignment horizontal="center" readingOrder="0"/>
    </xf>
    <xf borderId="23" fillId="0" fontId="5" numFmtId="0" xfId="0" applyAlignment="1" applyBorder="1" applyFont="1">
      <alignment horizontal="right" readingOrder="0"/>
    </xf>
    <xf borderId="24" fillId="4" fontId="7" numFmtId="0" xfId="0" applyAlignment="1" applyBorder="1" applyFont="1">
      <alignment horizontal="right" vertical="bottom"/>
    </xf>
    <xf borderId="16" fillId="0" fontId="5" numFmtId="165" xfId="0" applyAlignment="1" applyBorder="1" applyFont="1" applyNumberFormat="1">
      <alignment readingOrder="0"/>
    </xf>
    <xf borderId="17" fillId="0" fontId="5" numFmtId="10" xfId="0" applyAlignment="1" applyBorder="1" applyFont="1" applyNumberFormat="1">
      <alignment readingOrder="0"/>
    </xf>
    <xf borderId="17" fillId="0" fontId="5" numFmtId="10" xfId="0" applyBorder="1" applyFont="1" applyNumberFormat="1"/>
    <xf borderId="18" fillId="0" fontId="5" numFmtId="10" xfId="0" applyBorder="1" applyFont="1" applyNumberFormat="1"/>
    <xf borderId="23" fillId="0" fontId="5" numFmtId="0" xfId="0" applyAlignment="1" applyBorder="1" applyFont="1">
      <alignment horizontal="right"/>
    </xf>
    <xf borderId="28" fillId="0" fontId="5" numFmtId="165" xfId="0" applyBorder="1" applyFont="1" applyNumberFormat="1"/>
    <xf borderId="29" fillId="0" fontId="5" numFmtId="0" xfId="0" applyBorder="1" applyFont="1"/>
    <xf borderId="30" fillId="0" fontId="5" numFmtId="0" xfId="0" applyBorder="1" applyFont="1"/>
    <xf borderId="24" fillId="4" fontId="7" numFmtId="0" xfId="0" applyAlignment="1" applyBorder="1" applyFont="1">
      <alignment horizontal="right" readingOrder="0" vertical="bottom"/>
    </xf>
    <xf borderId="0" fillId="0" fontId="5" numFmtId="0" xfId="0" applyAlignment="1" applyFont="1">
      <alignment readingOrder="0"/>
    </xf>
    <xf borderId="12" fillId="3" fontId="5" numFmtId="0" xfId="0" applyAlignment="1" applyBorder="1" applyFont="1">
      <alignment horizontal="right" readingOrder="0"/>
    </xf>
    <xf borderId="7" fillId="3" fontId="5" numFmtId="164" xfId="0" applyAlignment="1" applyBorder="1" applyFont="1" applyNumberFormat="1">
      <alignment horizontal="left" readingOrder="0"/>
    </xf>
    <xf borderId="23" fillId="0" fontId="5" numFmtId="10" xfId="0" applyAlignment="1" applyBorder="1" applyFont="1" applyNumberFormat="1">
      <alignment horizontal="right"/>
    </xf>
    <xf borderId="24" fillId="0" fontId="7" numFmtId="0" xfId="0" applyAlignment="1" applyBorder="1" applyFont="1">
      <alignment horizontal="center" readingOrder="0" vertical="bottom"/>
    </xf>
    <xf borderId="15" fillId="3" fontId="5" numFmtId="0" xfId="0" applyAlignment="1" applyBorder="1" applyFont="1">
      <alignment horizontal="left" readingOrder="0"/>
    </xf>
    <xf borderId="20" fillId="0" fontId="5" numFmtId="10" xfId="0" applyAlignment="1" applyBorder="1" applyFont="1" applyNumberFormat="1">
      <alignment horizontal="center"/>
    </xf>
    <xf borderId="17" fillId="0" fontId="5" numFmtId="0" xfId="0" applyBorder="1" applyFont="1"/>
    <xf borderId="26" fillId="0" fontId="5" numFmtId="0" xfId="0" applyAlignment="1" applyBorder="1" applyFont="1">
      <alignment horizontal="center" readingOrder="0"/>
    </xf>
    <xf borderId="21" fillId="3" fontId="5" numFmtId="0" xfId="0" applyAlignment="1" applyBorder="1" applyFont="1">
      <alignment horizontal="left" readingOrder="0"/>
    </xf>
    <xf borderId="26" fillId="0" fontId="5" numFmtId="10" xfId="0" applyAlignment="1" applyBorder="1" applyFont="1" applyNumberFormat="1">
      <alignment horizontal="center" readingOrder="0"/>
    </xf>
    <xf borderId="24" fillId="0" fontId="5" numFmtId="10" xfId="0" applyBorder="1" applyFont="1" applyNumberFormat="1"/>
    <xf borderId="39" fillId="3" fontId="7" numFmtId="0" xfId="0" applyAlignment="1" applyBorder="1" applyFont="1">
      <alignment readingOrder="0" vertical="bottom"/>
    </xf>
    <xf borderId="33" fillId="0" fontId="7" numFmtId="166" xfId="0" applyAlignment="1" applyBorder="1" applyFont="1" applyNumberFormat="1">
      <alignment horizontal="center" vertical="bottom"/>
    </xf>
    <xf borderId="29" fillId="0" fontId="5" numFmtId="10" xfId="0" applyAlignment="1" applyBorder="1" applyFont="1" applyNumberFormat="1">
      <alignment horizontal="right"/>
    </xf>
    <xf borderId="36" fillId="0" fontId="7" numFmtId="0" xfId="0" applyAlignment="1" applyBorder="1" applyFont="1">
      <alignment horizontal="center" readingOrder="0" vertical="bottom"/>
    </xf>
    <xf borderId="34" fillId="3" fontId="5" numFmtId="0" xfId="0" applyAlignment="1" applyBorder="1" applyFont="1">
      <alignment horizontal="left" readingOrder="0"/>
    </xf>
    <xf borderId="33" fillId="0" fontId="5" numFmtId="10" xfId="0" applyAlignment="1" applyBorder="1" applyFont="1" applyNumberFormat="1">
      <alignment horizontal="center" readingOrder="0"/>
    </xf>
    <xf borderId="30" fillId="0" fontId="5" numFmtId="10" xfId="0" applyBorder="1" applyFont="1" applyNumberFormat="1"/>
    <xf borderId="0" fillId="0" fontId="5" numFmtId="0" xfId="0" applyAlignment="1" applyFont="1">
      <alignment horizontal="center" readingOrder="0"/>
    </xf>
    <xf borderId="17" fillId="0" fontId="5" numFmtId="166" xfId="0" applyAlignment="1" applyBorder="1" applyFont="1" applyNumberFormat="1">
      <alignment horizontal="right" readingOrder="0"/>
    </xf>
    <xf borderId="40" fillId="2" fontId="8" numFmtId="10" xfId="0" applyAlignment="1" applyBorder="1" applyFont="1" applyNumberFormat="1">
      <alignment horizontal="center" vertical="bottom"/>
    </xf>
    <xf borderId="7" fillId="3" fontId="5" numFmtId="14" xfId="0" applyAlignment="1" applyBorder="1" applyFont="1" applyNumberFormat="1">
      <alignment horizontal="left" readingOrder="0"/>
    </xf>
    <xf borderId="23" fillId="0" fontId="5" numFmtId="166" xfId="0" applyAlignment="1" applyBorder="1" applyFont="1" applyNumberFormat="1">
      <alignment horizontal="right"/>
    </xf>
    <xf borderId="41" fillId="2" fontId="8" numFmtId="10" xfId="0" applyAlignment="1" applyBorder="1" applyFont="1" applyNumberFormat="1">
      <alignment horizontal="center" vertical="bottom"/>
    </xf>
    <xf borderId="25" fillId="3" fontId="5" numFmtId="0" xfId="0" applyAlignment="1" applyBorder="1" applyFont="1">
      <alignment horizontal="left" readingOrder="0"/>
    </xf>
    <xf borderId="20" fillId="0" fontId="5" numFmtId="0" xfId="0" applyAlignment="1" applyBorder="1" applyFont="1">
      <alignment horizontal="center"/>
    </xf>
    <xf borderId="18" fillId="5" fontId="5" numFmtId="0" xfId="0" applyAlignment="1" applyBorder="1" applyFill="1" applyFont="1">
      <alignment horizontal="right"/>
    </xf>
    <xf borderId="26" fillId="0" fontId="5" numFmtId="0" xfId="0" applyAlignment="1" applyBorder="1" applyFont="1">
      <alignment horizontal="center"/>
    </xf>
    <xf borderId="24" fillId="5" fontId="5" numFmtId="0" xfId="0" applyAlignment="1" applyBorder="1" applyFont="1">
      <alignment horizontal="right"/>
    </xf>
    <xf borderId="24" fillId="5" fontId="5" numFmtId="0" xfId="0" applyAlignment="1" applyBorder="1" applyFont="1">
      <alignment horizontal="right"/>
    </xf>
    <xf borderId="23" fillId="0" fontId="5" numFmtId="0" xfId="0" applyAlignment="1" applyBorder="1" applyFont="1">
      <alignment readingOrder="0"/>
    </xf>
    <xf borderId="24" fillId="5" fontId="5" numFmtId="0" xfId="0" applyAlignment="1" applyBorder="1" applyFont="1">
      <alignment horizontal="right" readingOrder="0"/>
    </xf>
    <xf borderId="32" fillId="3" fontId="5" numFmtId="0" xfId="0" applyAlignment="1" applyBorder="1" applyFont="1">
      <alignment horizontal="left" readingOrder="0"/>
    </xf>
    <xf borderId="42" fillId="0" fontId="5" numFmtId="0" xfId="0" applyAlignment="1" applyBorder="1" applyFont="1">
      <alignment horizontal="center"/>
    </xf>
    <xf borderId="43" fillId="0" fontId="4" numFmtId="0" xfId="0" applyBorder="1" applyFont="1"/>
    <xf borderId="44" fillId="0" fontId="5" numFmtId="0" xfId="0" applyBorder="1" applyFont="1"/>
    <xf borderId="45" fillId="5" fontId="5" numFmtId="0" xfId="0" applyAlignment="1" applyBorder="1" applyFont="1">
      <alignment horizontal="right"/>
    </xf>
    <xf borderId="46" fillId="3" fontId="7" numFmtId="0" xfId="0" applyAlignment="1" applyBorder="1" applyFont="1">
      <alignment readingOrder="0" vertical="bottom"/>
    </xf>
    <xf borderId="42" fillId="0" fontId="7" numFmtId="166" xfId="0" applyAlignment="1" applyBorder="1" applyFont="1" applyNumberFormat="1">
      <alignment horizontal="center" vertical="bottom"/>
    </xf>
    <xf borderId="44" fillId="0" fontId="5" numFmtId="166" xfId="0" applyAlignment="1" applyBorder="1" applyFont="1" applyNumberFormat="1">
      <alignment horizontal="right"/>
    </xf>
    <xf borderId="47" fillId="2" fontId="8" numFmtId="10" xfId="0" applyAlignment="1" applyBorder="1" applyFont="1" applyNumberFormat="1">
      <alignment horizontal="center" vertical="bottom"/>
    </xf>
    <xf borderId="48" fillId="0" fontId="4" numFmtId="0" xfId="0" applyBorder="1" applyFont="1"/>
    <xf borderId="49" fillId="0" fontId="5" numFmtId="0" xfId="0" applyBorder="1" applyFont="1"/>
    <xf borderId="49" fillId="0" fontId="4" numFmtId="0" xfId="0" applyBorder="1" applyFont="1"/>
    <xf borderId="50" fillId="0" fontId="4" numFmtId="0" xfId="0" applyBorder="1" applyFont="1"/>
    <xf borderId="0" fillId="0" fontId="5" numFmtId="0" xfId="0" applyAlignment="1" applyFont="1">
      <alignment horizontal="left"/>
    </xf>
    <xf borderId="0" fillId="0" fontId="5" numFmtId="10" xfId="0" applyFont="1" applyNumberFormat="1"/>
    <xf borderId="0" fillId="0" fontId="5" numFmtId="0" xfId="0" applyFont="1"/>
    <xf borderId="0" fillId="0" fontId="5" numFmtId="167" xfId="0" applyFont="1" applyNumberFormat="1"/>
    <xf borderId="0" fillId="0" fontId="5" numFmtId="166" xfId="0" applyFont="1" applyNumberFormat="1"/>
    <xf borderId="0" fillId="0" fontId="5" numFmtId="3" xfId="0" applyFont="1" applyNumberFormat="1"/>
    <xf borderId="0" fillId="0" fontId="5" numFmtId="168" xfId="0" applyFont="1" applyNumberFormat="1"/>
    <xf borderId="0" fillId="0" fontId="5" numFmtId="164" xfId="0" applyFont="1" applyNumberFormat="1"/>
    <xf borderId="0" fillId="0" fontId="5" numFmtId="2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E67C73"/>
          <bgColor rgb="FFE67C7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E4928B"/>
          <bgColor rgb="FFE4928B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25"/>
    <col customWidth="1" min="2" max="2" width="3.38"/>
    <col customWidth="1" min="3" max="3" width="26.13"/>
    <col customWidth="1" min="4" max="4" width="12.63"/>
    <col customWidth="1" min="5" max="5" width="16.13"/>
    <col customWidth="1" min="6" max="6" width="16.0"/>
    <col customWidth="1" min="7" max="7" width="17.5"/>
    <col customWidth="1" min="8" max="8" width="3.63"/>
    <col customWidth="1" min="9" max="9" width="23.0"/>
    <col customWidth="1" min="10" max="10" width="12.13"/>
    <col customWidth="1" min="11" max="11" width="16.63"/>
    <col customWidth="1" min="12" max="12" width="13.63"/>
    <col customWidth="1" min="13" max="13" width="15.75"/>
    <col customWidth="1" min="14" max="14" width="4.25"/>
  </cols>
  <sheetData>
    <row r="1" ht="35.25" customHeight="1">
      <c r="B1" s="1" t="s">
        <v>0</v>
      </c>
    </row>
    <row r="2" ht="18.75" customHeight="1">
      <c r="B2" s="2" t="s">
        <v>1</v>
      </c>
    </row>
    <row r="3" ht="19.5" customHeight="1">
      <c r="B3" s="3"/>
      <c r="C3" s="4"/>
      <c r="D3" s="5"/>
      <c r="E3" s="5"/>
      <c r="F3" s="5"/>
      <c r="G3" s="5"/>
      <c r="H3" s="6"/>
      <c r="I3" s="7"/>
      <c r="J3" s="8"/>
      <c r="K3" s="8"/>
      <c r="L3" s="8"/>
      <c r="M3" s="8"/>
      <c r="N3" s="9"/>
    </row>
    <row r="4">
      <c r="B4" s="10"/>
      <c r="C4" s="11" t="s">
        <v>2</v>
      </c>
      <c r="D4" s="12" t="s">
        <v>3</v>
      </c>
      <c r="E4" s="13" t="s">
        <v>4</v>
      </c>
      <c r="F4" s="14" t="s">
        <v>5</v>
      </c>
      <c r="G4" s="15" t="s">
        <v>6</v>
      </c>
      <c r="I4" s="16" t="s">
        <v>7</v>
      </c>
      <c r="J4" s="17" t="s">
        <v>8</v>
      </c>
      <c r="K4" s="18">
        <f>NOW()</f>
        <v>45902.07676</v>
      </c>
      <c r="L4" s="19" t="s">
        <v>6</v>
      </c>
      <c r="M4" s="19" t="s">
        <v>9</v>
      </c>
      <c r="N4" s="20"/>
    </row>
    <row r="5">
      <c r="B5" s="10"/>
      <c r="C5" s="21" t="s">
        <v>10</v>
      </c>
      <c r="D5" s="22" t="str">
        <f>Data!C155+1</f>
        <v>#N/A</v>
      </c>
      <c r="E5" s="23" t="str">
        <f>Data!E14</f>
        <v/>
      </c>
      <c r="F5" s="23">
        <f>Data!E14-Data!E15</f>
        <v>0</v>
      </c>
      <c r="G5" s="24">
        <f t="shared" ref="G5:G8" si="1">E5-F5</f>
        <v>0</v>
      </c>
      <c r="I5" s="25" t="s">
        <v>11</v>
      </c>
      <c r="J5" s="26">
        <f>IFERROR(__xludf.DUMMYFUNCTION("googlefinance(""msft"", ""price"")"),506.69)</f>
        <v>506.69</v>
      </c>
      <c r="K5" s="27"/>
      <c r="L5" s="28">
        <f>IFERROR(__xludf.DUMMYFUNCTION("googlefinance(""msft"", ""changepct"")/100"),-0.0058)</f>
        <v>-0.0058</v>
      </c>
      <c r="M5" s="29" t="str">
        <f>IFERROR(__xludf.DUMMYFUNCTION("IF(G5="""","""",sparkline(GoogleFinance(""MSFT"", ""close"", today()-90, today())))"),"")</f>
        <v/>
      </c>
      <c r="N5" s="20"/>
    </row>
    <row r="6">
      <c r="B6" s="10"/>
      <c r="C6" s="30" t="s">
        <v>12</v>
      </c>
      <c r="D6" s="31" t="str">
        <f>Data!C155+1</f>
        <v>#N/A</v>
      </c>
      <c r="E6" s="32" t="str">
        <f>Data!C156</f>
        <v/>
      </c>
      <c r="F6" s="32" t="str">
        <f>Data!C158</f>
        <v/>
      </c>
      <c r="G6" s="33">
        <f t="shared" si="1"/>
        <v>0</v>
      </c>
      <c r="I6" s="34" t="s">
        <v>13</v>
      </c>
      <c r="J6" s="35">
        <f>IFERROR(__xludf.DUMMYFUNCTION("googlefinance(""aapl"", ""price"")"),232.14)</f>
        <v>232.14</v>
      </c>
      <c r="K6" s="36"/>
      <c r="L6" s="32">
        <f>IFERROR(__xludf.DUMMYFUNCTION("googlefinance(""msft"", ""changepct"")/100"),-0.0058)</f>
        <v>-0.0058</v>
      </c>
      <c r="M6" s="37" t="str">
        <f>IFERROR(__xludf.DUMMYFUNCTION("sparkline(GoogleFinance(""aapl""))"),"#N/A")</f>
        <v>#N/A</v>
      </c>
      <c r="N6" s="20"/>
    </row>
    <row r="7">
      <c r="B7" s="10"/>
      <c r="C7" s="38" t="s">
        <v>14</v>
      </c>
      <c r="D7" s="31" t="str">
        <f>Data!C155+1</f>
        <v>#N/A</v>
      </c>
      <c r="E7" s="32">
        <f>Data!A156/100</f>
        <v>0</v>
      </c>
      <c r="F7" s="32">
        <f>Data!A157/100</f>
        <v>0</v>
      </c>
      <c r="G7" s="33">
        <f t="shared" si="1"/>
        <v>0</v>
      </c>
      <c r="I7" s="34" t="s">
        <v>15</v>
      </c>
      <c r="J7" s="35">
        <f>IFERROR(__xludf.DUMMYFUNCTION("googlefinance(""amzn"", ""price"")"),229.0)</f>
        <v>229</v>
      </c>
      <c r="K7" s="36"/>
      <c r="L7" s="32">
        <f>IFERROR(__xludf.DUMMYFUNCTION("googlefinance(""amzn"", ""changepct"")/100"),-0.011200000000000002)</f>
        <v>-0.0112</v>
      </c>
      <c r="M7" s="37" t="str">
        <f>IFERROR(__xludf.DUMMYFUNCTION("IF(G5="""","""",sparkline(GoogleFinance(""amzn"", ""close"", today()-90, today())))"),"")</f>
        <v/>
      </c>
      <c r="N7" s="20"/>
    </row>
    <row r="8">
      <c r="B8" s="10"/>
      <c r="C8" s="39" t="s">
        <v>16</v>
      </c>
      <c r="D8" s="40" t="str">
        <f>Data!K117+1</f>
        <v>#N/A</v>
      </c>
      <c r="E8" s="41" t="str">
        <f>Data!K118</f>
        <v/>
      </c>
      <c r="F8" s="41" t="str">
        <f>Data!K120</f>
        <v/>
      </c>
      <c r="G8" s="42">
        <f t="shared" si="1"/>
        <v>0</v>
      </c>
      <c r="I8" s="43" t="s">
        <v>17</v>
      </c>
      <c r="J8" s="35">
        <f>IFERROR(__xludf.DUMMYFUNCTION("GOOGLEFINANCE(""googl"", ""price"")"),212.91)</f>
        <v>212.91</v>
      </c>
      <c r="K8" s="36"/>
      <c r="L8" s="44">
        <f>IFERROR(__xludf.DUMMYFUNCTION("GOOGLEFINANCE(""googl"", ""changepct"")/100"),0.006)</f>
        <v>0.006</v>
      </c>
      <c r="M8" s="37" t="str">
        <f>IFERROR(__xludf.DUMMYFUNCTION("IF(G5="""","""",sparkline(GoogleFinance(""MSFT"", ""close"", today()-90, today())))"),"")</f>
        <v/>
      </c>
      <c r="N8" s="20"/>
    </row>
    <row r="9">
      <c r="B9" s="10"/>
      <c r="C9" s="45"/>
      <c r="I9" s="46" t="s">
        <v>18</v>
      </c>
      <c r="J9" s="35">
        <f>IFERROR(__xludf.DUMMYFUNCTION("GOOGLEFINANCE(""fb"", ""price"")"),40.8)</f>
        <v>40.8</v>
      </c>
      <c r="K9" s="36"/>
      <c r="L9" s="47">
        <f>IFERROR(__xludf.DUMMYFUNCTION("GOOGLEFINANCE(""fb"", ""changepct"")/100"),-0.0031)</f>
        <v>-0.0031</v>
      </c>
      <c r="M9" s="37" t="str">
        <f>IFERROR(__xludf.DUMMYFUNCTION("IF(G5="""","""",sparkline(GoogleFinance(""googl"", ""close"", today()-90, today())))"),"")</f>
        <v/>
      </c>
      <c r="N9" s="20"/>
    </row>
    <row r="10">
      <c r="B10" s="10"/>
      <c r="C10" s="48" t="s">
        <v>19</v>
      </c>
      <c r="D10" s="17" t="s">
        <v>8</v>
      </c>
      <c r="E10" s="18">
        <f>NOW()</f>
        <v>45902.07676</v>
      </c>
      <c r="F10" s="49" t="s">
        <v>20</v>
      </c>
      <c r="G10" s="50" t="s">
        <v>21</v>
      </c>
      <c r="I10" s="46" t="s">
        <v>22</v>
      </c>
      <c r="J10" s="35">
        <f>IFERROR(__xludf.DUMMYFUNCTION("GOOGLEFINANCE(""xom"", ""price"")"),114.29)</f>
        <v>114.29</v>
      </c>
      <c r="K10" s="36"/>
      <c r="L10" s="47">
        <f>IFERROR(__xludf.DUMMYFUNCTION("GOOGLEFINANCE(""xom"", ""changepct"")/100"),0.008100000000000001)</f>
        <v>0.0081</v>
      </c>
      <c r="M10" s="37" t="str">
        <f>IFERROR(__xludf.DUMMYFUNCTION("IF(G5="""","""",sparkline(GoogleFinance(""fb"", ""close"", today()-90, today())))"),"#N/A")</f>
        <v>#N/A</v>
      </c>
      <c r="N10" s="20"/>
    </row>
    <row r="11">
      <c r="B11" s="10"/>
      <c r="C11" s="51" t="s">
        <v>23</v>
      </c>
      <c r="D11" s="52">
        <f>IFERROR(__xludf.DUMMYFUNCTION("GOOGLEFINANCE("".inx"", ""price"")"),6460.26)</f>
        <v>6460.26</v>
      </c>
      <c r="E11" s="27"/>
      <c r="F11" s="53">
        <f>IFERROR(__xludf.DUMMYFUNCTION("GOOGLEFINANCE("".inx"", ""changepct"")"),-0.64)</f>
        <v>-0.64</v>
      </c>
      <c r="G11" s="54" t="str">
        <f>Data!O14</f>
        <v/>
      </c>
      <c r="I11" s="46" t="s">
        <v>24</v>
      </c>
      <c r="J11" s="35">
        <f>IFERROR(__xludf.DUMMYFUNCTION("GOOGLEFINANCE(""brk.a"", ""price"")"),755280.0)</f>
        <v>755280</v>
      </c>
      <c r="K11" s="36"/>
      <c r="L11" s="47">
        <f>IFERROR(__xludf.DUMMYFUNCTION("GOOGLEFINANCE(""brk.a"", ""changepct"")/100"),0.0078000000000000005)</f>
        <v>0.0078</v>
      </c>
      <c r="M11" s="37" t="str">
        <f>IFERROR(__xludf.DUMMYFUNCTION("IF(G5="""","""",sparkline(GoogleFinance(""brk.a"", ""close"", today()-90, today())))"),"")</f>
        <v/>
      </c>
      <c r="N11" s="20"/>
    </row>
    <row r="12">
      <c r="B12" s="10"/>
      <c r="C12" s="55" t="s">
        <v>25</v>
      </c>
      <c r="D12" s="56">
        <f>IFERROR(__xludf.DUMMYFUNCTION("GOOGLEFINANCE("".DJI"", ""price"")"),45544.88)</f>
        <v>45544.88</v>
      </c>
      <c r="E12" s="36"/>
      <c r="F12" s="57">
        <f>IFERROR(__xludf.DUMMYFUNCTION("GOOGLEFINANCE("".dji"", ""changepct"")"),-0.2)</f>
        <v>-0.2</v>
      </c>
      <c r="G12" s="58" t="str">
        <f>Data!O24</f>
        <v/>
      </c>
      <c r="I12" s="46" t="s">
        <v>26</v>
      </c>
      <c r="J12" s="35">
        <f>IFERROR(__xludf.DUMMYFUNCTION("GOOGLEFINANCE(""v"", ""price"")"),351.78)</f>
        <v>351.78</v>
      </c>
      <c r="K12" s="36"/>
      <c r="L12" s="47">
        <f>IFERROR(__xludf.DUMMYFUNCTION("GOOGLEFINANCE(""v"", ""changepct"")/100"),0.0055000000000000005)</f>
        <v>0.0055</v>
      </c>
      <c r="M12" s="37" t="str">
        <f>IFERROR(__xludf.DUMMYFUNCTION("IF(G5="""","""",sparkline(GoogleFinance(""v"", ""close"", today()-90, today())))"),"")</f>
        <v/>
      </c>
      <c r="N12" s="20"/>
    </row>
    <row r="13">
      <c r="B13" s="10"/>
      <c r="C13" s="55" t="s">
        <v>27</v>
      </c>
      <c r="D13" s="56">
        <f>IFERROR(__xludf.DUMMYFUNCTION("GOOGLEFINANCE("".IXIC"", ""price"")"),21455.55)</f>
        <v>21455.55</v>
      </c>
      <c r="E13" s="36"/>
      <c r="F13" s="57">
        <f>IFERROR(__xludf.DUMMYFUNCTION("GOOGLEFINANCE("".IXIC"", ""changepct"")"),-1.15)</f>
        <v>-1.15</v>
      </c>
      <c r="G13" s="58" t="str">
        <f>Data!O19</f>
        <v/>
      </c>
      <c r="I13" s="46" t="s">
        <v>28</v>
      </c>
      <c r="J13" s="35">
        <f>IFERROR(__xludf.DUMMYFUNCTION("GOOGLEFINANCE(""ma"", ""price"")"),595.29)</f>
        <v>595.29</v>
      </c>
      <c r="K13" s="36"/>
      <c r="L13" s="32">
        <f>IFERROR(__xludf.DUMMYFUNCTION("GOOGLEFINANCE(""ma"", ""changepct"")/100"),0.008100000000000001)</f>
        <v>0.0081</v>
      </c>
      <c r="M13" s="37" t="str">
        <f>IFERROR(__xludf.DUMMYFUNCTION("IF(G5="""","""",sparkline(GoogleFinance(""M"", ""close"", today()-90, today())))"),"")</f>
        <v/>
      </c>
      <c r="N13" s="20"/>
    </row>
    <row r="14">
      <c r="B14" s="10"/>
      <c r="C14" s="59" t="s">
        <v>29</v>
      </c>
      <c r="D14" s="56">
        <f>IFERROR(__xludf.DUMMYFUNCTION("GOOGLEFINANCE(""rut"", ""price"")"),2366.42)</f>
        <v>2366.42</v>
      </c>
      <c r="E14" s="36"/>
      <c r="F14" s="57">
        <f>IFERROR(__xludf.DUMMYFUNCTION("GOOGLEFINANCE(""rut"", ""changepct"")"),-0.5)</f>
        <v>-0.5</v>
      </c>
      <c r="G14" s="60" t="s">
        <v>30</v>
      </c>
      <c r="I14" s="46" t="s">
        <v>31</v>
      </c>
      <c r="J14" s="35">
        <f>IFERROR(__xludf.DUMMYFUNCTION("GOOGLEFINANCE(""jpm"", ""price"")"),301.42)</f>
        <v>301.42</v>
      </c>
      <c r="K14" s="36"/>
      <c r="L14" s="32">
        <f>IFERROR(__xludf.DUMMYFUNCTION("GOOGLEFINANCE(""jpm"", ""changepct"")/100"),0.0012)</f>
        <v>0.0012</v>
      </c>
      <c r="M14" s="37" t="str">
        <f>IFERROR(__xludf.DUMMYFUNCTION("IF(G5="""","""",sparkline(GoogleFinance(""jpm"", ""close"", today()-90, today())))"),"")</f>
        <v/>
      </c>
      <c r="N14" s="20"/>
    </row>
    <row r="15">
      <c r="B15" s="10"/>
      <c r="C15" s="55" t="s">
        <v>32</v>
      </c>
      <c r="D15" s="56">
        <f>IFERROR(__xludf.DUMMYFUNCTION("googlefinance(""INDEXCBOE:VIX"",""price"") "),16.12)</f>
        <v>16.12</v>
      </c>
      <c r="E15" s="36"/>
      <c r="F15" s="61">
        <f>IFERROR(__xludf.DUMMYFUNCTION("googlefinance(""INDEXCBOE:VIX"",""changepct"") "),11.71)</f>
        <v>11.71</v>
      </c>
      <c r="G15" s="60" t="s">
        <v>30</v>
      </c>
      <c r="I15" s="62" t="s">
        <v>33</v>
      </c>
      <c r="J15" s="56">
        <f>IFERROR(__xludf.DUMMYFUNCTION("GOOGLEFINANCE(""tsla"", ""price"")"),333.87)</f>
        <v>333.87</v>
      </c>
      <c r="K15" s="36"/>
      <c r="L15" s="63">
        <f>IFERROR(__xludf.DUMMYFUNCTION("GOOGLEFINANCE(""tsla"", ""changepct"")/100"),-0.035)</f>
        <v>-0.035</v>
      </c>
      <c r="M15" s="37" t="str">
        <f>IFERROR(__xludf.DUMMYFUNCTION("IF(G5="""","""",sparkline(GoogleFinance(""tsla"", ""close"", today()-90, today())))"),"")</f>
        <v/>
      </c>
      <c r="N15" s="20"/>
    </row>
    <row r="16">
      <c r="B16" s="10"/>
      <c r="C16" s="51" t="s">
        <v>34</v>
      </c>
      <c r="D16" s="56">
        <f>IFERROR(__xludf.DUMMYFUNCTION("googlefinance(""ni225"",""price"") "),42165.88)</f>
        <v>42165.88</v>
      </c>
      <c r="E16" s="36"/>
      <c r="F16" s="64">
        <f>IFERROR(__xludf.DUMMYFUNCTION("googlefinance(""ni225"",""changepct"")"),-0.05)</f>
        <v>-0.05</v>
      </c>
      <c r="G16" s="60" t="s">
        <v>30</v>
      </c>
      <c r="I16" s="62" t="s">
        <v>35</v>
      </c>
      <c r="J16" s="56">
        <f>IFERROR(__xludf.DUMMYFUNCTION("googlefinance(""bac"", ""price"")"),50.74)</f>
        <v>50.74</v>
      </c>
      <c r="K16" s="36"/>
      <c r="L16" s="63">
        <f>IFERROR(__xludf.DUMMYFUNCTION("googlefinance(""bac"", ""changepct"")/100"),0.005)</f>
        <v>0.005</v>
      </c>
      <c r="M16" s="37" t="str">
        <f>IFERROR(__xludf.DUMMYFUNCTION("IF(G5="""","""",sparkline(GoogleFinance(""bac"", ""close"", today()-90, today())))"),"")</f>
        <v/>
      </c>
      <c r="N16" s="20"/>
    </row>
    <row r="17">
      <c r="B17" s="10"/>
      <c r="C17" s="55" t="s">
        <v>36</v>
      </c>
      <c r="D17" s="56">
        <f>IFERROR(__xludf.DUMMYFUNCTION("googlefinance(""INDEXDB:DAX"",""price"") "),24037.33)</f>
        <v>24037.33</v>
      </c>
      <c r="E17" s="36"/>
      <c r="F17" s="61">
        <f>IFERROR(__xludf.DUMMYFUNCTION("googlefinance(""INDEXDB:DAX"",""changepct"")"),0.57)</f>
        <v>0.57</v>
      </c>
      <c r="G17" s="60" t="s">
        <v>30</v>
      </c>
      <c r="I17" s="65" t="s">
        <v>37</v>
      </c>
      <c r="J17" s="66">
        <f>IFERROR(__xludf.DUMMYFUNCTION("googlefinance(""wmt"", ""price"")"),96.98)</f>
        <v>96.98</v>
      </c>
      <c r="K17" s="67"/>
      <c r="L17" s="68">
        <f>IFERROR(__xludf.DUMMYFUNCTION("googlefinance(""wmt"", ""changepct"")/100"),0.0087)</f>
        <v>0.0087</v>
      </c>
      <c r="M17" s="69" t="str">
        <f>IFERROR(__xludf.DUMMYFUNCTION("IF(G5="""","""",sparkline(GoogleFinance(""wmt"", ""close"", today()-90, today())))"),"")</f>
        <v/>
      </c>
      <c r="N17" s="20"/>
    </row>
    <row r="18">
      <c r="B18" s="10"/>
      <c r="C18" s="55" t="s">
        <v>38</v>
      </c>
      <c r="D18" s="56">
        <f>IFERROR(__xludf.DUMMYFUNCTION("googlefinance(""INDEXFTSE:UKX"",""price"") "),9196.34)</f>
        <v>9196.34</v>
      </c>
      <c r="E18" s="36"/>
      <c r="F18" s="64">
        <f>IFERROR(__xludf.DUMMYFUNCTION("googlefinance(""INDEXFTSE:UKX"",""changepct"")"),0.1)</f>
        <v>0.1</v>
      </c>
      <c r="G18" s="60" t="s">
        <v>30</v>
      </c>
      <c r="N18" s="20"/>
    </row>
    <row r="19">
      <c r="B19" s="10"/>
      <c r="C19" s="70" t="s">
        <v>39</v>
      </c>
      <c r="D19" s="66">
        <f>IFERROR(__xludf.DUMMYFUNCTION("googlefinance(""INDEXHANGSENG:HSI"",""price"") "),25556.93)</f>
        <v>25556.93</v>
      </c>
      <c r="E19" s="67"/>
      <c r="F19" s="71">
        <f>IFERROR(__xludf.DUMMYFUNCTION("googlefinance(""INDEXHANGSENG:HSI"",""changepct"")"),-0.24)</f>
        <v>-0.24</v>
      </c>
      <c r="G19" s="72" t="s">
        <v>30</v>
      </c>
      <c r="I19" s="73" t="s">
        <v>40</v>
      </c>
      <c r="J19" s="17" t="s">
        <v>41</v>
      </c>
      <c r="K19" s="18">
        <f>NOW()</f>
        <v>45902.07676</v>
      </c>
      <c r="L19" s="74" t="s">
        <v>42</v>
      </c>
      <c r="M19" s="75" t="s">
        <v>43</v>
      </c>
      <c r="N19" s="20"/>
    </row>
    <row r="20">
      <c r="B20" s="10"/>
      <c r="C20" s="76"/>
      <c r="I20" s="77" t="s">
        <v>44</v>
      </c>
      <c r="J20" s="26">
        <f>IFERROR(__xludf.DUMMYFUNCTION("GoogleFinance(""CURRENCY:BTCUSD"")"),110234.0)</f>
        <v>110234</v>
      </c>
      <c r="K20" s="27"/>
      <c r="L20" s="78" t="str">
        <f>Data!AN6</f>
        <v/>
      </c>
      <c r="M20" s="79" t="str">
        <f>Data!AN7</f>
        <v/>
      </c>
      <c r="N20" s="20"/>
    </row>
    <row r="21">
      <c r="B21" s="10"/>
      <c r="C21" s="48" t="s">
        <v>45</v>
      </c>
      <c r="D21" s="80" t="s">
        <v>3</v>
      </c>
      <c r="E21" s="81" t="s">
        <v>46</v>
      </c>
      <c r="F21" s="82" t="s">
        <v>5</v>
      </c>
      <c r="G21" s="83" t="s">
        <v>6</v>
      </c>
      <c r="I21" s="43" t="s">
        <v>47</v>
      </c>
      <c r="J21" s="35">
        <f>Data!V6</f>
        <v>851.46</v>
      </c>
      <c r="K21" s="36"/>
      <c r="L21" s="84" t="str">
        <f>Data!AN46</f>
        <v/>
      </c>
      <c r="M21" s="85" t="str">
        <f>Data!AN47</f>
        <v/>
      </c>
      <c r="N21" s="20"/>
    </row>
    <row r="22">
      <c r="B22" s="10"/>
      <c r="C22" s="51" t="s">
        <v>48</v>
      </c>
      <c r="D22" s="86" t="str">
        <f>Data!B2+7</f>
        <v>#N/A</v>
      </c>
      <c r="E22" s="87">
        <f>Data!J1</f>
        <v>0</v>
      </c>
      <c r="F22" s="88">
        <f>Data!J2</f>
        <v>0</v>
      </c>
      <c r="G22" s="89">
        <f t="shared" ref="G22:G23" si="2">E22-F22</f>
        <v>0</v>
      </c>
      <c r="I22" s="77" t="s">
        <v>49</v>
      </c>
      <c r="J22" s="35">
        <f>IFERROR(__xludf.DUMMYFUNCTION("GoogleFinance(""CURRENCY:ETHUSD"")"),4387.954187)</f>
        <v>4387.954187</v>
      </c>
      <c r="K22" s="36"/>
      <c r="L22" s="90" t="str">
        <f>Data!AN16</f>
        <v/>
      </c>
      <c r="M22" s="85" t="str">
        <f>Data!AN17</f>
        <v/>
      </c>
      <c r="N22" s="20"/>
    </row>
    <row r="23">
      <c r="B23" s="10"/>
      <c r="C23" s="70" t="s">
        <v>50</v>
      </c>
      <c r="D23" s="91" t="str">
        <f>Data!I117</f>
        <v>#N/A</v>
      </c>
      <c r="E23" s="92" t="str">
        <f>Data!I118</f>
        <v/>
      </c>
      <c r="F23" s="92" t="str">
        <f>Data!I120</f>
        <v/>
      </c>
      <c r="G23" s="93">
        <f t="shared" si="2"/>
        <v>0</v>
      </c>
      <c r="I23" s="77" t="s">
        <v>51</v>
      </c>
      <c r="J23" s="35">
        <f>IFERROR(__xludf.DUMMYFUNCTION("GoogleFinance(""CURRENCY:LTCUSD"")"),110.603051)</f>
        <v>110.603051</v>
      </c>
      <c r="K23" s="36"/>
      <c r="L23" s="90" t="str">
        <f>Data!AN66</f>
        <v/>
      </c>
      <c r="M23" s="94" t="str">
        <f>Data!AN67</f>
        <v/>
      </c>
      <c r="N23" s="20"/>
    </row>
    <row r="24">
      <c r="B24" s="10"/>
      <c r="C24" s="95"/>
      <c r="I24" s="43" t="s">
        <v>52</v>
      </c>
      <c r="J24" s="35">
        <f>Data!V4</f>
        <v>1</v>
      </c>
      <c r="K24" s="36"/>
      <c r="L24" s="90" t="str">
        <f>Data!AN26</f>
        <v/>
      </c>
      <c r="M24" s="85" t="str">
        <f>Data!AN27</f>
        <v/>
      </c>
      <c r="N24" s="20"/>
    </row>
    <row r="25">
      <c r="B25" s="10"/>
      <c r="C25" s="48" t="s">
        <v>53</v>
      </c>
      <c r="D25" s="96" t="s">
        <v>54</v>
      </c>
      <c r="E25" s="97">
        <f>now()</f>
        <v>45902.07676</v>
      </c>
      <c r="F25" s="82" t="s">
        <v>55</v>
      </c>
      <c r="G25" s="50" t="s">
        <v>6</v>
      </c>
      <c r="I25" s="43" t="s">
        <v>56</v>
      </c>
      <c r="J25" s="35" t="str">
        <f>Data!AU7</f>
        <v/>
      </c>
      <c r="K25" s="36"/>
      <c r="L25" s="98" t="str">
        <f>Data!AV7/J25</f>
        <v>#DIV/0!</v>
      </c>
      <c r="M25" s="99" t="s">
        <v>57</v>
      </c>
      <c r="N25" s="20"/>
    </row>
    <row r="26">
      <c r="B26" s="10"/>
      <c r="C26" s="100" t="s">
        <v>58</v>
      </c>
      <c r="D26" s="101">
        <f>IFERROR(__xludf.DUMMYFUNCTION("GOOGLEFINANCE(""INDEXCBOE:IRX"")/1000"),0.04043)</f>
        <v>0.04043</v>
      </c>
      <c r="E26" s="27"/>
      <c r="F26" s="102" t="str">
        <f>Data!I16</f>
        <v/>
      </c>
      <c r="G26" s="89">
        <f t="shared" ref="G26:G29" si="3">D26-F26</f>
        <v>0.04043</v>
      </c>
      <c r="I26" s="62" t="s">
        <v>59</v>
      </c>
      <c r="J26" s="103" t="str">
        <f>Data!AU9</f>
        <v/>
      </c>
      <c r="K26" s="36"/>
      <c r="L26" s="63" t="str">
        <f>Data!AV9/J26</f>
        <v>#DIV/0!</v>
      </c>
      <c r="M26" s="99" t="s">
        <v>57</v>
      </c>
      <c r="N26" s="20"/>
    </row>
    <row r="27">
      <c r="B27" s="10"/>
      <c r="C27" s="104" t="s">
        <v>60</v>
      </c>
      <c r="D27" s="105">
        <f>IFERROR(__xludf.DUMMYFUNCTION("GOOGLEFINANCE(""INDEXCBOE:FVX"")/1000"),0.03699)</f>
        <v>0.03699</v>
      </c>
      <c r="E27" s="36"/>
      <c r="F27" s="57" t="str">
        <f>Data!I19</f>
        <v/>
      </c>
      <c r="G27" s="106">
        <f t="shared" si="3"/>
        <v>0.03699</v>
      </c>
      <c r="I27" s="107" t="s">
        <v>61</v>
      </c>
      <c r="J27" s="108" t="str">
        <f>Data!AU11</f>
        <v/>
      </c>
      <c r="K27" s="67"/>
      <c r="L27" s="109" t="str">
        <f>Data!AV11/J27</f>
        <v>#DIV/0!</v>
      </c>
      <c r="M27" s="110" t="s">
        <v>57</v>
      </c>
      <c r="N27" s="20"/>
    </row>
    <row r="28">
      <c r="B28" s="10"/>
      <c r="C28" s="104" t="s">
        <v>62</v>
      </c>
      <c r="D28" s="105">
        <f>IFERROR(__xludf.DUMMYFUNCTION("GOOGLEFINANCE(""INDEXCBOE:tnx"")/1000"),0.04227)</f>
        <v>0.04227</v>
      </c>
      <c r="E28" s="36"/>
      <c r="F28" s="57" t="str">
        <f>Data!I22</f>
        <v/>
      </c>
      <c r="G28" s="106">
        <f t="shared" si="3"/>
        <v>0.04227</v>
      </c>
      <c r="N28" s="20"/>
    </row>
    <row r="29">
      <c r="B29" s="10"/>
      <c r="C29" s="111" t="s">
        <v>63</v>
      </c>
      <c r="D29" s="112">
        <f>IFERROR(__xludf.DUMMYFUNCTION("GOOGLEFINANCE(""INDEXCBOE:tyx"")/1000"),0.04917)</f>
        <v>0.04917</v>
      </c>
      <c r="E29" s="67"/>
      <c r="F29" s="92" t="str">
        <f>Data!I25</f>
        <v/>
      </c>
      <c r="G29" s="113">
        <f t="shared" si="3"/>
        <v>0.04917</v>
      </c>
      <c r="I29" s="73" t="s">
        <v>64</v>
      </c>
      <c r="J29" s="17" t="s">
        <v>41</v>
      </c>
      <c r="K29" s="18">
        <f>NOW()</f>
        <v>45902.07676</v>
      </c>
      <c r="L29" s="74" t="s">
        <v>65</v>
      </c>
      <c r="M29" s="74" t="s">
        <v>43</v>
      </c>
      <c r="N29" s="20"/>
    </row>
    <row r="30">
      <c r="B30" s="10"/>
      <c r="C30" s="114"/>
      <c r="I30" s="43" t="s">
        <v>66</v>
      </c>
      <c r="J30" s="26">
        <f>IFERROR(__xludf.DUMMYFUNCTION("GoogleFinance(""CURRENCY:USDEUR"")"),0.8552)</f>
        <v>0.8552</v>
      </c>
      <c r="K30" s="27"/>
      <c r="L30" s="115">
        <f>IFERROR(__xludf.DUMMYFUNCTION("GoogleFinance(""CURRENCY:EURUSD"")"),1.16931712)</f>
        <v>1.16931712</v>
      </c>
      <c r="M30" s="116">
        <f>(J30-Data!AS2)/Data!AS2</f>
        <v>-0.004655493482</v>
      </c>
      <c r="N30" s="20"/>
    </row>
    <row r="31">
      <c r="B31" s="10"/>
      <c r="C31" s="48" t="s">
        <v>67</v>
      </c>
      <c r="D31" s="96" t="s">
        <v>41</v>
      </c>
      <c r="E31" s="117">
        <f>TODAY()-1</f>
        <v>45901</v>
      </c>
      <c r="F31" s="82" t="s">
        <v>5</v>
      </c>
      <c r="G31" s="50" t="s">
        <v>6</v>
      </c>
      <c r="I31" s="43" t="s">
        <v>68</v>
      </c>
      <c r="J31" s="35">
        <f>IFERROR(__xludf.DUMMYFUNCTION("GoogleFinance(""CURRENCY:CNYUSD"")"),0.1402367)</f>
        <v>0.1402367</v>
      </c>
      <c r="K31" s="36"/>
      <c r="L31" s="118">
        <f>IFERROR(__xludf.DUMMYFUNCTION("GoogleFinance(""CURRENCY:USDCNY"")"),7.130801)</f>
        <v>7.130801</v>
      </c>
      <c r="M31" s="119">
        <f>(J31-Data!AS4)/Data!AS4</f>
        <v>0.003099352376</v>
      </c>
      <c r="N31" s="20"/>
    </row>
    <row r="32">
      <c r="B32" s="10"/>
      <c r="C32" s="120" t="s">
        <v>69</v>
      </c>
      <c r="D32" s="121" t="str">
        <f>Data!G214</f>
        <v/>
      </c>
      <c r="E32" s="27"/>
      <c r="F32" s="102">
        <f>D32-Data!G216</f>
        <v>0</v>
      </c>
      <c r="G32" s="122" t="str">
        <f>Data!G217</f>
        <v/>
      </c>
      <c r="I32" s="43" t="s">
        <v>70</v>
      </c>
      <c r="J32" s="35">
        <f>IFERROR(__xludf.DUMMYFUNCTION("GoogleFinance(""CURRENCY:GBPUSD"")"),1.35217)</f>
        <v>1.35217</v>
      </c>
      <c r="K32" s="36"/>
      <c r="L32" s="118">
        <f>IFERROR(__xludf.DUMMYFUNCTION("GoogleFinance(""CURRENCY:USDGBP"")"),0.739551979)</f>
        <v>0.739551979</v>
      </c>
      <c r="M32" s="119">
        <f>(J32-Data!AS6)/Data!AS6</f>
        <v>0.003238599056</v>
      </c>
      <c r="N32" s="20"/>
    </row>
    <row r="33">
      <c r="B33" s="10"/>
      <c r="C33" s="120" t="s">
        <v>71</v>
      </c>
      <c r="D33" s="123" t="str">
        <f>Data!G286</f>
        <v/>
      </c>
      <c r="E33" s="36"/>
      <c r="F33" s="57">
        <f>D33-Data!G288</f>
        <v>0</v>
      </c>
      <c r="G33" s="124" t="str">
        <f>Data!G298</f>
        <v/>
      </c>
      <c r="I33" s="43" t="s">
        <v>72</v>
      </c>
      <c r="J33" s="35">
        <f>IFERROR(__xludf.DUMMYFUNCTION("GoogleFinance(""CURRENCY:cadusd"")"),0.726915878)</f>
        <v>0.726915878</v>
      </c>
      <c r="K33" s="36"/>
      <c r="L33" s="118">
        <f>IFERROR(__xludf.DUMMYFUNCTION("GoogleFinance(""CURRENCY:usdcad"")"),1.375675)</f>
        <v>1.375675</v>
      </c>
      <c r="M33" s="119">
        <f>(J33-Data!AS8)/Data!AS8</f>
        <v>0.005617832069</v>
      </c>
      <c r="N33" s="20"/>
    </row>
    <row r="34">
      <c r="B34" s="10"/>
      <c r="C34" s="120" t="s">
        <v>73</v>
      </c>
      <c r="D34" s="123" t="str">
        <f>Data!G232</f>
        <v/>
      </c>
      <c r="E34" s="36"/>
      <c r="F34" s="57">
        <f>D34-Data!G234</f>
        <v>0</v>
      </c>
      <c r="G34" s="125" t="str">
        <f>Data!G235</f>
        <v/>
      </c>
      <c r="I34" s="43" t="s">
        <v>74</v>
      </c>
      <c r="J34" s="35">
        <f>IFERROR(__xludf.DUMMYFUNCTION("GoogleFinance(""CURRENCY:chfusd"")"),1.24734938)</f>
        <v>1.24734938</v>
      </c>
      <c r="K34" s="36"/>
      <c r="L34" s="118">
        <f>IFERROR(__xludf.DUMMYFUNCTION("GoogleFinance(""CURRENCY:usdchf"")"),0.8017)</f>
        <v>0.8017</v>
      </c>
      <c r="M34" s="119">
        <f>(J34-Data!AS10)/Data!AS10</f>
        <v>0.002607802396</v>
      </c>
      <c r="N34" s="20"/>
    </row>
    <row r="35">
      <c r="B35" s="10"/>
      <c r="C35" s="120" t="s">
        <v>75</v>
      </c>
      <c r="D35" s="103" t="str">
        <f>Data!G196</f>
        <v/>
      </c>
      <c r="E35" s="36"/>
      <c r="F35" s="126">
        <f>D35-Data!G198</f>
        <v>0</v>
      </c>
      <c r="G35" s="127" t="str">
        <f>Data!G199</f>
        <v/>
      </c>
      <c r="I35" s="43" t="s">
        <v>76</v>
      </c>
      <c r="J35" s="35">
        <f>IFERROR(__xludf.DUMMYFUNCTION("GoogleFinance(""CURRENCY:AUDUSD"")"),0.653735)</f>
        <v>0.653735</v>
      </c>
      <c r="K35" s="36"/>
      <c r="L35" s="118">
        <f>IFERROR(__xludf.DUMMYFUNCTION("GoogleFinance(""CURRENCY:USDAUD"")"),1.52967181)</f>
        <v>1.52967181</v>
      </c>
      <c r="M35" s="119">
        <f>(J35-Data!AS12)/Data!AS12</f>
        <v>0.006442922023</v>
      </c>
      <c r="N35" s="20"/>
    </row>
    <row r="36">
      <c r="B36" s="10"/>
      <c r="C36" s="128" t="s">
        <v>77</v>
      </c>
      <c r="D36" s="129" t="str">
        <f>Data!G250</f>
        <v/>
      </c>
      <c r="E36" s="130"/>
      <c r="F36" s="131">
        <f>D36-Data!G252</f>
        <v>0</v>
      </c>
      <c r="G36" s="132" t="str">
        <f>Data!G253</f>
        <v/>
      </c>
      <c r="I36" s="133" t="s">
        <v>78</v>
      </c>
      <c r="J36" s="134">
        <f>IFERROR(__xludf.DUMMYFUNCTION("GoogleFinance(""CURRENCY:USDJPY"")"),147.855001)</f>
        <v>147.855001</v>
      </c>
      <c r="K36" s="130"/>
      <c r="L36" s="135">
        <f>IFERROR(__xludf.DUMMYFUNCTION("GoogleFinance(""CURRENCY:JPYUSD"")"),0.006763383)</f>
        <v>0.006763383</v>
      </c>
      <c r="M36" s="136">
        <f>(J36-Data!AS14)/Data!AS14</f>
        <v>0.002631103908</v>
      </c>
      <c r="N36" s="20"/>
    </row>
    <row r="37">
      <c r="B37" s="137"/>
      <c r="C37" s="138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40"/>
    </row>
    <row r="38" ht="18.0" customHeight="1"/>
    <row r="39" ht="17.25" customHeight="1"/>
    <row r="40">
      <c r="D40" s="95"/>
    </row>
    <row r="48" ht="21.75" customHeight="1"/>
    <row r="50">
      <c r="E50" s="141"/>
    </row>
  </sheetData>
  <mergeCells count="61">
    <mergeCell ref="I3:M3"/>
    <mergeCell ref="J5:K5"/>
    <mergeCell ref="J6:K6"/>
    <mergeCell ref="J7:K7"/>
    <mergeCell ref="J10:K10"/>
    <mergeCell ref="D11:E11"/>
    <mergeCell ref="J11:K11"/>
    <mergeCell ref="D12:E12"/>
    <mergeCell ref="J12:K12"/>
    <mergeCell ref="D13:E13"/>
    <mergeCell ref="J13:K13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I18:M18"/>
    <mergeCell ref="D19:E19"/>
    <mergeCell ref="C20:G20"/>
    <mergeCell ref="J20:K20"/>
    <mergeCell ref="J21:K21"/>
    <mergeCell ref="J22:K22"/>
    <mergeCell ref="J23:K23"/>
    <mergeCell ref="C24:G24"/>
    <mergeCell ref="J24:K24"/>
    <mergeCell ref="J8:K8"/>
    <mergeCell ref="C9:G9"/>
    <mergeCell ref="J9:K9"/>
    <mergeCell ref="D34:E34"/>
    <mergeCell ref="J34:K34"/>
    <mergeCell ref="D35:E35"/>
    <mergeCell ref="J35:K35"/>
    <mergeCell ref="D36:E36"/>
    <mergeCell ref="J36:K36"/>
    <mergeCell ref="A1:A46"/>
    <mergeCell ref="B1:N1"/>
    <mergeCell ref="B2:N2"/>
    <mergeCell ref="B3:B37"/>
    <mergeCell ref="C3:G3"/>
    <mergeCell ref="H3:H36"/>
    <mergeCell ref="N3:N37"/>
    <mergeCell ref="C37:M37"/>
    <mergeCell ref="J25:K25"/>
    <mergeCell ref="D26:E26"/>
    <mergeCell ref="J26:K26"/>
    <mergeCell ref="D27:E27"/>
    <mergeCell ref="J27:K27"/>
    <mergeCell ref="D28:E28"/>
    <mergeCell ref="I28:M28"/>
    <mergeCell ref="D29:E29"/>
    <mergeCell ref="C30:G30"/>
    <mergeCell ref="J30:K30"/>
    <mergeCell ref="J31:K31"/>
    <mergeCell ref="D32:E32"/>
    <mergeCell ref="J32:K32"/>
    <mergeCell ref="D33:E33"/>
    <mergeCell ref="J33:K33"/>
  </mergeCells>
  <conditionalFormatting sqref="G14:G19">
    <cfRule type="notContainsBlanks" dxfId="0" priority="1">
      <formula>LEN(TRIM(G14))&gt;0</formula>
    </cfRule>
  </conditionalFormatting>
  <conditionalFormatting sqref="G26:G29 G22:G23">
    <cfRule type="colorScale" priority="2">
      <colorScale>
        <cfvo type="formula" val="-1"/>
        <cfvo type="formula" val="0"/>
        <cfvo type="formula" val="1"/>
        <color rgb="FFE67C73"/>
        <color rgb="FFF3F3F3"/>
        <color rgb="FF57BB8A"/>
      </colorScale>
    </cfRule>
  </conditionalFormatting>
  <conditionalFormatting sqref="F11:F19">
    <cfRule type="colorScale" priority="3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G32:G36">
    <cfRule type="containsText" dxfId="1" priority="4" operator="containsText" text="+">
      <formula>NOT(ISERROR(SEARCH(("+"),(G32))))</formula>
    </cfRule>
  </conditionalFormatting>
  <conditionalFormatting sqref="L5:L17">
    <cfRule type="colorScale" priority="5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G11:G13">
    <cfRule type="containsText" dxfId="1" priority="6" operator="containsText" text="+">
      <formula>NOT(ISERROR(SEARCH(("+"),(G11))))</formula>
    </cfRule>
  </conditionalFormatting>
  <conditionalFormatting sqref="G11:G13">
    <cfRule type="containsText" dxfId="2" priority="7" operator="containsText" text="-">
      <formula>NOT(ISERROR(SEARCH(("-"),(G11))))</formula>
    </cfRule>
  </conditionalFormatting>
  <conditionalFormatting sqref="G11:G13">
    <cfRule type="containsText" dxfId="3" priority="8" operator="containsText" text="0.00">
      <formula>NOT(ISERROR(SEARCH(("0.00"),(G11))))</formula>
    </cfRule>
  </conditionalFormatting>
  <conditionalFormatting sqref="G32:G36">
    <cfRule type="containsText" dxfId="4" priority="9" operator="containsText" text="-">
      <formula>NOT(ISERROR(SEARCH(("-"),(G32))))</formula>
    </cfRule>
  </conditionalFormatting>
  <conditionalFormatting sqref="G32:G36">
    <cfRule type="containsText" dxfId="5" priority="10" operator="containsText" text="0.00">
      <formula>NOT(ISERROR(SEARCH(("0.00"),(G32))))</formula>
    </cfRule>
  </conditionalFormatting>
  <conditionalFormatting sqref="G11:G13">
    <cfRule type="containsText" dxfId="0" priority="11" operator="containsText" text="~">
      <formula>NOT(ISERROR(SEARCH(("~"),(G11))))</formula>
    </cfRule>
  </conditionalFormatting>
  <conditionalFormatting sqref="M30:M36">
    <cfRule type="colorScale" priority="12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L20:M27">
    <cfRule type="colorScale" priority="13">
      <colorScale>
        <cfvo type="min"/>
        <cfvo type="formula" val="0"/>
        <cfvo type="max"/>
        <color rgb="FFE67C73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5" t="s">
        <v>79</v>
      </c>
      <c r="B1" s="95" t="s">
        <v>80</v>
      </c>
      <c r="C1" s="95" t="s">
        <v>46</v>
      </c>
      <c r="J1" s="142">
        <f>E142/K1</f>
        <v>0</v>
      </c>
      <c r="K1" s="95">
        <v>100.0</v>
      </c>
      <c r="O1" s="143" t="str">
        <f t="shared" ref="O1:O5" si="1">AC33</f>
        <v/>
      </c>
      <c r="X1" s="143" t="str">
        <f>REPLACE("Y2",6,1,"")</f>
        <v>Y2</v>
      </c>
      <c r="AA1" s="143" t="str">
        <f>IFERROR(__xludf.DUMMYFUNCTION("importxml(""https://www.worldometers.info/coronavirus/#countries"",""//table/tbody/tr/td"")"),"#N/A")</f>
        <v>#N/A</v>
      </c>
      <c r="AC1" s="143" t="str">
        <f>IFERROR(__xludf.DUMMYFUNCTION("importxml(""https://money.cnn.com/data/fear-and-greed/"", ""//div/ul/li"")"),"#N/A")</f>
        <v>#N/A</v>
      </c>
      <c r="AN1" s="95" t="str">
        <f>IFERROR(__xludf.DUMMYFUNCTION("importxml(""https://www.coingecko.com/en"" , ""//table/tbody/tr/td"")"),"#N/A")</f>
        <v>#N/A</v>
      </c>
      <c r="AP1" s="143" t="str">
        <f>IFERROR(__xludf.DUMMYFUNCTION("importxml(""https://www.denvergold.org/precious-metal-prices-charts/"", ""//td"")"),"#N/A")</f>
        <v>#N/A</v>
      </c>
      <c r="AR1" s="143" t="str">
        <f>IFERROR(__xludf.DUMMYFUNCTION("GOOGLEFINANCE(""Currency:USDeur"", ""price"", TODAY()-7)"),"Date")</f>
        <v>Date</v>
      </c>
      <c r="AS1" s="143" t="str">
        <f>IFERROR(__xludf.DUMMYFUNCTION("""COMPUTED_VALUE"""),"Close")</f>
        <v>Close</v>
      </c>
      <c r="AU1" s="143" t="str">
        <f>IFERROR(__xludf.DUMMYFUNCTION("Dollar(Index(ImportHTML(""http://www.apmex.com/spotprices/gold-prices"",""table"",8),2,2))"),"#N/A")</f>
        <v>#N/A</v>
      </c>
    </row>
    <row r="2">
      <c r="B2" s="143" t="str">
        <f>IFERROR(__xludf.DUMMYFUNCTION("IMPORTXML(""https://www.ycharts.com/indicators/30_year_mortgage_rate"", ""//table/tr/td[1]"")"),"#N/A")</f>
        <v>#N/A</v>
      </c>
      <c r="C2" s="143" t="str">
        <f>IFERROR(__xludf.DUMMYFUNCTION("IMPORTXML(""https://www.ycharts.com/indicators/30_year_mortgage_rate"", ""//table/tr/td[2]"")"),"#N/A")</f>
        <v>#N/A</v>
      </c>
      <c r="D2" s="95">
        <v>3.5</v>
      </c>
      <c r="E2" s="143" t="str">
        <f>IFERROR(__xludf.DUMMYFUNCTION("IMPORTXML(""https://cnbc.com/quotes/?symbol=.DJI"", ""//table/tbody/tr/td[1]"")"),"#N/A")</f>
        <v>#N/A</v>
      </c>
      <c r="J2" s="142">
        <f>E143/K1</f>
        <v>0</v>
      </c>
      <c r="O2" s="143" t="str">
        <f t="shared" si="1"/>
        <v/>
      </c>
      <c r="S2" s="143">
        <f>IFERROR(__xludf.DUMMYFUNCTION("importxml(""https://goldprice.org/cryptocurrency-price"", ""//table/tbody/tr"")"),1.0)</f>
        <v>1</v>
      </c>
      <c r="T2" s="143" t="str">
        <f>IFERROR(__xludf.DUMMYFUNCTION("""COMPUTED_VALUE"""),"Bitcoin")</f>
        <v>Bitcoin</v>
      </c>
      <c r="U2" s="144">
        <f>IFERROR(__xludf.DUMMYFUNCTION("""COMPUTED_VALUE"""),2.197769193504E12)</f>
        <v>2197769193504</v>
      </c>
      <c r="V2" s="145">
        <f>IFERROR(__xludf.DUMMYFUNCTION("""COMPUTED_VALUE"""),110386.0)</f>
        <v>110386</v>
      </c>
      <c r="W2" s="146">
        <f>IFERROR(__xludf.DUMMYFUNCTION("""COMPUTED_VALUE"""),1.9914971E7)</f>
        <v>19914971</v>
      </c>
      <c r="X2" s="144">
        <f>IFERROR(__xludf.DUMMYFUNCTION("""COMPUTED_VALUE"""),4.3154072493E10)</f>
        <v>43154072493</v>
      </c>
      <c r="Y2" s="147" t="str">
        <f>IFERROR(__xludf.DUMMYFUNCTION("""COMPUTED_VALUE""")," 2.56 %  ")</f>
        <v>2.56 % </v>
      </c>
      <c r="Z2" s="143"/>
      <c r="AR2" s="148">
        <f>IFERROR(__xludf.DUMMYFUNCTION("""COMPUTED_VALUE"""),45895.99861111111)</f>
        <v>45895.99861</v>
      </c>
      <c r="AS2" s="143">
        <f>IFERROR(__xludf.DUMMYFUNCTION("""COMPUTED_VALUE"""),0.8592)</f>
        <v>0.8592</v>
      </c>
      <c r="AU2" s="143" t="str">
        <f>IFERROR(__xludf.DUMMYFUNCTION("Dollar(Index(ImportHTML(""http://www.apmex.com/spotprices/gold-prices"",""table"",8),2,2))"),"#N/A")</f>
        <v>#N/A</v>
      </c>
    </row>
    <row r="3">
      <c r="O3" s="143" t="str">
        <f t="shared" si="1"/>
        <v/>
      </c>
      <c r="S3" s="143">
        <f>IFERROR(__xludf.DUMMYFUNCTION("""COMPUTED_VALUE"""),2.0)</f>
        <v>2</v>
      </c>
      <c r="T3" s="143" t="str">
        <f>IFERROR(__xludf.DUMMYFUNCTION("""COMPUTED_VALUE"""),"Ethereum")</f>
        <v>Ethereum</v>
      </c>
      <c r="U3" s="144">
        <f>IFERROR(__xludf.DUMMYFUNCTION("""COMPUTED_VALUE"""),5.28201060887E11)</f>
        <v>528201060887</v>
      </c>
      <c r="V3" s="145">
        <f>IFERROR(__xludf.DUMMYFUNCTION("""COMPUTED_VALUE"""),4377.61)</f>
        <v>4377.61</v>
      </c>
      <c r="W3" s="146">
        <f>IFERROR(__xludf.DUMMYFUNCTION("""COMPUTED_VALUE"""),1.2070546E8)</f>
        <v>120705460</v>
      </c>
      <c r="X3" s="144">
        <f>IFERROR(__xludf.DUMMYFUNCTION("""COMPUTED_VALUE"""),3.0072618627E10)</f>
        <v>30072618627</v>
      </c>
      <c r="Y3" s="147" t="str">
        <f>IFERROR(__xludf.DUMMYFUNCTION("""COMPUTED_VALUE""")," -0.36 %  ")</f>
        <v>-0.36 % </v>
      </c>
      <c r="Z3" s="143"/>
      <c r="AR3" s="143" t="str">
        <f>IFERROR(__xludf.DUMMYFUNCTION("GOOGLEFINANCE(""Currency:cnyusd"", ""price"", TODAY()-7)"),"Date")</f>
        <v>Date</v>
      </c>
      <c r="AS3" s="143" t="str">
        <f>IFERROR(__xludf.DUMMYFUNCTION("""COMPUTED_VALUE"""),"Close")</f>
        <v>Close</v>
      </c>
      <c r="AU3" s="143" t="str">
        <f>IFERROR(__xludf.DUMMYFUNCTION("importxml(""http://www.apmex.com/spotprices/gold-prices"",""//div"")"),"#N/A")</f>
        <v>#N/A</v>
      </c>
    </row>
    <row r="4">
      <c r="D4" s="95"/>
      <c r="O4" s="143" t="str">
        <f t="shared" si="1"/>
        <v/>
      </c>
      <c r="S4" s="143">
        <f>IFERROR(__xludf.DUMMYFUNCTION("""COMPUTED_VALUE"""),3.0)</f>
        <v>3</v>
      </c>
      <c r="T4" s="143" t="str">
        <f>IFERROR(__xludf.DUMMYFUNCTION("""COMPUTED_VALUE"""),"Tether")</f>
        <v>Tether</v>
      </c>
      <c r="U4" s="144">
        <f>IFERROR(__xludf.DUMMYFUNCTION("""COMPUTED_VALUE"""),1.68028369723E11)</f>
        <v>168028369723</v>
      </c>
      <c r="V4" s="145">
        <f>IFERROR(__xludf.DUMMYFUNCTION("""COMPUTED_VALUE"""),1.0)</f>
        <v>1</v>
      </c>
      <c r="W4" s="146">
        <f>IFERROR(__xludf.DUMMYFUNCTION("""COMPUTED_VALUE"""),1.68028446122E11)</f>
        <v>168028446122</v>
      </c>
      <c r="X4" s="144">
        <f>IFERROR(__xludf.DUMMYFUNCTION("""COMPUTED_VALUE"""),8.7055333908E10)</f>
        <v>87055333908</v>
      </c>
      <c r="Y4" s="147" t="str">
        <f>IFERROR(__xludf.DUMMYFUNCTION("""COMPUTED_VALUE""")," -0.01 %  ")</f>
        <v>-0.01 % </v>
      </c>
      <c r="Z4" s="143"/>
      <c r="AR4" s="148">
        <f>IFERROR(__xludf.DUMMYFUNCTION("""COMPUTED_VALUE"""),45895.99861111111)</f>
        <v>45895.99861</v>
      </c>
      <c r="AS4" s="143">
        <f>IFERROR(__xludf.DUMMYFUNCTION("""COMPUTED_VALUE"""),0.1398034)</f>
        <v>0.1398034</v>
      </c>
    </row>
    <row r="5">
      <c r="A5" s="95"/>
      <c r="H5" s="95"/>
      <c r="O5" s="143" t="str">
        <f t="shared" si="1"/>
        <v/>
      </c>
      <c r="S5" s="143">
        <f>IFERROR(__xludf.DUMMYFUNCTION("""COMPUTED_VALUE"""),4.0)</f>
        <v>4</v>
      </c>
      <c r="T5" s="143" t="str">
        <f>IFERROR(__xludf.DUMMYFUNCTION("""COMPUTED_VALUE"""),"XRP")</f>
        <v>XRP</v>
      </c>
      <c r="U5" s="144">
        <f>IFERROR(__xludf.DUMMYFUNCTION("""COMPUTED_VALUE"""),1.66184943181E11)</f>
        <v>166184943181</v>
      </c>
      <c r="V5" s="145">
        <f>IFERROR(__xludf.DUMMYFUNCTION("""COMPUTED_VALUE"""),2.8)</f>
        <v>2.8</v>
      </c>
      <c r="W5" s="146">
        <f>IFERROR(__xludf.DUMMYFUNCTION("""COMPUTED_VALUE"""),5.9482264023E10)</f>
        <v>59482264023</v>
      </c>
      <c r="X5" s="144">
        <f>IFERROR(__xludf.DUMMYFUNCTION("""COMPUTED_VALUE"""),7.428792369E9)</f>
        <v>7428792369</v>
      </c>
      <c r="Y5" s="147" t="str">
        <f>IFERROR(__xludf.DUMMYFUNCTION("""COMPUTED_VALUE""")," 2.05 %  ")</f>
        <v>2.05 % </v>
      </c>
      <c r="Z5" s="143"/>
      <c r="AR5" s="143" t="str">
        <f>IFERROR(__xludf.DUMMYFUNCTION("GOOGLEFINANCE(""Currency:gbpusd"", ""price"", TODAY()-7)"),"Date")</f>
        <v>Date</v>
      </c>
      <c r="AS5" s="143" t="str">
        <f>IFERROR(__xludf.DUMMYFUNCTION("""COMPUTED_VALUE"""),"Close")</f>
        <v>Close</v>
      </c>
    </row>
    <row r="6">
      <c r="D6" s="95">
        <v>21052.53</v>
      </c>
      <c r="H6" s="95"/>
      <c r="I6" s="142">
        <f>I15/100</f>
        <v>0</v>
      </c>
      <c r="S6" s="143">
        <f>IFERROR(__xludf.DUMMYFUNCTION("""COMPUTED_VALUE"""),5.0)</f>
        <v>5</v>
      </c>
      <c r="T6" s="143" t="str">
        <f>IFERROR(__xludf.DUMMYFUNCTION("""COMPUTED_VALUE"""),"BNB")</f>
        <v>BNB</v>
      </c>
      <c r="U6" s="144">
        <f>IFERROR(__xludf.DUMMYFUNCTION("""COMPUTED_VALUE"""),1.18433474369E11)</f>
        <v>118433474369</v>
      </c>
      <c r="V6" s="145">
        <f>IFERROR(__xludf.DUMMYFUNCTION("""COMPUTED_VALUE"""),851.46)</f>
        <v>851.46</v>
      </c>
      <c r="W6" s="146">
        <f>IFERROR(__xludf.DUMMYFUNCTION("""COMPUTED_VALUE"""),1.39187747E8)</f>
        <v>139187747</v>
      </c>
      <c r="X6" s="144">
        <f>IFERROR(__xludf.DUMMYFUNCTION("""COMPUTED_VALUE"""),1.576434556E9)</f>
        <v>1576434556</v>
      </c>
      <c r="Y6" s="147" t="str">
        <f>IFERROR(__xludf.DUMMYFUNCTION("""COMPUTED_VALUE""")," -0.45 %  ")</f>
        <v>-0.45 % </v>
      </c>
      <c r="Z6" s="143"/>
      <c r="AR6" s="148">
        <f>IFERROR(__xludf.DUMMYFUNCTION("""COMPUTED_VALUE"""),45895.99861111111)</f>
        <v>45895.99861</v>
      </c>
      <c r="AS6" s="143">
        <f>IFERROR(__xludf.DUMMYFUNCTION("""COMPUTED_VALUE"""),1.347805)</f>
        <v>1.347805</v>
      </c>
    </row>
    <row r="7">
      <c r="I7" s="142">
        <f>I18/100</f>
        <v>0</v>
      </c>
      <c r="S7" s="143">
        <f>IFERROR(__xludf.DUMMYFUNCTION("""COMPUTED_VALUE"""),6.0)</f>
        <v>6</v>
      </c>
      <c r="T7" s="143" t="str">
        <f>IFERROR(__xludf.DUMMYFUNCTION("""COMPUTED_VALUE"""),"Solana")</f>
        <v>Solana</v>
      </c>
      <c r="U7" s="144">
        <f>IFERROR(__xludf.DUMMYFUNCTION("""COMPUTED_VALUE"""),1.09194247789E11)</f>
        <v>109194247789</v>
      </c>
      <c r="V7" s="145">
        <f>IFERROR(__xludf.DUMMYFUNCTION("""COMPUTED_VALUE"""),201.97)</f>
        <v>201.97</v>
      </c>
      <c r="W7" s="146">
        <f>IFERROR(__xludf.DUMMYFUNCTION("""COMPUTED_VALUE"""),5.40915188E8)</f>
        <v>540915188</v>
      </c>
      <c r="X7" s="144">
        <f>IFERROR(__xludf.DUMMYFUNCTION("""COMPUTED_VALUE"""),6.961577772E9)</f>
        <v>6961577772</v>
      </c>
      <c r="Y7" s="147" t="str">
        <f>IFERROR(__xludf.DUMMYFUNCTION("""COMPUTED_VALUE""")," 2.12 %  ")</f>
        <v>2.12 % </v>
      </c>
      <c r="Z7" s="143"/>
      <c r="AR7" s="143" t="str">
        <f>IFERROR(__xludf.DUMMYFUNCTION("GOOGLEFINANCE(""Currency:cadusd"", ""price"", TODAY()-7)"),"Date")</f>
        <v>Date</v>
      </c>
      <c r="AS7" s="143" t="str">
        <f>IFERROR(__xludf.DUMMYFUNCTION("""COMPUTED_VALUE"""),"Close")</f>
        <v>Close</v>
      </c>
    </row>
    <row r="8">
      <c r="I8" s="142">
        <f>I21/100</f>
        <v>0</v>
      </c>
      <c r="S8" s="143">
        <f>IFERROR(__xludf.DUMMYFUNCTION("""COMPUTED_VALUE"""),7.0)</f>
        <v>7</v>
      </c>
      <c r="T8" s="143" t="str">
        <f>IFERROR(__xludf.DUMMYFUNCTION("""COMPUTED_VALUE"""),"USDC")</f>
        <v>USDC</v>
      </c>
      <c r="U8" s="144">
        <f>IFERROR(__xludf.DUMMYFUNCTION("""COMPUTED_VALUE"""),7.1585463735E10)</f>
        <v>71585463735</v>
      </c>
      <c r="V8" s="145">
        <f>IFERROR(__xludf.DUMMYFUNCTION("""COMPUTED_VALUE"""),1.0)</f>
        <v>1</v>
      </c>
      <c r="W8" s="146">
        <f>IFERROR(__xludf.DUMMYFUNCTION("""COMPUTED_VALUE"""),7.1602680318E10)</f>
        <v>71602680318</v>
      </c>
      <c r="X8" s="144">
        <f>IFERROR(__xludf.DUMMYFUNCTION("""COMPUTED_VALUE"""),1.2123098129E10)</f>
        <v>12123098129</v>
      </c>
      <c r="Y8" s="147" t="str">
        <f>IFERROR(__xludf.DUMMYFUNCTION("""COMPUTED_VALUE""")," 0.00 %  ")</f>
        <v>0.00 % </v>
      </c>
      <c r="Z8" s="143"/>
      <c r="AR8" s="148">
        <f>IFERROR(__xludf.DUMMYFUNCTION("""COMPUTED_VALUE"""),45895.99861111111)</f>
        <v>45895.99861</v>
      </c>
      <c r="AS8" s="143">
        <f>IFERROR(__xludf.DUMMYFUNCTION("""COMPUTED_VALUE"""),0.722855)</f>
        <v>0.722855</v>
      </c>
    </row>
    <row r="9">
      <c r="I9" s="142">
        <f>I24/100</f>
        <v>0</v>
      </c>
      <c r="S9" s="143">
        <f>IFERROR(__xludf.DUMMYFUNCTION("""COMPUTED_VALUE"""),9.0)</f>
        <v>9</v>
      </c>
      <c r="T9" s="143" t="str">
        <f>IFERROR(__xludf.DUMMYFUNCTION("""COMPUTED_VALUE"""),"TRON")</f>
        <v>TRON</v>
      </c>
      <c r="U9" s="144">
        <f>IFERROR(__xludf.DUMMYFUNCTION("""COMPUTED_VALUE"""),3.2123591064E10)</f>
        <v>32123591064</v>
      </c>
      <c r="V9" s="145">
        <f>IFERROR(__xludf.DUMMYFUNCTION("""COMPUTED_VALUE"""),0.34)</f>
        <v>0.34</v>
      </c>
      <c r="W9" s="146">
        <f>IFERROR(__xludf.DUMMYFUNCTION("""COMPUTED_VALUE"""),9.4660495297E10)</f>
        <v>94660495297</v>
      </c>
      <c r="X9" s="144">
        <f>IFERROR(__xludf.DUMMYFUNCTION("""COMPUTED_VALUE"""),8.44856396E8)</f>
        <v>844856396</v>
      </c>
      <c r="Y9" s="147" t="str">
        <f>IFERROR(__xludf.DUMMYFUNCTION("""COMPUTED_VALUE""")," 0.47 %  ")</f>
        <v>0.47 % </v>
      </c>
      <c r="Z9" s="143"/>
      <c r="AR9" s="143" t="str">
        <f>IFERROR(__xludf.DUMMYFUNCTION("GOOGLEFINANCE(""Currency:chfusd"", ""price"", TODAY()-7)"),"Date")</f>
        <v>Date</v>
      </c>
      <c r="AS9" s="143" t="str">
        <f>IFERROR(__xludf.DUMMYFUNCTION("""COMPUTED_VALUE"""),"Close")</f>
        <v>Close</v>
      </c>
    </row>
    <row r="10">
      <c r="S10" s="143">
        <f>IFERROR(__xludf.DUMMYFUNCTION("""COMPUTED_VALUE"""),10.0)</f>
        <v>10</v>
      </c>
      <c r="T10" s="143" t="str">
        <f>IFERROR(__xludf.DUMMYFUNCTION("""COMPUTED_VALUE"""),"Dogecoin")</f>
        <v>Dogecoin</v>
      </c>
      <c r="U10" s="144">
        <f>IFERROR(__xludf.DUMMYFUNCTION("""COMPUTED_VALUE"""),3.2108632412E10)</f>
        <v>32108632412</v>
      </c>
      <c r="V10" s="145">
        <f>IFERROR(__xludf.DUMMYFUNCTION("""COMPUTED_VALUE"""),0.21)</f>
        <v>0.21</v>
      </c>
      <c r="W10" s="146">
        <f>IFERROR(__xludf.DUMMYFUNCTION("""COMPUTED_VALUE"""),1.50748586384E11)</f>
        <v>150748586384</v>
      </c>
      <c r="X10" s="144">
        <f>IFERROR(__xludf.DUMMYFUNCTION("""COMPUTED_VALUE"""),2.564901214E9)</f>
        <v>2564901214</v>
      </c>
      <c r="Y10" s="147" t="str">
        <f>IFERROR(__xludf.DUMMYFUNCTION("""COMPUTED_VALUE""")," 1.56 %  ")</f>
        <v>1.56 % </v>
      </c>
      <c r="Z10" s="143"/>
      <c r="AR10" s="148">
        <f>IFERROR(__xludf.DUMMYFUNCTION("""COMPUTED_VALUE"""),45895.99861111111)</f>
        <v>45895.99861</v>
      </c>
      <c r="AS10" s="143">
        <f>IFERROR(__xludf.DUMMYFUNCTION("""COMPUTED_VALUE"""),1.244105)</f>
        <v>1.244105</v>
      </c>
    </row>
    <row r="11">
      <c r="S11" s="143">
        <f>IFERROR(__xludf.DUMMYFUNCTION("""COMPUTED_VALUE"""),11.0)</f>
        <v>11</v>
      </c>
      <c r="T11" s="143" t="str">
        <f>IFERROR(__xludf.DUMMYFUNCTION("""COMPUTED_VALUE"""),"Cardano")</f>
        <v>Cardano</v>
      </c>
      <c r="U11" s="144">
        <f>IFERROR(__xludf.DUMMYFUNCTION("""COMPUTED_VALUE"""),2.975797176E10)</f>
        <v>29757971760</v>
      </c>
      <c r="V11" s="145">
        <f>IFERROR(__xludf.DUMMYFUNCTION("""COMPUTED_VALUE"""),0.82)</f>
        <v>0.82</v>
      </c>
      <c r="W11" s="146">
        <f>IFERROR(__xludf.DUMMYFUNCTION("""COMPUTED_VALUE"""),3.6494561994E10)</f>
        <v>36494561994</v>
      </c>
      <c r="X11" s="144">
        <f>IFERROR(__xludf.DUMMYFUNCTION("""COMPUTED_VALUE"""),1.764626286E9)</f>
        <v>1764626286</v>
      </c>
      <c r="Y11" s="147" t="str">
        <f>IFERROR(__xludf.DUMMYFUNCTION("""COMPUTED_VALUE""")," 1.18 %  ")</f>
        <v>1.18 % </v>
      </c>
      <c r="Z11" s="143"/>
      <c r="AR11" s="143" t="str">
        <f>IFERROR(__xludf.DUMMYFUNCTION("GOOGLEFINANCE(""Currency:audusd"", ""price"", TODAY()-7)"),"Date")</f>
        <v>Date</v>
      </c>
      <c r="AS11" s="143" t="str">
        <f>IFERROR(__xludf.DUMMYFUNCTION("""COMPUTED_VALUE"""),"Close")</f>
        <v>Close</v>
      </c>
    </row>
    <row r="12">
      <c r="S12" s="143">
        <f>IFERROR(__xludf.DUMMYFUNCTION("""COMPUTED_VALUE"""),13.0)</f>
        <v>13</v>
      </c>
      <c r="T12" s="143" t="str">
        <f>IFERROR(__xludf.DUMMYFUNCTION("""COMPUTED_VALUE"""),"Chainlink")</f>
        <v>Chainlink</v>
      </c>
      <c r="U12" s="144">
        <f>IFERROR(__xludf.DUMMYFUNCTION("""COMPUTED_VALUE"""),1.5707870459E10)</f>
        <v>15707870459</v>
      </c>
      <c r="V12" s="145">
        <f>IFERROR(__xludf.DUMMYFUNCTION("""COMPUTED_VALUE"""),23.19)</f>
        <v>23.19</v>
      </c>
      <c r="W12" s="146">
        <f>IFERROR(__xludf.DUMMYFUNCTION("""COMPUTED_VALUE"""),6.7809997E8)</f>
        <v>678099970</v>
      </c>
      <c r="X12" s="144">
        <f>IFERROR(__xludf.DUMMYFUNCTION("""COMPUTED_VALUE"""),1.27430525E9)</f>
        <v>1274305250</v>
      </c>
      <c r="Y12" s="147" t="str">
        <f>IFERROR(__xludf.DUMMYFUNCTION("""COMPUTED_VALUE""")," 0.54 %  ")</f>
        <v>0.54 % </v>
      </c>
      <c r="Z12" s="143"/>
      <c r="AR12" s="148">
        <f>IFERROR(__xludf.DUMMYFUNCTION("""COMPUTED_VALUE"""),45895.99861111111)</f>
        <v>45895.99861</v>
      </c>
      <c r="AS12" s="143">
        <f>IFERROR(__xludf.DUMMYFUNCTION("""COMPUTED_VALUE"""),0.64955)</f>
        <v>0.64955</v>
      </c>
    </row>
    <row r="13">
      <c r="E13" s="95" t="str">
        <f>IFERROR(__xludf.DUMMYFUNCTION("importxml(""https://www.wsj.com/market-data/bonds/moneyrates"", ""//table/tbody/tr/td"")"),"#N/A")</f>
        <v>#N/A</v>
      </c>
      <c r="S13" s="143">
        <f>IFERROR(__xludf.DUMMYFUNCTION("""COMPUTED_VALUE"""),15.0)</f>
        <v>15</v>
      </c>
      <c r="T13" s="143" t="str">
        <f>IFERROR(__xludf.DUMMYFUNCTION("""COMPUTED_VALUE"""),"Wrapped Bitcoin")</f>
        <v>Wrapped Bitcoin</v>
      </c>
      <c r="U13" s="144">
        <f>IFERROR(__xludf.DUMMYFUNCTION("""COMPUTED_VALUE"""),1.4016178291E10)</f>
        <v>14016178291</v>
      </c>
      <c r="V13" s="145">
        <f>IFERROR(__xludf.DUMMYFUNCTION("""COMPUTED_VALUE"""),110181.0)</f>
        <v>110181</v>
      </c>
      <c r="W13" s="146">
        <f>IFERROR(__xludf.DUMMYFUNCTION("""COMPUTED_VALUE"""),127117.0)</f>
        <v>127117</v>
      </c>
      <c r="X13" s="144">
        <f>IFERROR(__xludf.DUMMYFUNCTION("""COMPUTED_VALUE"""),3.19799269E8)</f>
        <v>319799269</v>
      </c>
      <c r="Y13" s="147" t="str">
        <f>IFERROR(__xludf.DUMMYFUNCTION("""COMPUTED_VALUE""")," 2.32 %  ")</f>
        <v>2.32 % </v>
      </c>
      <c r="Z13" s="143"/>
      <c r="AR13" s="143" t="str">
        <f>IFERROR(__xludf.DUMMYFUNCTION("GOOGLEFINANCE(""Currency:USDjpy"", ""price"", TODAY()-7)"),"Date")</f>
        <v>Date</v>
      </c>
      <c r="AS13" s="143" t="str">
        <f>IFERROR(__xludf.DUMMYFUNCTION("""COMPUTED_VALUE"""),"Close")</f>
        <v>Close</v>
      </c>
    </row>
    <row r="14">
      <c r="F14" s="95" t="s">
        <v>81</v>
      </c>
      <c r="G14" s="95">
        <v>258.678</v>
      </c>
      <c r="I14" s="143" t="str">
        <f>IFERROR(__xludf.DUMMYFUNCTION("importxml(""https://money.cnn.com/data/bonds/"", ""//table/tbody/tr/td"")"),"#N/A")</f>
        <v>#N/A</v>
      </c>
      <c r="K14" s="143" t="str">
        <f>IFERROR(__xludf.DUMMYFUNCTION("IMPORTXML(""https://www.bloomberg.com/markets/rates-bonds/government-bonds/us"", ""//table/tbody/tr/td"")"),"#N/A")</f>
        <v>#N/A</v>
      </c>
      <c r="N14" s="143" t="str">
        <f>IFERROR(__xludf.DUMMYFUNCTION("IMPORTXML(""https://money.cnn.com/data/premarket/"", ""//table/tr"")"),"#N/A")</f>
        <v>#N/A</v>
      </c>
      <c r="S14" s="143">
        <f>IFERROR(__xludf.DUMMYFUNCTION("""COMPUTED_VALUE"""),20.0)</f>
        <v>20</v>
      </c>
      <c r="T14" s="143" t="str">
        <f>IFERROR(__xludf.DUMMYFUNCTION("""COMPUTED_VALUE"""),"Stellar")</f>
        <v>Stellar</v>
      </c>
      <c r="U14" s="144">
        <f>IFERROR(__xludf.DUMMYFUNCTION("""COMPUTED_VALUE"""),1.1338964793E10)</f>
        <v>11338964793</v>
      </c>
      <c r="V14" s="145">
        <f>IFERROR(__xludf.DUMMYFUNCTION("""COMPUTED_VALUE"""),0.36)</f>
        <v>0.36</v>
      </c>
      <c r="W14" s="146">
        <f>IFERROR(__xludf.DUMMYFUNCTION("""COMPUTED_VALUE"""),3.1386645755E10)</f>
        <v>31386645755</v>
      </c>
      <c r="X14" s="144">
        <f>IFERROR(__xludf.DUMMYFUNCTION("""COMPUTED_VALUE"""),3.55106996E8)</f>
        <v>355106996</v>
      </c>
      <c r="Y14" s="147" t="str">
        <f>IFERROR(__xludf.DUMMYFUNCTION("""COMPUTED_VALUE""")," 3.84 %  ")</f>
        <v>3.84 % </v>
      </c>
      <c r="Z14" s="143"/>
      <c r="AR14" s="148">
        <f>IFERROR(__xludf.DUMMYFUNCTION("""COMPUTED_VALUE"""),45895.99861111111)</f>
        <v>45895.99861</v>
      </c>
      <c r="AS14" s="143">
        <f>IFERROR(__xludf.DUMMYFUNCTION("""COMPUTED_VALUE"""),147.467)</f>
        <v>147.467</v>
      </c>
    </row>
    <row r="15">
      <c r="F15" s="95" t="s">
        <v>82</v>
      </c>
      <c r="S15" s="143">
        <f>IFERROR(__xludf.DUMMYFUNCTION("""COMPUTED_VALUE"""),21.0)</f>
        <v>21</v>
      </c>
      <c r="T15" s="143" t="str">
        <f>IFERROR(__xludf.DUMMYFUNCTION("""COMPUTED_VALUE"""),"Bitcoin Cash")</f>
        <v>Bitcoin Cash</v>
      </c>
      <c r="U15" s="144">
        <f>IFERROR(__xludf.DUMMYFUNCTION("""COMPUTED_VALUE"""),1.1254349344E10)</f>
        <v>11254349344</v>
      </c>
      <c r="V15" s="145">
        <f>IFERROR(__xludf.DUMMYFUNCTION("""COMPUTED_VALUE"""),565.23)</f>
        <v>565.23</v>
      </c>
      <c r="W15" s="146">
        <f>IFERROR(__xludf.DUMMYFUNCTION("""COMPUTED_VALUE"""),1.9919675E7)</f>
        <v>19919675</v>
      </c>
      <c r="X15" s="144">
        <f>IFERROR(__xludf.DUMMYFUNCTION("""COMPUTED_VALUE"""),2.89012727E8)</f>
        <v>289012727</v>
      </c>
      <c r="Y15" s="147" t="str">
        <f>IFERROR(__xludf.DUMMYFUNCTION("""COMPUTED_VALUE""")," 5.44 %  ")</f>
        <v>5.44 % </v>
      </c>
      <c r="Z15" s="143"/>
    </row>
    <row r="16">
      <c r="F16" s="95" t="s">
        <v>83</v>
      </c>
      <c r="L16" s="95" t="s">
        <v>84</v>
      </c>
      <c r="S16" s="143">
        <f>IFERROR(__xludf.DUMMYFUNCTION("""COMPUTED_VALUE"""),22.0)</f>
        <v>22</v>
      </c>
      <c r="T16" s="143" t="str">
        <f>IFERROR(__xludf.DUMMYFUNCTION("""COMPUTED_VALUE"""),"Avalanche")</f>
        <v>Avalanche</v>
      </c>
      <c r="U16" s="144">
        <f>IFERROR(__xludf.DUMMYFUNCTION("""COMPUTED_VALUE"""),9.99561522E9)</f>
        <v>9995615220</v>
      </c>
      <c r="V16" s="145">
        <f>IFERROR(__xludf.DUMMYFUNCTION("""COMPUTED_VALUE"""),23.68)</f>
        <v>23.68</v>
      </c>
      <c r="W16" s="146">
        <f>IFERROR(__xludf.DUMMYFUNCTION("""COMPUTED_VALUE"""),4.22276596E8)</f>
        <v>422276596</v>
      </c>
      <c r="X16" s="144">
        <f>IFERROR(__xludf.DUMMYFUNCTION("""COMPUTED_VALUE"""),7.10786902E8)</f>
        <v>710786902</v>
      </c>
      <c r="Y16" s="147" t="str">
        <f>IFERROR(__xludf.DUMMYFUNCTION("""COMPUTED_VALUE""")," 2.43 %  ")</f>
        <v>2.43 % </v>
      </c>
      <c r="Z16" s="143"/>
    </row>
    <row r="17">
      <c r="S17" s="143">
        <f>IFERROR(__xludf.DUMMYFUNCTION("""COMPUTED_VALUE"""),24.0)</f>
        <v>24</v>
      </c>
      <c r="T17" s="143" t="str">
        <f>IFERROR(__xludf.DUMMYFUNCTION("""COMPUTED_VALUE"""),"Hedera")</f>
        <v>Hedera</v>
      </c>
      <c r="U17" s="144">
        <f>IFERROR(__xludf.DUMMYFUNCTION("""COMPUTED_VALUE"""),9.246566066E9)</f>
        <v>9246566066</v>
      </c>
      <c r="V17" s="145">
        <f>IFERROR(__xludf.DUMMYFUNCTION("""COMPUTED_VALUE"""),0.22)</f>
        <v>0.22</v>
      </c>
      <c r="W17" s="146">
        <f>IFERROR(__xludf.DUMMYFUNCTION("""COMPUTED_VALUE"""),4.2392927395E10)</f>
        <v>42392927395</v>
      </c>
      <c r="X17" s="144">
        <f>IFERROR(__xludf.DUMMYFUNCTION("""COMPUTED_VALUE"""),2.74027301E8)</f>
        <v>274027301</v>
      </c>
      <c r="Y17" s="147" t="str">
        <f>IFERROR(__xludf.DUMMYFUNCTION("""COMPUTED_VALUE""")," 1.88 %  ")</f>
        <v>1.88 % </v>
      </c>
      <c r="Z17" s="143"/>
    </row>
    <row r="18">
      <c r="S18" s="143">
        <f>IFERROR(__xludf.DUMMYFUNCTION("""COMPUTED_VALUE"""),25.0)</f>
        <v>25</v>
      </c>
      <c r="T18" s="143" t="str">
        <f>IFERROR(__xludf.DUMMYFUNCTION("""COMPUTED_VALUE"""),"LEO Token")</f>
        <v>LEO Token</v>
      </c>
      <c r="U18" s="144">
        <f>IFERROR(__xludf.DUMMYFUNCTION("""COMPUTED_VALUE"""),8.83847885E9)</f>
        <v>8838478850</v>
      </c>
      <c r="V18" s="145">
        <f>IFERROR(__xludf.DUMMYFUNCTION("""COMPUTED_VALUE"""),9.58)</f>
        <v>9.58</v>
      </c>
      <c r="W18" s="146">
        <f>IFERROR(__xludf.DUMMYFUNCTION("""COMPUTED_VALUE"""),9.230421E8)</f>
        <v>923042100</v>
      </c>
      <c r="X18" s="144">
        <f>IFERROR(__xludf.DUMMYFUNCTION("""COMPUTED_VALUE"""),613113.0)</f>
        <v>613113</v>
      </c>
      <c r="Y18" s="147" t="str">
        <f>IFERROR(__xludf.DUMMYFUNCTION("""COMPUTED_VALUE""")," -0.48 %  ")</f>
        <v>-0.48 % </v>
      </c>
      <c r="Z18" s="143"/>
    </row>
    <row r="19">
      <c r="S19" s="143">
        <f>IFERROR(__xludf.DUMMYFUNCTION("""COMPUTED_VALUE"""),26.0)</f>
        <v>26</v>
      </c>
      <c r="T19" s="143" t="str">
        <f>IFERROR(__xludf.DUMMYFUNCTION("""COMPUTED_VALUE"""),"Cronos")</f>
        <v>Cronos</v>
      </c>
      <c r="U19" s="144">
        <f>IFERROR(__xludf.DUMMYFUNCTION("""COMPUTED_VALUE"""),8.814003685E9)</f>
        <v>8814003685</v>
      </c>
      <c r="V19" s="145">
        <f>IFERROR(__xludf.DUMMYFUNCTION("""COMPUTED_VALUE"""),0.26)</f>
        <v>0.26</v>
      </c>
      <c r="W19" s="146">
        <f>IFERROR(__xludf.DUMMYFUNCTION("""COMPUTED_VALUE"""),3.3601759472E10)</f>
        <v>33601759472</v>
      </c>
      <c r="X19" s="144">
        <f>IFERROR(__xludf.DUMMYFUNCTION("""COMPUTED_VALUE"""),2.14819115E8)</f>
        <v>214819115</v>
      </c>
      <c r="Y19" s="147" t="str">
        <f>IFERROR(__xludf.DUMMYFUNCTION("""COMPUTED_VALUE""")," -4.87 %  ")</f>
        <v>-4.87 % </v>
      </c>
      <c r="Z19" s="143"/>
    </row>
    <row r="20">
      <c r="S20" s="143">
        <f>IFERROR(__xludf.DUMMYFUNCTION("""COMPUTED_VALUE"""),27.0)</f>
        <v>27</v>
      </c>
      <c r="T20" s="143" t="str">
        <f>IFERROR(__xludf.DUMMYFUNCTION("""COMPUTED_VALUE"""),"Litecoin")</f>
        <v>Litecoin</v>
      </c>
      <c r="U20" s="144">
        <f>IFERROR(__xludf.DUMMYFUNCTION("""COMPUTED_VALUE"""),8.422039715E9)</f>
        <v>8422039715</v>
      </c>
      <c r="V20" s="145">
        <f>IFERROR(__xludf.DUMMYFUNCTION("""COMPUTED_VALUE"""),110.47)</f>
        <v>110.47</v>
      </c>
      <c r="W20" s="146">
        <f>IFERROR(__xludf.DUMMYFUNCTION("""COMPUTED_VALUE"""),7.6252177E7)</f>
        <v>76252177</v>
      </c>
      <c r="X20" s="144">
        <f>IFERROR(__xludf.DUMMYFUNCTION("""COMPUTED_VALUE"""),5.36343382E8)</f>
        <v>536343382</v>
      </c>
      <c r="Y20" s="147" t="str">
        <f>IFERROR(__xludf.DUMMYFUNCTION("""COMPUTED_VALUE""")," 2.26 %  ")</f>
        <v>2.26 % </v>
      </c>
      <c r="Z20" s="143"/>
    </row>
    <row r="21">
      <c r="S21" s="143">
        <f>IFERROR(__xludf.DUMMYFUNCTION("""COMPUTED_VALUE"""),30.0)</f>
        <v>30</v>
      </c>
      <c r="T21" s="143" t="str">
        <f>IFERROR(__xludf.DUMMYFUNCTION("""COMPUTED_VALUE"""),"Shiba Inu")</f>
        <v>Shiba Inu</v>
      </c>
      <c r="U21" s="144">
        <f>IFERROR(__xludf.DUMMYFUNCTION("""COMPUTED_VALUE"""),7.217073427E9)</f>
        <v>7217073427</v>
      </c>
      <c r="V21" s="145">
        <f>IFERROR(__xludf.DUMMYFUNCTION("""COMPUTED_VALUE"""),0.0)</f>
        <v>0</v>
      </c>
      <c r="W21" s="146">
        <f>IFERROR(__xludf.DUMMYFUNCTION("""COMPUTED_VALUE"""),5.8924594984796E14)</f>
        <v>589245949847960</v>
      </c>
      <c r="X21" s="144">
        <f>IFERROR(__xludf.DUMMYFUNCTION("""COMPUTED_VALUE"""),2.67202409E8)</f>
        <v>267202409</v>
      </c>
      <c r="Y21" s="147" t="str">
        <f>IFERROR(__xludf.DUMMYFUNCTION("""COMPUTED_VALUE""")," 1.81 %  ")</f>
        <v>1.81 % </v>
      </c>
      <c r="Z21" s="143"/>
    </row>
    <row r="22">
      <c r="L22" s="95" t="s">
        <v>85</v>
      </c>
      <c r="S22" s="143">
        <f>IFERROR(__xludf.DUMMYFUNCTION("""COMPUTED_VALUE"""),35.0)</f>
        <v>35</v>
      </c>
      <c r="T22" s="143" t="str">
        <f>IFERROR(__xludf.DUMMYFUNCTION("""COMPUTED_VALUE"""),"Polkadot")</f>
        <v>Polkadot</v>
      </c>
      <c r="U22" s="144">
        <f>IFERROR(__xludf.DUMMYFUNCTION("""COMPUTED_VALUE"""),5.742391524E9)</f>
        <v>5742391524</v>
      </c>
      <c r="V22" s="145">
        <f>IFERROR(__xludf.DUMMYFUNCTION("""COMPUTED_VALUE"""),3.77)</f>
        <v>3.77</v>
      </c>
      <c r="W22" s="146">
        <f>IFERROR(__xludf.DUMMYFUNCTION("""COMPUTED_VALUE"""),1.52226706E9)</f>
        <v>1522267060</v>
      </c>
      <c r="X22" s="144">
        <f>IFERROR(__xludf.DUMMYFUNCTION("""COMPUTED_VALUE"""),3.31955361E8)</f>
        <v>331955361</v>
      </c>
      <c r="Y22" s="147" t="str">
        <f>IFERROR(__xludf.DUMMYFUNCTION("""COMPUTED_VALUE""")," 2.34 %  ")</f>
        <v>2.34 % </v>
      </c>
      <c r="Z22" s="143"/>
    </row>
    <row r="23">
      <c r="S23" s="143">
        <f>IFERROR(__xludf.DUMMYFUNCTION("""COMPUTED_VALUE"""),36.0)</f>
        <v>36</v>
      </c>
      <c r="T23" s="143" t="str">
        <f>IFERROR(__xludf.DUMMYFUNCTION("""COMPUTED_VALUE"""),"Uniswap")</f>
        <v>Uniswap</v>
      </c>
      <c r="U23" s="144">
        <f>IFERROR(__xludf.DUMMYFUNCTION("""COMPUTED_VALUE"""),5.717511645E9)</f>
        <v>5717511645</v>
      </c>
      <c r="V23" s="145">
        <f>IFERROR(__xludf.DUMMYFUNCTION("""COMPUTED_VALUE"""),9.53)</f>
        <v>9.53</v>
      </c>
      <c r="W23" s="146">
        <f>IFERROR(__xludf.DUMMYFUNCTION("""COMPUTED_VALUE"""),6.00483074E8)</f>
        <v>600483074</v>
      </c>
      <c r="X23" s="144">
        <f>IFERROR(__xludf.DUMMYFUNCTION("""COMPUTED_VALUE"""),3.55210063E8)</f>
        <v>355210063</v>
      </c>
      <c r="Y23" s="147" t="str">
        <f>IFERROR(__xludf.DUMMYFUNCTION("""COMPUTED_VALUE""")," 1.51 %  ")</f>
        <v>1.51 % </v>
      </c>
      <c r="Z23" s="143"/>
    </row>
    <row r="24">
      <c r="S24" s="143">
        <f>IFERROR(__xludf.DUMMYFUNCTION("""COMPUTED_VALUE"""),39.0)</f>
        <v>39</v>
      </c>
      <c r="T24" s="143" t="str">
        <f>IFERROR(__xludf.DUMMYFUNCTION("""COMPUTED_VALUE"""),"Monero")</f>
        <v>Monero</v>
      </c>
      <c r="U24" s="144">
        <f>IFERROR(__xludf.DUMMYFUNCTION("""COMPUTED_VALUE"""),4.849810152E9)</f>
        <v>4849810152</v>
      </c>
      <c r="V24" s="145">
        <f>IFERROR(__xludf.DUMMYFUNCTION("""COMPUTED_VALUE"""),262.94)</f>
        <v>262.94</v>
      </c>
      <c r="W24" s="146">
        <f>IFERROR(__xludf.DUMMYFUNCTION("""COMPUTED_VALUE"""),1.8446744E7)</f>
        <v>18446744</v>
      </c>
      <c r="X24" s="144">
        <f>IFERROR(__xludf.DUMMYFUNCTION("""COMPUTED_VALUE"""),6.7116812E7)</f>
        <v>67116812</v>
      </c>
      <c r="Y24" s="147" t="str">
        <f>IFERROR(__xludf.DUMMYFUNCTION("""COMPUTED_VALUE""")," -1.87 %  ")</f>
        <v>-1.87 % </v>
      </c>
      <c r="Z24" s="143"/>
    </row>
    <row r="25">
      <c r="S25" s="143">
        <f>IFERROR(__xludf.DUMMYFUNCTION("""COMPUTED_VALUE"""),40.0)</f>
        <v>40</v>
      </c>
      <c r="T25" s="143" t="str">
        <f>IFERROR(__xludf.DUMMYFUNCTION("""COMPUTED_VALUE"""),"Aave")</f>
        <v>Aave</v>
      </c>
      <c r="U25" s="144">
        <f>IFERROR(__xludf.DUMMYFUNCTION("""COMPUTED_VALUE"""),4.740011194E9)</f>
        <v>4740011194</v>
      </c>
      <c r="V25" s="145">
        <f>IFERROR(__xludf.DUMMYFUNCTION("""COMPUTED_VALUE"""),311.41)</f>
        <v>311.41</v>
      </c>
      <c r="W25" s="146">
        <f>IFERROR(__xludf.DUMMYFUNCTION("""COMPUTED_VALUE"""),1.5223034E7)</f>
        <v>15223034</v>
      </c>
      <c r="X25" s="144">
        <f>IFERROR(__xludf.DUMMYFUNCTION("""COMPUTED_VALUE"""),4.74680816E8)</f>
        <v>474680816</v>
      </c>
      <c r="Y25" s="147" t="str">
        <f>IFERROR(__xludf.DUMMYFUNCTION("""COMPUTED_VALUE""")," -0.02 %  ")</f>
        <v>-0.02 % </v>
      </c>
      <c r="Z25" s="143"/>
    </row>
    <row r="26">
      <c r="S26" s="143">
        <f>IFERROR(__xludf.DUMMYFUNCTION("""COMPUTED_VALUE"""),41.0)</f>
        <v>41</v>
      </c>
      <c r="T26" s="143" t="str">
        <f>IFERROR(__xludf.DUMMYFUNCTION("""COMPUTED_VALUE"""),"Dai")</f>
        <v>Dai</v>
      </c>
      <c r="U26" s="144">
        <f>IFERROR(__xludf.DUMMYFUNCTION("""COMPUTED_VALUE"""),4.616327412E9)</f>
        <v>4616327412</v>
      </c>
      <c r="V26" s="145">
        <f>IFERROR(__xludf.DUMMYFUNCTION("""COMPUTED_VALUE"""),1.0)</f>
        <v>1</v>
      </c>
      <c r="W26" s="146">
        <f>IFERROR(__xludf.DUMMYFUNCTION("""COMPUTED_VALUE"""),4.616290221E9)</f>
        <v>4616290221</v>
      </c>
      <c r="X26" s="144">
        <f>IFERROR(__xludf.DUMMYFUNCTION("""COMPUTED_VALUE"""),1.34826731E8)</f>
        <v>134826731</v>
      </c>
      <c r="Y26" s="147" t="str">
        <f>IFERROR(__xludf.DUMMYFUNCTION("""COMPUTED_VALUE""")," 0.02 %  ")</f>
        <v>0.02 % </v>
      </c>
      <c r="Z26" s="143"/>
    </row>
    <row r="27">
      <c r="S27" s="143">
        <f>IFERROR(__xludf.DUMMYFUNCTION("""COMPUTED_VALUE"""),45.0)</f>
        <v>45</v>
      </c>
      <c r="T27" s="143" t="str">
        <f>IFERROR(__xludf.DUMMYFUNCTION("""COMPUTED_VALUE"""),"OKB")</f>
        <v>OKB</v>
      </c>
      <c r="U27" s="144">
        <f>IFERROR(__xludf.DUMMYFUNCTION("""COMPUTED_VALUE"""),3.522372703E9)</f>
        <v>3522372703</v>
      </c>
      <c r="V27" s="145">
        <f>IFERROR(__xludf.DUMMYFUNCTION("""COMPUTED_VALUE"""),167.74)</f>
        <v>167.74</v>
      </c>
      <c r="W27" s="146">
        <f>IFERROR(__xludf.DUMMYFUNCTION("""COMPUTED_VALUE"""),2.1E7)</f>
        <v>21000000</v>
      </c>
      <c r="X27" s="144">
        <f>IFERROR(__xludf.DUMMYFUNCTION("""COMPUTED_VALUE"""),1.30129087E8)</f>
        <v>130129087</v>
      </c>
      <c r="Y27" s="147" t="str">
        <f>IFERROR(__xludf.DUMMYFUNCTION("""COMPUTED_VALUE""")," 0.14 %  ")</f>
        <v>0.14 % </v>
      </c>
      <c r="Z27" s="143"/>
    </row>
    <row r="28">
      <c r="L28" s="95" t="s">
        <v>86</v>
      </c>
      <c r="S28" s="143">
        <f>IFERROR(__xludf.DUMMYFUNCTION("""COMPUTED_VALUE"""),46.0)</f>
        <v>46</v>
      </c>
      <c r="T28" s="143" t="str">
        <f>IFERROR(__xludf.DUMMYFUNCTION("""COMPUTED_VALUE"""),"Ethereum Classic")</f>
        <v>Ethereum Classic</v>
      </c>
      <c r="U28" s="144">
        <f>IFERROR(__xludf.DUMMYFUNCTION("""COMPUTED_VALUE"""),3.191322199E9)</f>
        <v>3191322199</v>
      </c>
      <c r="V28" s="145">
        <f>IFERROR(__xludf.DUMMYFUNCTION("""COMPUTED_VALUE"""),20.83)</f>
        <v>20.83</v>
      </c>
      <c r="W28" s="146">
        <f>IFERROR(__xludf.DUMMYFUNCTION("""COMPUTED_VALUE"""),1.53346394E8)</f>
        <v>153346394</v>
      </c>
      <c r="X28" s="144">
        <f>IFERROR(__xludf.DUMMYFUNCTION("""COMPUTED_VALUE"""),1.17882212E8)</f>
        <v>117882212</v>
      </c>
      <c r="Y28" s="147" t="str">
        <f>IFERROR(__xludf.DUMMYFUNCTION("""COMPUTED_VALUE""")," 1.50 %  ")</f>
        <v>1.50 % </v>
      </c>
      <c r="Z28" s="143"/>
    </row>
    <row r="29">
      <c r="S29" s="143">
        <f>IFERROR(__xludf.DUMMYFUNCTION("""COMPUTED_VALUE"""),49.0)</f>
        <v>49</v>
      </c>
      <c r="T29" s="143" t="str">
        <f>IFERROR(__xludf.DUMMYFUNCTION("""COMPUTED_VALUE"""),"NEAR Protocol")</f>
        <v>NEAR Protocol</v>
      </c>
      <c r="U29" s="144">
        <f>IFERROR(__xludf.DUMMYFUNCTION("""COMPUTED_VALUE"""),2.971931898E9)</f>
        <v>2971931898</v>
      </c>
      <c r="V29" s="145">
        <f>IFERROR(__xludf.DUMMYFUNCTION("""COMPUTED_VALUE"""),2.38)</f>
        <v>2.38</v>
      </c>
      <c r="W29" s="146">
        <f>IFERROR(__xludf.DUMMYFUNCTION("""COMPUTED_VALUE"""),1.249836992E9)</f>
        <v>1249836992</v>
      </c>
      <c r="X29" s="144">
        <f>IFERROR(__xludf.DUMMYFUNCTION("""COMPUTED_VALUE"""),1.75341923E8)</f>
        <v>175341923</v>
      </c>
      <c r="Y29" s="147" t="str">
        <f>IFERROR(__xludf.DUMMYFUNCTION("""COMPUTED_VALUE""")," 1.61 %  ")</f>
        <v>1.61 % </v>
      </c>
      <c r="Z29" s="143"/>
    </row>
    <row r="30">
      <c r="S30" s="143">
        <f>IFERROR(__xludf.DUMMYFUNCTION("""COMPUTED_VALUE"""),58.0)</f>
        <v>58</v>
      </c>
      <c r="T30" s="143" t="str">
        <f>IFERROR(__xludf.DUMMYFUNCTION("""COMPUTED_VALUE"""),"Internet Computer")</f>
        <v>Internet Computer</v>
      </c>
      <c r="U30" s="144">
        <f>IFERROR(__xludf.DUMMYFUNCTION("""COMPUTED_VALUE"""),2.580833121E9)</f>
        <v>2580833121</v>
      </c>
      <c r="V30" s="145">
        <f>IFERROR(__xludf.DUMMYFUNCTION("""COMPUTED_VALUE"""),4.81)</f>
        <v>4.81</v>
      </c>
      <c r="W30" s="146">
        <f>IFERROR(__xludf.DUMMYFUNCTION("""COMPUTED_VALUE"""),5.37433699E8)</f>
        <v>537433699</v>
      </c>
      <c r="X30" s="144">
        <f>IFERROR(__xludf.DUMMYFUNCTION("""COMPUTED_VALUE"""),6.6281729E7)</f>
        <v>66281729</v>
      </c>
      <c r="Y30" s="147" t="str">
        <f>IFERROR(__xludf.DUMMYFUNCTION("""COMPUTED_VALUE""")," 2.27 %  ")</f>
        <v>2.27 % </v>
      </c>
      <c r="Z30" s="143"/>
    </row>
    <row r="31">
      <c r="S31" s="143">
        <f>IFERROR(__xludf.DUMMYFUNCTION("""COMPUTED_VALUE"""),60.0)</f>
        <v>60</v>
      </c>
      <c r="T31" s="143" t="str">
        <f>IFERROR(__xludf.DUMMYFUNCTION("""COMPUTED_VALUE"""),"BitTorrent")</f>
        <v>BitTorrent</v>
      </c>
      <c r="U31" s="144">
        <f>IFERROR(__xludf.DUMMYFUNCTION("""COMPUTED_VALUE"""),2.498507941E9)</f>
        <v>2498507941</v>
      </c>
      <c r="V31" s="145">
        <f>IFERROR(__xludf.DUMMYFUNCTION("""COMPUTED_VALUE"""),0.0)</f>
        <v>0</v>
      </c>
      <c r="W31" s="146">
        <f>IFERROR(__xludf.DUMMYFUNCTION("""COMPUTED_VALUE"""),9.324975E11)</f>
        <v>932497500000</v>
      </c>
      <c r="X31" s="144">
        <f>IFERROR(__xludf.DUMMYFUNCTION("""COMPUTED_VALUE"""),1038436.0)</f>
        <v>1038436</v>
      </c>
      <c r="Y31" s="147" t="str">
        <f>IFERROR(__xludf.DUMMYFUNCTION("""COMPUTED_VALUE""")," -2.73 %  ")</f>
        <v>-2.73 % </v>
      </c>
      <c r="Z31" s="143"/>
    </row>
    <row r="32">
      <c r="S32" s="143">
        <f>IFERROR(__xludf.DUMMYFUNCTION("""COMPUTED_VALUE"""),63.0)</f>
        <v>63</v>
      </c>
      <c r="T32" s="143" t="str">
        <f>IFERROR(__xludf.DUMMYFUNCTION("""COMPUTED_VALUE"""),"Cosmos Hub")</f>
        <v>Cosmos Hub</v>
      </c>
      <c r="U32" s="144">
        <f>IFERROR(__xludf.DUMMYFUNCTION("""COMPUTED_VALUE"""),2.074434261E9)</f>
        <v>2074434261</v>
      </c>
      <c r="V32" s="145">
        <f>IFERROR(__xludf.DUMMYFUNCTION("""COMPUTED_VALUE"""),4.45)</f>
        <v>4.45</v>
      </c>
      <c r="W32" s="146">
        <f>IFERROR(__xludf.DUMMYFUNCTION("""COMPUTED_VALUE"""),4.66446533E8)</f>
        <v>466446533</v>
      </c>
      <c r="X32" s="144">
        <f>IFERROR(__xludf.DUMMYFUNCTION("""COMPUTED_VALUE"""),1.02887054E8)</f>
        <v>102887054</v>
      </c>
      <c r="Y32" s="147" t="str">
        <f>IFERROR(__xludf.DUMMYFUNCTION("""COMPUTED_VALUE""")," 0.66 %  ")</f>
        <v>0.66 % </v>
      </c>
      <c r="Z32" s="143"/>
    </row>
    <row r="33">
      <c r="S33" s="143">
        <f>IFERROR(__xludf.DUMMYFUNCTION("""COMPUTED_VALUE"""),64.0)</f>
        <v>64</v>
      </c>
      <c r="T33" s="143" t="str">
        <f>IFERROR(__xludf.DUMMYFUNCTION("""COMPUTED_VALUE"""),"VeChain")</f>
        <v>VeChain</v>
      </c>
      <c r="U33" s="144">
        <f>IFERROR(__xludf.DUMMYFUNCTION("""COMPUTED_VALUE"""),2.045719096E9)</f>
        <v>2045719096</v>
      </c>
      <c r="V33" s="145">
        <f>IFERROR(__xludf.DUMMYFUNCTION("""COMPUTED_VALUE"""),0.02)</f>
        <v>0.02</v>
      </c>
      <c r="W33" s="146">
        <f>IFERROR(__xludf.DUMMYFUNCTION("""COMPUTED_VALUE"""),8.5985041177E10)</f>
        <v>85985041177</v>
      </c>
      <c r="X33" s="144">
        <f>IFERROR(__xludf.DUMMYFUNCTION("""COMPUTED_VALUE"""),4.5269887E7)</f>
        <v>45269887</v>
      </c>
      <c r="Y33" s="147" t="str">
        <f>IFERROR(__xludf.DUMMYFUNCTION("""COMPUTED_VALUE""")," -0.14 %  ")</f>
        <v>-0.14 % </v>
      </c>
      <c r="Z33" s="143"/>
    </row>
    <row r="34">
      <c r="L34" s="95" t="s">
        <v>87</v>
      </c>
      <c r="S34" s="143">
        <f>IFERROR(__xludf.DUMMYFUNCTION("""COMPUTED_VALUE"""),65.0)</f>
        <v>65</v>
      </c>
      <c r="T34" s="143" t="str">
        <f>IFERROR(__xludf.DUMMYFUNCTION("""COMPUTED_VALUE"""),"Algorand")</f>
        <v>Algorand</v>
      </c>
      <c r="U34" s="144">
        <f>IFERROR(__xludf.DUMMYFUNCTION("""COMPUTED_VALUE"""),2.025315941E9)</f>
        <v>2025315941</v>
      </c>
      <c r="V34" s="145">
        <f>IFERROR(__xludf.DUMMYFUNCTION("""COMPUTED_VALUE"""),0.23)</f>
        <v>0.23</v>
      </c>
      <c r="W34" s="146">
        <f>IFERROR(__xludf.DUMMYFUNCTION("""COMPUTED_VALUE"""),8.729081681E9)</f>
        <v>8729081681</v>
      </c>
      <c r="X34" s="144">
        <f>IFERROR(__xludf.DUMMYFUNCTION("""COMPUTED_VALUE"""),9.9149161E7)</f>
        <v>99149161</v>
      </c>
      <c r="Y34" s="147" t="str">
        <f>IFERROR(__xludf.DUMMYFUNCTION("""COMPUTED_VALUE""")," 1.91 %  ")</f>
        <v>1.91 % </v>
      </c>
      <c r="Z34" s="143"/>
    </row>
    <row r="35">
      <c r="S35" s="143">
        <f>IFERROR(__xludf.DUMMYFUNCTION("""COMPUTED_VALUE"""),66.0)</f>
        <v>66</v>
      </c>
      <c r="T35" s="143" t="str">
        <f>IFERROR(__xludf.DUMMYFUNCTION("""COMPUTED_VALUE"""),"Gate")</f>
        <v>Gate</v>
      </c>
      <c r="U35" s="144">
        <f>IFERROR(__xludf.DUMMYFUNCTION("""COMPUTED_VALUE"""),2.002457185E9)</f>
        <v>2002457185</v>
      </c>
      <c r="V35" s="145">
        <f>IFERROR(__xludf.DUMMYFUNCTION("""COMPUTED_VALUE"""),16.76)</f>
        <v>16.76</v>
      </c>
      <c r="W35" s="146">
        <f>IFERROR(__xludf.DUMMYFUNCTION("""COMPUTED_VALUE"""),1.19444888E8)</f>
        <v>119444888</v>
      </c>
      <c r="X35" s="144">
        <f>IFERROR(__xludf.DUMMYFUNCTION("""COMPUTED_VALUE"""),7117375.0)</f>
        <v>7117375</v>
      </c>
      <c r="Y35" s="147" t="str">
        <f>IFERROR(__xludf.DUMMYFUNCTION("""COMPUTED_VALUE""")," 0.06 %  ")</f>
        <v>0.06 % </v>
      </c>
      <c r="Z35" s="143"/>
    </row>
    <row r="36">
      <c r="S36" s="143">
        <f>IFERROR(__xludf.DUMMYFUNCTION("""COMPUTED_VALUE"""),70.0)</f>
        <v>70</v>
      </c>
      <c r="T36" s="143" t="str">
        <f>IFERROR(__xludf.DUMMYFUNCTION("""COMPUTED_VALUE"""),"Fantom")</f>
        <v>Fantom</v>
      </c>
      <c r="U36" s="144">
        <f>IFERROR(__xludf.DUMMYFUNCTION("""COMPUTED_VALUE"""),1.982555397E9)</f>
        <v>1982555397</v>
      </c>
      <c r="V36" s="145">
        <f>IFERROR(__xludf.DUMMYFUNCTION("""COMPUTED_VALUE"""),0.71)</f>
        <v>0.71</v>
      </c>
      <c r="W36" s="146">
        <f>IFERROR(__xludf.DUMMYFUNCTION("""COMPUTED_VALUE"""),2.803634836E9)</f>
        <v>2803634836</v>
      </c>
      <c r="X36" s="144">
        <f>IFERROR(__xludf.DUMMYFUNCTION("""COMPUTED_VALUE"""),8.5613063E7)</f>
        <v>85613063</v>
      </c>
      <c r="Y36" s="147" t="str">
        <f>IFERROR(__xludf.DUMMYFUNCTION("""COMPUTED_VALUE""")," -1.13 %  ")</f>
        <v>-1.13 % </v>
      </c>
      <c r="Z36" s="143"/>
    </row>
    <row r="37">
      <c r="S37" s="143">
        <f>IFERROR(__xludf.DUMMYFUNCTION("""COMPUTED_VALUE"""),71.0)</f>
        <v>71</v>
      </c>
      <c r="T37" s="143" t="str">
        <f>IFERROR(__xludf.DUMMYFUNCTION("""COMPUTED_VALUE"""),"KuCoin")</f>
        <v>KuCoin</v>
      </c>
      <c r="U37" s="144">
        <f>IFERROR(__xludf.DUMMYFUNCTION("""COMPUTED_VALUE"""),1.869527041E9)</f>
        <v>1869527041</v>
      </c>
      <c r="V37" s="145">
        <f>IFERROR(__xludf.DUMMYFUNCTION("""COMPUTED_VALUE"""),14.69)</f>
        <v>14.69</v>
      </c>
      <c r="W37" s="146">
        <f>IFERROR(__xludf.DUMMYFUNCTION("""COMPUTED_VALUE"""),1.27359548E8)</f>
        <v>127359548</v>
      </c>
      <c r="X37" s="144">
        <f>IFERROR(__xludf.DUMMYFUNCTION("""COMPUTED_VALUE"""),6448408.0)</f>
        <v>6448408</v>
      </c>
      <c r="Y37" s="147" t="str">
        <f>IFERROR(__xludf.DUMMYFUNCTION("""COMPUTED_VALUE""")," 0.51 %  ")</f>
        <v>0.51 % </v>
      </c>
      <c r="Z37" s="143"/>
    </row>
    <row r="38">
      <c r="S38" s="143">
        <f>IFERROR(__xludf.DUMMYFUNCTION("""COMPUTED_VALUE"""),78.0)</f>
        <v>78</v>
      </c>
      <c r="T38" s="143" t="str">
        <f>IFERROR(__xludf.DUMMYFUNCTION("""COMPUTED_VALUE"""),"Official Trump")</f>
        <v>Official Trump</v>
      </c>
      <c r="U38" s="144">
        <f>IFERROR(__xludf.DUMMYFUNCTION("""COMPUTED_VALUE"""),1.67384881E9)</f>
        <v>1673848810</v>
      </c>
      <c r="V38" s="145">
        <f>IFERROR(__xludf.DUMMYFUNCTION("""COMPUTED_VALUE"""),8.37)</f>
        <v>8.37</v>
      </c>
      <c r="W38" s="146">
        <f>IFERROR(__xludf.DUMMYFUNCTION("""COMPUTED_VALUE"""),1.99999973E8)</f>
        <v>199999973</v>
      </c>
      <c r="X38" s="144">
        <f>IFERROR(__xludf.DUMMYFUNCTION("""COMPUTED_VALUE"""),1.476131123E9)</f>
        <v>1476131123</v>
      </c>
      <c r="Y38" s="147" t="str">
        <f>IFERROR(__xludf.DUMMYFUNCTION("""COMPUTED_VALUE""")," -2.35 %  ")</f>
        <v>-2.35 % </v>
      </c>
      <c r="Z38" s="143"/>
    </row>
    <row r="39">
      <c r="S39" s="143">
        <f>IFERROR(__xludf.DUMMYFUNCTION("""COMPUTED_VALUE"""),85.0)</f>
        <v>85</v>
      </c>
      <c r="T39" s="143" t="str">
        <f>IFERROR(__xludf.DUMMYFUNCTION("""COMPUTED_VALUE"""),"Filecoin")</f>
        <v>Filecoin</v>
      </c>
      <c r="U39" s="144">
        <f>IFERROR(__xludf.DUMMYFUNCTION("""COMPUTED_VALUE"""),1.564234124E9)</f>
        <v>1564234124</v>
      </c>
      <c r="V39" s="145">
        <f>IFERROR(__xludf.DUMMYFUNCTION("""COMPUTED_VALUE"""),2.28)</f>
        <v>2.28</v>
      </c>
      <c r="W39" s="146">
        <f>IFERROR(__xludf.DUMMYFUNCTION("""COMPUTED_VALUE"""),6.85223713E8)</f>
        <v>685223713</v>
      </c>
      <c r="X39" s="144">
        <f>IFERROR(__xludf.DUMMYFUNCTION("""COMPUTED_VALUE"""),5.43782991E8)</f>
        <v>543782991</v>
      </c>
      <c r="Y39" s="147" t="str">
        <f>IFERROR(__xludf.DUMMYFUNCTION("""COMPUTED_VALUE""")," 2.07 %  ")</f>
        <v>2.07 % </v>
      </c>
      <c r="Z39" s="143"/>
    </row>
    <row r="40">
      <c r="L40" s="95" t="s">
        <v>88</v>
      </c>
      <c r="S40" s="143">
        <f>IFERROR(__xludf.DUMMYFUNCTION("""COMPUTED_VALUE"""),90.0)</f>
        <v>90</v>
      </c>
      <c r="T40" s="143" t="str">
        <f>IFERROR(__xludf.DUMMYFUNCTION("""COMPUTED_VALUE"""),"Quant")</f>
        <v>Quant</v>
      </c>
      <c r="U40" s="144">
        <f>IFERROR(__xludf.DUMMYFUNCTION("""COMPUTED_VALUE"""),1.478359981E9)</f>
        <v>1478359981</v>
      </c>
      <c r="V40" s="145">
        <f>IFERROR(__xludf.DUMMYFUNCTION("""COMPUTED_VALUE"""),101.65)</f>
        <v>101.65</v>
      </c>
      <c r="W40" s="146">
        <f>IFERROR(__xludf.DUMMYFUNCTION("""COMPUTED_VALUE"""),1.4544176E7)</f>
        <v>14544176</v>
      </c>
      <c r="X40" s="144">
        <f>IFERROR(__xludf.DUMMYFUNCTION("""COMPUTED_VALUE"""),2.0574707E7)</f>
        <v>20574707</v>
      </c>
      <c r="Y40" s="147" t="str">
        <f>IFERROR(__xludf.DUMMYFUNCTION("""COMPUTED_VALUE""")," -0.09 %  ")</f>
        <v>-0.09 % </v>
      </c>
      <c r="Z40" s="143"/>
    </row>
    <row r="41">
      <c r="G41" s="143" t="str">
        <f>IFERROR(__xludf.DUMMYFUNCTION("importxml(""https://www.finance.yahoo.com/commodities"", ""//table/tbody/tr/td"")"),"#N/A")</f>
        <v>#N/A</v>
      </c>
      <c r="S41" s="143">
        <f>IFERROR(__xludf.DUMMYFUNCTION("""COMPUTED_VALUE"""),93.0)</f>
        <v>93</v>
      </c>
      <c r="T41" s="143" t="str">
        <f>IFERROR(__xludf.DUMMYFUNCTION("""COMPUTED_VALUE"""),"XDC Network")</f>
        <v>XDC Network</v>
      </c>
      <c r="U41" s="144">
        <f>IFERROR(__xludf.DUMMYFUNCTION("""COMPUTED_VALUE"""),1.37588007E9)</f>
        <v>1375880070</v>
      </c>
      <c r="V41" s="145">
        <f>IFERROR(__xludf.DUMMYFUNCTION("""COMPUTED_VALUE"""),0.08)</f>
        <v>0.08</v>
      </c>
      <c r="W41" s="146">
        <f>IFERROR(__xludf.DUMMYFUNCTION("""COMPUTED_VALUE"""),1.7741137056E10)</f>
        <v>17741137056</v>
      </c>
      <c r="X41" s="144">
        <f>IFERROR(__xludf.DUMMYFUNCTION("""COMPUTED_VALUE"""),4.0122114E7)</f>
        <v>40122114</v>
      </c>
      <c r="Y41" s="147" t="str">
        <f>IFERROR(__xludf.DUMMYFUNCTION("""COMPUTED_VALUE""")," -0.78 %  ")</f>
        <v>-0.78 % </v>
      </c>
      <c r="Z41" s="143"/>
    </row>
    <row r="42">
      <c r="S42" s="143">
        <f>IFERROR(__xludf.DUMMYFUNCTION("""COMPUTED_VALUE"""),96.0)</f>
        <v>96</v>
      </c>
      <c r="T42" s="143" t="str">
        <f>IFERROR(__xludf.DUMMYFUNCTION("""COMPUTED_VALUE"""),"Tether Gold")</f>
        <v>Tether Gold</v>
      </c>
      <c r="U42" s="144">
        <f>IFERROR(__xludf.DUMMYFUNCTION("""COMPUTED_VALUE"""),1.320490344E9)</f>
        <v>1320490344</v>
      </c>
      <c r="V42" s="145">
        <f>IFERROR(__xludf.DUMMYFUNCTION("""COMPUTED_VALUE"""),3516.01)</f>
        <v>3516.01</v>
      </c>
      <c r="W42" s="146">
        <f>IFERROR(__xludf.DUMMYFUNCTION("""COMPUTED_VALUE"""),375572.0)</f>
        <v>375572</v>
      </c>
      <c r="X42" s="144">
        <f>IFERROR(__xludf.DUMMYFUNCTION("""COMPUTED_VALUE"""),1.91545897E8)</f>
        <v>191545897</v>
      </c>
      <c r="Y42" s="147" t="str">
        <f>IFERROR(__xludf.DUMMYFUNCTION("""COMPUTED_VALUE""")," 1.25 %  ")</f>
        <v>1.25 % </v>
      </c>
      <c r="Z42" s="143"/>
    </row>
    <row r="43">
      <c r="S43" s="143">
        <f>IFERROR(__xludf.DUMMYFUNCTION("""COMPUTED_VALUE"""),98.0)</f>
        <v>98</v>
      </c>
      <c r="T43" s="143" t="str">
        <f>IFERROR(__xludf.DUMMYFUNCTION("""COMPUTED_VALUE"""),"Klaytn")</f>
        <v>Klaytn</v>
      </c>
      <c r="U43" s="144">
        <f>IFERROR(__xludf.DUMMYFUNCTION("""COMPUTED_VALUE"""),8.2508286E8)</f>
        <v>825082860</v>
      </c>
      <c r="V43" s="145">
        <f>IFERROR(__xludf.DUMMYFUNCTION("""COMPUTED_VALUE"""),0.14)</f>
        <v>0.14</v>
      </c>
      <c r="W43" s="146">
        <f>IFERROR(__xludf.DUMMYFUNCTION("""COMPUTED_VALUE"""),5.857368145E9)</f>
        <v>5857368145</v>
      </c>
      <c r="X43" s="144">
        <f>IFERROR(__xludf.DUMMYFUNCTION("""COMPUTED_VALUE"""),728385.0)</f>
        <v>728385</v>
      </c>
      <c r="Y43" s="147" t="str">
        <f>IFERROR(__xludf.DUMMYFUNCTION("""COMPUTED_VALUE""")," 10.48 %  ")</f>
        <v>10.48 % </v>
      </c>
      <c r="Z43" s="143"/>
    </row>
    <row r="44">
      <c r="S44" s="143">
        <f>IFERROR(__xludf.DUMMYFUNCTION("""COMPUTED_VALUE"""),98.0)</f>
        <v>98</v>
      </c>
      <c r="T44" s="143" t="str">
        <f>IFERROR(__xludf.DUMMYFUNCTION("""COMPUTED_VALUE"""),"DxChain Token")</f>
        <v>DxChain Token</v>
      </c>
      <c r="U44" s="144">
        <f>IFERROR(__xludf.DUMMYFUNCTION("""COMPUTED_VALUE"""),9.4790225E7)</f>
        <v>94790225</v>
      </c>
      <c r="V44" s="145">
        <f>IFERROR(__xludf.DUMMYFUNCTION("""COMPUTED_VALUE"""),0.0)</f>
        <v>0</v>
      </c>
      <c r="W44" s="143">
        <f>IFERROR(__xludf.DUMMYFUNCTION("""COMPUTED_VALUE"""),0.0)</f>
        <v>0</v>
      </c>
      <c r="X44" s="144">
        <f>IFERROR(__xludf.DUMMYFUNCTION("""COMPUTED_VALUE"""),156923.0)</f>
        <v>156923</v>
      </c>
      <c r="Y44" s="147" t="str">
        <f>IFERROR(__xludf.DUMMYFUNCTION("""COMPUTED_VALUE""")," 3.37 %  ")</f>
        <v>3.37 % </v>
      </c>
      <c r="Z44" s="143"/>
    </row>
    <row r="45">
      <c r="S45" s="143">
        <f>IFERROR(__xludf.DUMMYFUNCTION("""COMPUTED_VALUE"""),100.0)</f>
        <v>100</v>
      </c>
      <c r="T45" s="143" t="str">
        <f>IFERROR(__xludf.DUMMYFUNCTION("""COMPUTED_VALUE"""),"Aave LINK")</f>
        <v>Aave LINK</v>
      </c>
      <c r="U45" s="144">
        <f>IFERROR(__xludf.DUMMYFUNCTION("""COMPUTED_VALUE"""),3.30885424E8)</f>
        <v>330885424</v>
      </c>
      <c r="V45" s="145">
        <f>IFERROR(__xludf.DUMMYFUNCTION("""COMPUTED_VALUE"""),25.19)</f>
        <v>25.19</v>
      </c>
      <c r="W45" s="143">
        <f>IFERROR(__xludf.DUMMYFUNCTION("""COMPUTED_VALUE"""),0.0)</f>
        <v>0</v>
      </c>
      <c r="X45" s="144">
        <f>IFERROR(__xludf.DUMMYFUNCTION("""COMPUTED_VALUE"""),1.1646285E7)</f>
        <v>11646285</v>
      </c>
      <c r="Y45" s="147" t="str">
        <f>IFERROR(__xludf.DUMMYFUNCTION("""COMPUTED_VALUE""")," 3.32 %  ")</f>
        <v>3.32 % </v>
      </c>
      <c r="Z45" s="143"/>
    </row>
    <row r="46">
      <c r="L46" s="95" t="s">
        <v>89</v>
      </c>
      <c r="S46" s="143">
        <f>IFERROR(__xludf.DUMMYFUNCTION("""COMPUTED_VALUE"""),1173.0)</f>
        <v>1173</v>
      </c>
      <c r="T46" s="143" t="str">
        <f>IFERROR(__xludf.DUMMYFUNCTION("""COMPUTED_VALUE"""),"Perth Mint Gold Token")</f>
        <v>Perth Mint Gold Token</v>
      </c>
      <c r="U46" s="144">
        <f>IFERROR(__xludf.DUMMYFUNCTION("""COMPUTED_VALUE"""),2065882.0)</f>
        <v>2065882</v>
      </c>
      <c r="V46" s="145">
        <f>IFERROR(__xludf.DUMMYFUNCTION("""COMPUTED_VALUE"""),1786.56)</f>
        <v>1786.56</v>
      </c>
      <c r="W46" s="146">
        <f>IFERROR(__xludf.DUMMYFUNCTION("""COMPUTED_VALUE"""),1157.0)</f>
        <v>1157</v>
      </c>
      <c r="X46" s="144">
        <f>IFERROR(__xludf.DUMMYFUNCTION("""COMPUTED_VALUE"""),12755.0)</f>
        <v>12755</v>
      </c>
      <c r="Y46" s="147" t="str">
        <f>IFERROR(__xludf.DUMMYFUNCTION("""COMPUTED_VALUE""")," -0.03 %  ")</f>
        <v>-0.03 % </v>
      </c>
      <c r="Z46" s="143"/>
    </row>
    <row r="47">
      <c r="S47" s="143">
        <f>IFERROR(__xludf.DUMMYFUNCTION("""COMPUTED_VALUE"""),1508.0)</f>
        <v>1508</v>
      </c>
      <c r="T47" s="143" t="str">
        <f>IFERROR(__xludf.DUMMYFUNCTION("""COMPUTED_VALUE""")," Digix Gold Token")</f>
        <v> Digix Gold Token</v>
      </c>
      <c r="U47" s="144">
        <f>IFERROR(__xludf.DUMMYFUNCTION("""COMPUTED_VALUE"""),1169772.0)</f>
        <v>1169772</v>
      </c>
      <c r="V47" s="145">
        <f>IFERROR(__xludf.DUMMYFUNCTION("""COMPUTED_VALUE"""),45.22)</f>
        <v>45.22</v>
      </c>
      <c r="W47" s="146">
        <f>IFERROR(__xludf.DUMMYFUNCTION("""COMPUTED_VALUE"""),25792.0)</f>
        <v>25792</v>
      </c>
      <c r="X47" s="144">
        <f>IFERROR(__xludf.DUMMYFUNCTION("""COMPUTED_VALUE"""),0.0)</f>
        <v>0</v>
      </c>
      <c r="Y47" s="147" t="str">
        <f>IFERROR(__xludf.DUMMYFUNCTION("""COMPUTED_VALUE""")," -1.00 %  ")</f>
        <v>-1.00 % </v>
      </c>
      <c r="Z47" s="143"/>
    </row>
    <row r="48">
      <c r="S48" s="143">
        <f>IFERROR(__xludf.DUMMYFUNCTION("""COMPUTED_VALUE"""),5920.0)</f>
        <v>5920</v>
      </c>
      <c r="T48" s="143" t="str">
        <f>IFERROR(__xludf.DUMMYFUNCTION("""COMPUTED_VALUE"""),"AurusGOLD")</f>
        <v>AurusGOLD</v>
      </c>
      <c r="U48" s="144">
        <f>IFERROR(__xludf.DUMMYFUNCTION("""COMPUTED_VALUE"""),0.0)</f>
        <v>0</v>
      </c>
      <c r="V48" s="145">
        <f>IFERROR(__xludf.DUMMYFUNCTION("""COMPUTED_VALUE"""),58.85)</f>
        <v>58.85</v>
      </c>
      <c r="W48" s="143">
        <f>IFERROR(__xludf.DUMMYFUNCTION("""COMPUTED_VALUE"""),0.0)</f>
        <v>0</v>
      </c>
      <c r="X48" s="144">
        <f>IFERROR(__xludf.DUMMYFUNCTION("""COMPUTED_VALUE"""),41716.0)</f>
        <v>41716</v>
      </c>
      <c r="Y48" s="147" t="str">
        <f>IFERROR(__xludf.DUMMYFUNCTION("""COMPUTED_VALUE""")," -0.09 %  ")</f>
        <v>-0.09 % </v>
      </c>
      <c r="Z48" s="143"/>
    </row>
    <row r="49">
      <c r="Y49" s="147"/>
    </row>
    <row r="50">
      <c r="Y50" s="147"/>
    </row>
    <row r="51">
      <c r="Y51" s="147"/>
    </row>
    <row r="52">
      <c r="L52" s="95" t="s">
        <v>90</v>
      </c>
      <c r="Y52" s="147"/>
    </row>
    <row r="53">
      <c r="Y53" s="147"/>
    </row>
    <row r="54">
      <c r="Y54" s="147"/>
    </row>
    <row r="55">
      <c r="Y55" s="147"/>
    </row>
    <row r="56">
      <c r="Y56" s="147"/>
    </row>
    <row r="58" hidden="1"/>
    <row r="70">
      <c r="A70" s="143" t="str">
        <f>IFERROR(__xludf.DUMMYFUNCTION("importxml(""https://www.moneymetals.com/precious-metals-charts"", ""//table/tbody/tr/td"")"),"Gold")</f>
        <v>Gold</v>
      </c>
    </row>
    <row r="71">
      <c r="A71" s="145">
        <f>IFERROR(__xludf.DUMMYFUNCTION("""COMPUTED_VALUE"""),3508.05)</f>
        <v>3508.05</v>
      </c>
    </row>
    <row r="72">
      <c r="A72" s="143">
        <f>IFERROR(__xludf.DUMMYFUNCTION("""COMPUTED_VALUE"""),18.6)</f>
        <v>18.6</v>
      </c>
    </row>
    <row r="73">
      <c r="A73" s="142">
        <f>IFERROR(__xludf.DUMMYFUNCTION("""COMPUTED_VALUE"""),0.0053)</f>
        <v>0.0053</v>
      </c>
    </row>
    <row r="74">
      <c r="A74" s="143" t="str">
        <f>IFERROR(__xludf.DUMMYFUNCTION("""COMPUTED_VALUE"""),"Silver")</f>
        <v>Silver</v>
      </c>
    </row>
    <row r="75">
      <c r="A75" s="145">
        <f>IFERROR(__xludf.DUMMYFUNCTION("""COMPUTED_VALUE"""),40.97)</f>
        <v>40.97</v>
      </c>
    </row>
    <row r="76">
      <c r="A76" s="143">
        <f>IFERROR(__xludf.DUMMYFUNCTION("""COMPUTED_VALUE"""),0.02)</f>
        <v>0.02</v>
      </c>
    </row>
    <row r="77">
      <c r="A77" s="142">
        <f>IFERROR(__xludf.DUMMYFUNCTION("""COMPUTED_VALUE"""),5.0E-4)</f>
        <v>0.0005</v>
      </c>
    </row>
    <row r="78">
      <c r="A78" s="143" t="str">
        <f>IFERROR(__xludf.DUMMYFUNCTION("""COMPUTED_VALUE"""),"Platinum")</f>
        <v>Platinum</v>
      </c>
    </row>
    <row r="79">
      <c r="A79" s="145">
        <f>IFERROR(__xludf.DUMMYFUNCTION("""COMPUTED_VALUE"""),1438.35)</f>
        <v>1438.35</v>
      </c>
    </row>
    <row r="80">
      <c r="A80" s="143">
        <f>IFERROR(__xludf.DUMMYFUNCTION("""COMPUTED_VALUE"""),17.3)</f>
        <v>17.3</v>
      </c>
    </row>
    <row r="81">
      <c r="A81" s="142">
        <f>IFERROR(__xludf.DUMMYFUNCTION("""COMPUTED_VALUE"""),0.012)</f>
        <v>0.012</v>
      </c>
    </row>
    <row r="82">
      <c r="A82" s="143" t="str">
        <f>IFERROR(__xludf.DUMMYFUNCTION("""COMPUTED_VALUE"""),"Palladium")</f>
        <v>Palladium</v>
      </c>
    </row>
    <row r="83">
      <c r="A83" s="145">
        <f>IFERROR(__xludf.DUMMYFUNCTION("""COMPUTED_VALUE"""),1168.45)</f>
        <v>1168.45</v>
      </c>
    </row>
    <row r="84">
      <c r="A84" s="143">
        <f>IFERROR(__xludf.DUMMYFUNCTION("""COMPUTED_VALUE"""),6.9)</f>
        <v>6.9</v>
      </c>
    </row>
    <row r="85">
      <c r="A85" s="142">
        <f>IFERROR(__xludf.DUMMYFUNCTION("""COMPUTED_VALUE"""),0.0059)</f>
        <v>0.0059</v>
      </c>
    </row>
    <row r="102">
      <c r="F102" s="95" t="s">
        <v>91</v>
      </c>
    </row>
    <row r="117">
      <c r="I117" s="143" t="str">
        <f>IFERROR(__xludf.DUMMYFUNCTION("importxml(""https://ycharts.com/indicators/effective_federal_funds_rate"", ""//table/tr/td"")"),"#N/A")</f>
        <v>#N/A</v>
      </c>
      <c r="K117" s="143" t="str">
        <f>IFERROR(__xludf.DUMMYFUNCTION("importxml(""https://ycharts.com/indicators/us_real_gdp_growth"", ""//table/tr/td"")"),"#N/A")</f>
        <v>#N/A</v>
      </c>
      <c r="M117" s="143" t="str">
        <f>IFERROR(__xludf.DUMMYFUNCTION("importxml(""https://ycharts.com/indicators/us_unemployment_rate"", ""//table/tr/td"")"),"#N/A")</f>
        <v>#N/A</v>
      </c>
    </row>
    <row r="142">
      <c r="F142" s="95">
        <v>3.33</v>
      </c>
    </row>
    <row r="143">
      <c r="F143" s="95">
        <v>3.5</v>
      </c>
    </row>
    <row r="155">
      <c r="A155" s="95" t="str">
        <f>IFERROR(__xludf.DUMMYFUNCTION("IMPORTXML(""https://tradingeconomics.com/united-states/unemployment-rate"", ""//table/tr/td"")"),"#N/A")</f>
        <v>#N/A</v>
      </c>
      <c r="B155" s="95" t="s">
        <v>92</v>
      </c>
      <c r="C155" s="95" t="str">
        <f>IFERROR(__xludf.DUMMYFUNCTION("IMPORTXML(""https://ycharts.com/indicators/us_inflation_rate"", ""//table/tr/td"")"),"#N/A")</f>
        <v>#N/A</v>
      </c>
      <c r="D155" s="95" t="s">
        <v>92</v>
      </c>
      <c r="E155" s="95" t="s">
        <v>92</v>
      </c>
      <c r="F155" s="95" t="s">
        <v>92</v>
      </c>
    </row>
    <row r="156">
      <c r="A156" s="149"/>
    </row>
  </sheetData>
  <conditionalFormatting sqref="E2">
    <cfRule type="notContainsBlanks" dxfId="1" priority="1">
      <formula>LEN(TRIM(E2))&gt;0</formula>
    </cfRule>
  </conditionalFormatting>
  <conditionalFormatting sqref="E2">
    <cfRule type="notContainsBlanks" dxfId="1" priority="2">
      <formula>LEN(TRIM(E2))&gt;0</formula>
    </cfRule>
  </conditionalFormatting>
  <drawing r:id="rId1"/>
</worksheet>
</file>